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hidePivotFieldList="1"/>
  <bookViews>
    <workbookView xWindow="6510" yWindow="0" windowWidth="20730" windowHeight="10425"/>
  </bookViews>
  <sheets>
    <sheet name="Cuadro de Actualizaciones" sheetId="20" r:id="rId1"/>
    <sheet name="Seguimiento indicadores 2016" sheetId="22" r:id="rId2"/>
    <sheet name="Seguimiento indicadores 2015" sheetId="18" r:id="rId3"/>
    <sheet name="COMPARATIVO 2014-2015" sheetId="19" r:id="rId4"/>
    <sheet name="DESEMP ACCIDENTA 2015" sheetId="6" r:id="rId5"/>
    <sheet name="SUBPROG SEG HIG" sheetId="8" r:id="rId6"/>
    <sheet name="MEDIC PREV Y DEL TRAB" sheetId="9" r:id="rId7"/>
    <sheet name="BIOMECANICO" sheetId="7" r:id="rId8"/>
    <sheet name="MECANICO" sheetId="10" r:id="rId9"/>
    <sheet name="FISICO" sheetId="11" r:id="rId10"/>
    <sheet name="SICOLABORAL" sheetId="12" r:id="rId11"/>
    <sheet name="SEGURIDAD VIAL" sheetId="13" r:id="rId12"/>
    <sheet name="TRA.SEG.ALT" sheetId="14" r:id="rId13"/>
    <sheet name="BIOLOGICO" sheetId="15" r:id="rId14"/>
    <sheet name="MANTENIMIENTO" sheetId="16" r:id="rId15"/>
    <sheet name="INSPECCIONES" sheetId="17" r:id="rId16"/>
  </sheets>
  <externalReferences>
    <externalReference r:id="rId17"/>
  </externalReferences>
  <definedNames>
    <definedName name="_xlnm._FilterDatabase" localSheetId="2" hidden="1">'Seguimiento indicadores 2015'!$A$8:$AA$52</definedName>
    <definedName name="_xlnm._FilterDatabase" localSheetId="1" hidden="1">'Seguimiento indicadores 2016'!$J$7:$K$57</definedName>
    <definedName name="CLASE">[1]VALIDACION!$L$2:$L$4</definedName>
    <definedName name="COMPONENTE">[1]VALIDACION!$K$2:$K$25</definedName>
    <definedName name="TIPO">[1]VALIDACION!$J$2:$J$4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22" l="1"/>
  <c r="W11" i="22"/>
  <c r="S11" i="22"/>
  <c r="O11" i="22"/>
  <c r="AA22" i="22"/>
  <c r="W22" i="22"/>
  <c r="S22" i="22"/>
  <c r="O22" i="22"/>
  <c r="AA21" i="22"/>
  <c r="W21" i="22"/>
  <c r="S21" i="22"/>
  <c r="O21" i="22"/>
  <c r="AA19" i="22" l="1"/>
  <c r="W19" i="22"/>
  <c r="S19" i="22"/>
  <c r="O19" i="22"/>
  <c r="AA32" i="22"/>
  <c r="W32" i="22"/>
  <c r="S32" i="22"/>
  <c r="O32" i="22"/>
  <c r="AA28" i="22"/>
  <c r="W28" i="22"/>
  <c r="S28" i="22"/>
  <c r="O28" i="22"/>
  <c r="AA43" i="22" l="1"/>
  <c r="W43" i="22"/>
  <c r="S43" i="22"/>
  <c r="O43" i="22"/>
  <c r="AA47" i="22"/>
  <c r="W47" i="22"/>
  <c r="S47" i="22"/>
  <c r="O47" i="22"/>
  <c r="AA52" i="22" l="1"/>
  <c r="AA51" i="22"/>
  <c r="AA50" i="22"/>
  <c r="AA49" i="22"/>
  <c r="AA48" i="22"/>
  <c r="AA46" i="22"/>
  <c r="AA45" i="22"/>
  <c r="AA44" i="22"/>
  <c r="AA42" i="22"/>
  <c r="AA41" i="22"/>
  <c r="AA40" i="22"/>
  <c r="AA39" i="22"/>
  <c r="AA38" i="22"/>
  <c r="AA37" i="22"/>
  <c r="AA36" i="22"/>
  <c r="AA35" i="22"/>
  <c r="AA34" i="22"/>
  <c r="AA33" i="22"/>
  <c r="AA31" i="22"/>
  <c r="AA30" i="22"/>
  <c r="AA29" i="22"/>
  <c r="AA27" i="22"/>
  <c r="AA26" i="22"/>
  <c r="AA25" i="22"/>
  <c r="AA24" i="22"/>
  <c r="AA23" i="22"/>
  <c r="AA18" i="22"/>
  <c r="AA17" i="22"/>
  <c r="AA16" i="22"/>
  <c r="AA15" i="22"/>
  <c r="AA14" i="22"/>
  <c r="AA13" i="22"/>
  <c r="AA12" i="22"/>
  <c r="AA20" i="22"/>
  <c r="AA10" i="22"/>
  <c r="AA9" i="22"/>
  <c r="AA8" i="22"/>
  <c r="W52" i="22"/>
  <c r="W51" i="22"/>
  <c r="W50" i="22"/>
  <c r="W49" i="22"/>
  <c r="W48" i="22"/>
  <c r="W46" i="22"/>
  <c r="W45" i="22"/>
  <c r="W44" i="22"/>
  <c r="W42" i="22"/>
  <c r="W41" i="22"/>
  <c r="W40" i="22"/>
  <c r="W39" i="22"/>
  <c r="W38" i="22"/>
  <c r="W37" i="22"/>
  <c r="W36" i="22"/>
  <c r="W35" i="22"/>
  <c r="W34" i="22"/>
  <c r="W33" i="22"/>
  <c r="W31" i="22"/>
  <c r="W30" i="22"/>
  <c r="W29" i="22"/>
  <c r="W27" i="22"/>
  <c r="W26" i="22"/>
  <c r="W25" i="22"/>
  <c r="W24" i="22"/>
  <c r="W23" i="22"/>
  <c r="W18" i="22"/>
  <c r="W17" i="22"/>
  <c r="W16" i="22"/>
  <c r="W15" i="22"/>
  <c r="W14" i="22"/>
  <c r="W13" i="22"/>
  <c r="W12" i="22"/>
  <c r="W20" i="22"/>
  <c r="W10" i="22"/>
  <c r="W9" i="22"/>
  <c r="W8" i="22"/>
  <c r="S52" i="22"/>
  <c r="S51" i="22"/>
  <c r="S50" i="22"/>
  <c r="S49" i="22"/>
  <c r="S48" i="22"/>
  <c r="S46" i="22"/>
  <c r="S45" i="22"/>
  <c r="S44" i="22"/>
  <c r="S42" i="22"/>
  <c r="S41" i="22"/>
  <c r="S40" i="22"/>
  <c r="S39" i="22"/>
  <c r="S38" i="22"/>
  <c r="S37" i="22"/>
  <c r="S36" i="22"/>
  <c r="S35" i="22"/>
  <c r="S34" i="22"/>
  <c r="S33" i="22"/>
  <c r="S31" i="22"/>
  <c r="S30" i="22"/>
  <c r="S29" i="22"/>
  <c r="S27" i="22"/>
  <c r="S26" i="22"/>
  <c r="S25" i="22"/>
  <c r="S24" i="22"/>
  <c r="S23" i="22"/>
  <c r="S18" i="22"/>
  <c r="S17" i="22"/>
  <c r="S16" i="22"/>
  <c r="S15" i="22"/>
  <c r="S14" i="22"/>
  <c r="S13" i="22"/>
  <c r="S12" i="22"/>
  <c r="S20" i="22"/>
  <c r="S10" i="22"/>
  <c r="S9" i="22"/>
  <c r="S8" i="22"/>
  <c r="O52" i="22"/>
  <c r="O51" i="22"/>
  <c r="O50" i="22"/>
  <c r="O49" i="22"/>
  <c r="O48" i="22"/>
  <c r="O46" i="22"/>
  <c r="O45" i="22"/>
  <c r="O44" i="22"/>
  <c r="O42" i="22"/>
  <c r="O41" i="22"/>
  <c r="O40" i="22"/>
  <c r="O35" i="22"/>
  <c r="O34" i="22"/>
  <c r="O33" i="22"/>
  <c r="O31" i="22"/>
  <c r="O30" i="22"/>
  <c r="O29" i="22"/>
  <c r="O27" i="22"/>
  <c r="O26" i="22"/>
  <c r="O25" i="22"/>
  <c r="O24" i="22"/>
  <c r="O23" i="22"/>
  <c r="O18" i="22"/>
  <c r="O17" i="22"/>
  <c r="O16" i="22"/>
  <c r="O15" i="22"/>
  <c r="O14" i="22"/>
  <c r="O13" i="22"/>
  <c r="O12" i="22"/>
  <c r="O20" i="22"/>
  <c r="O10" i="22"/>
  <c r="O9" i="22"/>
  <c r="O8" i="22"/>
  <c r="O38" i="22"/>
  <c r="O36" i="22"/>
  <c r="O37" i="22"/>
  <c r="O39" i="22" l="1"/>
  <c r="AA19" i="18" l="1"/>
  <c r="Z19" i="18"/>
  <c r="L11" i="18" l="1"/>
  <c r="Y13" i="18" l="1"/>
  <c r="Y12" i="18"/>
  <c r="Z12" i="18"/>
  <c r="Z11" i="18"/>
  <c r="Y11" i="18"/>
  <c r="Z10" i="18"/>
  <c r="Y10" i="18"/>
  <c r="X10" i="18"/>
  <c r="X12" i="18" l="1"/>
  <c r="V12" i="18"/>
  <c r="V11" i="18"/>
  <c r="V13" i="18"/>
  <c r="X13" i="18"/>
  <c r="X11" i="18"/>
  <c r="V41" i="18" l="1"/>
  <c r="W41" i="18"/>
  <c r="R41" i="18"/>
  <c r="V24" i="18"/>
  <c r="U24" i="18"/>
  <c r="T24" i="18"/>
  <c r="W25" i="18"/>
  <c r="V25" i="18"/>
  <c r="V10" i="18"/>
  <c r="W9" i="18"/>
  <c r="AA9" i="18" s="1"/>
  <c r="V9" i="18"/>
  <c r="F11" i="6" l="1"/>
  <c r="D11" i="6"/>
  <c r="B11" i="6"/>
  <c r="F10" i="6"/>
  <c r="D10" i="6"/>
  <c r="B10" i="6"/>
  <c r="F9" i="6"/>
  <c r="D9" i="6"/>
  <c r="B9" i="6"/>
  <c r="F8" i="6"/>
  <c r="D8" i="6"/>
  <c r="B8" i="6"/>
  <c r="S47" i="18"/>
  <c r="S42" i="18"/>
  <c r="S25" i="18"/>
  <c r="S17" i="18"/>
  <c r="U13" i="18"/>
  <c r="T13" i="18"/>
  <c r="U12" i="18"/>
  <c r="T12" i="18"/>
  <c r="U11" i="18"/>
  <c r="T11" i="18"/>
  <c r="U10" i="18"/>
  <c r="T10" i="18"/>
  <c r="R24" i="18" l="1"/>
  <c r="Q24" i="18"/>
  <c r="P24" i="18"/>
  <c r="N24" i="18"/>
  <c r="M24" i="18"/>
  <c r="L24" i="18"/>
  <c r="R17" i="18"/>
  <c r="W24" i="18" l="1"/>
  <c r="S24" i="18"/>
  <c r="O24" i="18"/>
  <c r="R25" i="18"/>
  <c r="R13" i="18" l="1"/>
  <c r="R10" i="18"/>
  <c r="R11" i="18"/>
  <c r="R9" i="18"/>
  <c r="R12" i="18"/>
  <c r="Q13" i="18" l="1"/>
  <c r="Q12" i="18"/>
  <c r="Q10" i="18"/>
  <c r="Q11" i="18"/>
  <c r="N47" i="18" l="1"/>
  <c r="N46" i="18"/>
  <c r="N45" i="18"/>
  <c r="N41" i="18"/>
  <c r="N40" i="18"/>
  <c r="N39" i="18"/>
  <c r="O29" i="18"/>
  <c r="N23" i="18"/>
  <c r="P10" i="18"/>
  <c r="N10" i="18"/>
  <c r="M10" i="18"/>
  <c r="L10" i="18"/>
  <c r="AA10" i="18" s="1"/>
  <c r="P13" i="18"/>
  <c r="N13" i="18"/>
  <c r="M13" i="18"/>
  <c r="L13" i="18"/>
  <c r="AA13" i="18" s="1"/>
  <c r="N12" i="18"/>
  <c r="M12" i="18"/>
  <c r="L12" i="18"/>
  <c r="P11" i="18"/>
  <c r="N11" i="18"/>
  <c r="M11" i="18"/>
  <c r="N9" i="18"/>
  <c r="W12" i="18" l="1"/>
  <c r="S12" i="18"/>
  <c r="AA12" i="18"/>
  <c r="AA11" i="18"/>
  <c r="W10" i="18"/>
  <c r="S10" i="18"/>
  <c r="O12" i="18"/>
  <c r="W13" i="18"/>
  <c r="S13" i="18"/>
  <c r="W11" i="18"/>
  <c r="S11" i="18"/>
  <c r="O13" i="18"/>
  <c r="O10" i="18"/>
  <c r="O11" i="18"/>
</calcChain>
</file>

<file path=xl/sharedStrings.xml><?xml version="1.0" encoding="utf-8"?>
<sst xmlns="http://schemas.openxmlformats.org/spreadsheetml/2006/main" count="1056" uniqueCount="341">
  <si>
    <t>10-1000-09</t>
  </si>
  <si>
    <t>OBJETIVO</t>
  </si>
  <si>
    <t>INDICADOR</t>
  </si>
  <si>
    <t>FORMULA</t>
  </si>
  <si>
    <t>FRECUENCIA SEGUIMIENTO</t>
  </si>
  <si>
    <t>PROCESO</t>
  </si>
  <si>
    <t>RESPONSABLE</t>
  </si>
  <si>
    <t>LIMITE DE CONTROL</t>
  </si>
  <si>
    <t>META</t>
  </si>
  <si>
    <t>Cero Tolerancia al Riesgo</t>
  </si>
  <si>
    <t>mensual</t>
  </si>
  <si>
    <t>Gestion del Riesgo</t>
  </si>
  <si>
    <t>Indice de frecuencia de incidentes</t>
  </si>
  <si>
    <t>Indice de severidad</t>
  </si>
  <si>
    <t>Tasa de accidentalidad</t>
  </si>
  <si>
    <t>Cumplimiento de requisitos legales</t>
  </si>
  <si>
    <t># requisitos legales cumplidos y/o con planes de acción/ total de requisitos legales identificados</t>
  </si>
  <si>
    <t>Semestral</t>
  </si>
  <si>
    <t xml:space="preserve">Acompañar, controlar, hacer seguimiento y evaluar todos los programas en 
Seguridad, Salud en el Trabajo y Ambiente, como estrategia de mejoramiento 
continuo. </t>
  </si>
  <si>
    <t>Oportunidades de mejora</t>
  </si>
  <si>
    <t>Anual</t>
  </si>
  <si>
    <t>Impacto a la propiedad</t>
  </si>
  <si>
    <t># incidentes con daño o impacto a la propiedad / # incidentes totales del periodo</t>
  </si>
  <si>
    <t xml:space="preserve">Adelantar programas de responsabilidad social empresarial, especialmente en 
zonas de influencia de la empresa. 
</t>
  </si>
  <si>
    <t>Participación de la empresa en la comunidad</t>
  </si>
  <si>
    <t>Recursos</t>
  </si>
  <si>
    <t>$ presupuesto ejecutado / $ presupuesto destinado para el sistema de gestión</t>
  </si>
  <si>
    <t>Trimestral</t>
  </si>
  <si>
    <t>&gt; 90</t>
  </si>
  <si>
    <t>Promoción de actividades de no alcohol, no drogas, no fumadores</t>
  </si>
  <si>
    <t># de actividades ejecutadas</t>
  </si>
  <si>
    <t>Gestión del Riesgo</t>
  </si>
  <si>
    <t>prevención, control y mitigación 
de los impactos ambientales significativos generados por residuos ordinarios, 
reciclables y peligrosos, y las afectaciones ambientales a recursos naturales por 
extracción de productos forestales</t>
  </si>
  <si>
    <t>Afectaciones ambientales</t>
  </si>
  <si>
    <t>(Total de No. Afectaciones ambientales controladas /Total  No. Reportes de afectaciones ambientales ) * 100</t>
  </si>
  <si>
    <t>Manejo de residuos</t>
  </si>
  <si>
    <t>(Kg residuos recuperados en el año / Kg de residuos ordinarios generados en el año dispuestos por E.S.P.D)*100</t>
  </si>
  <si>
    <t>Consumo de agua</t>
  </si>
  <si>
    <t>(Promedio consumo  agua / Meta ) * 100</t>
  </si>
  <si>
    <t>6,5 M³</t>
  </si>
  <si>
    <t>Consumo de energía</t>
  </si>
  <si>
    <t>(Promedio consumo energia / Meta ) * 100</t>
  </si>
  <si>
    <t>112 Kw/h</t>
  </si>
  <si>
    <t>Planeación Integral de Trabajo Seguro</t>
  </si>
  <si>
    <t>Gestión del cambio</t>
  </si>
  <si>
    <t># de reportes de gestión del cambio</t>
  </si>
  <si>
    <t>Accidentes por riesgo biológico</t>
  </si>
  <si>
    <t># accidentes laborales por riesgo biológico / # total de accidentes laborales</t>
  </si>
  <si>
    <t>Accidentes por riesgo biomecánico</t>
  </si>
  <si>
    <t># accidentes laborales por riesgo biomecánico / # total de accidentes laborales</t>
  </si>
  <si>
    <t>Accidentes por riesgo mecánico</t>
  </si>
  <si>
    <t># accidentes laborales por riesgo mecanico / # total de accidentes laborales</t>
  </si>
  <si>
    <t>SEGUIMIENTO GENERAL DEL SGI</t>
  </si>
  <si>
    <t>Nivel de conocimiento de la política SST y AMBIENTAL</t>
  </si>
  <si>
    <t>Evaluar de la politica</t>
  </si>
  <si>
    <t>Conocimiento de la politica</t>
  </si>
  <si>
    <t>No. personas de conocimiento de la política/No. personas evaluadas x 100%</t>
  </si>
  <si>
    <t>Coordinador SST, Coordinador ambiental</t>
  </si>
  <si>
    <t>&gt; 80</t>
  </si>
  <si>
    <t>Nivel de conocimiento de objetivos SST y AMBIENTAL</t>
  </si>
  <si>
    <t>Evaluar de los objetivos del sistema</t>
  </si>
  <si>
    <t>Conocimiento de los objetivos</t>
  </si>
  <si>
    <t>No. personas de conocimiento de la objetivos/No. personas evaluadas x 100%</t>
  </si>
  <si>
    <t>Nivel de cumplimiento de los programas ambientales</t>
  </si>
  <si>
    <t>Implementar Programas ambientales</t>
  </si>
  <si>
    <t>Cumplimiento de programas</t>
  </si>
  <si>
    <t>No. programas implementados /No. Programas x100%</t>
  </si>
  <si>
    <t>Gestor del riesgo                     Coordinador Ambiental</t>
  </si>
  <si>
    <t>Nivel de cumplimiento de los programas SST</t>
  </si>
  <si>
    <t>implementar Programas SST</t>
  </si>
  <si>
    <t>DIRECTRIZ DE POLITICA</t>
  </si>
  <si>
    <t>FECHA</t>
  </si>
  <si>
    <t>(# días perdidos por accidentes laborales * 200.000) / horas hombre trabajadas en el periodo</t>
  </si>
  <si>
    <t>(# accidentes laborales * 200.000) / horas hombre trabajadas</t>
  </si>
  <si>
    <t>(# incidentes laborales * 200.000) / horas hombre trabajadas</t>
  </si>
  <si>
    <t>Max.</t>
  </si>
  <si>
    <t>SEVERIDAD</t>
  </si>
  <si>
    <t>FRECUENCIA INCIDENTES</t>
  </si>
  <si>
    <t>FRECUENCIA AT</t>
  </si>
  <si>
    <t>Min.</t>
  </si>
  <si>
    <t xml:space="preserve">Min. </t>
  </si>
  <si>
    <t>Gestión estratégica</t>
  </si>
  <si>
    <t>Coord. SST</t>
  </si>
  <si>
    <t>Gestor del Riesgo</t>
  </si>
  <si>
    <t xml:space="preserve">Gerencia </t>
  </si>
  <si>
    <t>Gerente</t>
  </si>
  <si>
    <t>Gestión Administrativa</t>
  </si>
  <si>
    <t>Gestor Financiero y contable</t>
  </si>
  <si>
    <t>Coord. Ambiental</t>
  </si>
  <si>
    <t xml:space="preserve">Max. </t>
  </si>
  <si>
    <t>% cumplimiento de programas de responsabilidad social</t>
  </si>
  <si>
    <t>Max</t>
  </si>
  <si>
    <t>SEGUIMIENTO  SGI SST Y AMBIENTAL 2015</t>
  </si>
  <si>
    <t>(# accidentes laborales del periodo evaluado de 2015 - # accidentes laborales del periodo evaluado de 2014) / # accidentes laborales del periodo evaluado de 2014</t>
  </si>
  <si>
    <t>ENERO</t>
  </si>
  <si>
    <t>FEBRERO</t>
  </si>
  <si>
    <t>MARZO</t>
  </si>
  <si>
    <t>EVIDENCIA</t>
  </si>
  <si>
    <t>Reportar y gestionar el control las condiciones peligrosas y actos inseguros que se presenten en el desempeño de las actividades</t>
  </si>
  <si>
    <t>Disminuir los accidentes e incidentes laborales con respecto al año anterior</t>
  </si>
  <si>
    <t>Identificar e intervenir los requisitos legales aplicables a la organización para lograr su cumplimiento</t>
  </si>
  <si>
    <t>Trazar oportunidades de mejora para el SGI</t>
  </si>
  <si>
    <t>Desarrollar competencias para los trabajadores, de acuerdo con los requerimientos para su labor</t>
  </si>
  <si>
    <t>Exponer inconformidades respecto al clima laboral y aspectos de calidad de vida intralaborales</t>
  </si>
  <si>
    <t>Prevenir la aparición de enfermedades profesionales</t>
  </si>
  <si>
    <t>Disminución de accidentes e incidentes que generen daños a la propiedad de partes interesadas</t>
  </si>
  <si>
    <t>Asignar recursos para la implementación del SGI</t>
  </si>
  <si>
    <t>Mantener actualizado a todo el personal con la información requerida, en lo relacionado con el sistema de gestión integrado.</t>
  </si>
  <si>
    <t>Promover actividades de no alcohol, no drogas y no fumadores.</t>
  </si>
  <si>
    <t>Diseñar e implementar programas de gestión ambiental para la conservación de recursos naturales y reducir el impacto sobre el ambiente.</t>
  </si>
  <si>
    <t>Planear la operación según los requerimientos legales y del contratante, en busca de la prevención de aspectos que afecten la integridad de las personas, de la comunidad y la producción necesaria para el sostenimiento de la empresa</t>
  </si>
  <si>
    <t>Gestionar oportunamente los riesgos prioritarios en seguridad industrial</t>
  </si>
  <si>
    <t>Gestionar oportunamente los riesgos higiénicos prioritarios</t>
  </si>
  <si>
    <t>Gestionar oportunamente los riesgos prioritarios</t>
  </si>
  <si>
    <t>Disminuir el ausentismo laboral</t>
  </si>
  <si>
    <t>Reportes de seguridad</t>
  </si>
  <si>
    <t>Disminución de la accidentalidad</t>
  </si>
  <si>
    <t>Disminución de los incidentes</t>
  </si>
  <si>
    <t xml:space="preserve">Cumplir con la legislación vigente en materia de seguridad industrial, salud en el 
trabajo y ambiente; y otras disposiciones y regulaciones pertinentes relacionados 
con los peligros y aspectos ambientales de la empresa.
</t>
  </si>
  <si>
    <t xml:space="preserve">Evaluaciones de requisitos legales
Revisión de requisitos legales
</t>
  </si>
  <si>
    <t>Seguimiento de indicadores
Programación de actividades SSTA
Auditorias
Seguimiento gerencial</t>
  </si>
  <si>
    <t xml:space="preserve">Diseñar, implementar y mantener procedimientos de trabajo, normas y 
estándares de seguridad industrial y ambiente en actividades críticas, los cuales son 
de obligatorio cumplimiento. </t>
  </si>
  <si>
    <t>Inducciones – Reinducciones</t>
  </si>
  <si>
    <t>Evaluaciones de entrenamiento</t>
  </si>
  <si>
    <t>Validación de formación</t>
  </si>
  <si>
    <t xml:space="preserve">Promover el mejoramiento de la calidad de vida y el clima laboral, la prevención 
de las enfermedades profesionales y accidentes laborales. </t>
  </si>
  <si>
    <t>Aparición de enfermedades profesionales</t>
  </si>
  <si>
    <t>Minutos por la vida</t>
  </si>
  <si>
    <t xml:space="preserve">Reportes de seguridad               </t>
  </si>
  <si>
    <t xml:space="preserve">Prevenir los daños a la propiedad y los impactos socio - ambientales significativos. </t>
  </si>
  <si>
    <t>Accidentes o incidentes que afectan la comunidad</t>
  </si>
  <si>
    <t>Contribuir con aspectos ambientales y de seguridad industrial a las partes Interesadas de las zonas de influencia de la empresa.</t>
  </si>
  <si>
    <t>Apoyo a la comunidad del área de influencia</t>
  </si>
  <si>
    <t xml:space="preserve">Disponer de recursos humanos, técnicos, tecnológicos y económicos para el diseño, implementación, seguimiento y evaluación del sistema de gestión en Seguridad, Salud en el Trabajo y Ambiente. </t>
  </si>
  <si>
    <t xml:space="preserve">Desarrollar estrategias para asegurar la Disponibilidad, confidencialidad e Integridad de la información </t>
  </si>
  <si>
    <t>Presupuesto</t>
  </si>
  <si>
    <t>Disponibilidad de recursos</t>
  </si>
  <si>
    <t xml:space="preserve">Implementar programas de capacitación, motivación y entrenamiento a todos los 
niveles organizacionales y contratistas, para el buen desarrollo del sistema de gestión en Seguridad, Salud en el Trabajo y Ambiente. </t>
  </si>
  <si>
    <t>Programación de actividades de formación y/o entrenamiento</t>
  </si>
  <si>
    <t xml:space="preserve">Actualizar y poner a disposición de partes interesadas la información concerniente a 
los resultados en seguridad industrial y salud ocupacional. </t>
  </si>
  <si>
    <t>Mecanismos de comunicación
Comunicados referentes a SSTA</t>
  </si>
  <si>
    <t xml:space="preserve">Promover en forma periódica acciones de no alcohol, no drogas y no fumadores, a todos los trabajadores de la empresa. </t>
  </si>
  <si>
    <t xml:space="preserve">Programar actividades </t>
  </si>
  <si>
    <t>Reducir el impacto sobre el ambiente, disminuyendo el consumo de energía eléctrica y agua potable a través del uso racional de los mismos.</t>
  </si>
  <si>
    <t>Reportes de afectaciones ambientales</t>
  </si>
  <si>
    <t>Recuperación de residuos</t>
  </si>
  <si>
    <t>Disminución de consumo de energía y agua</t>
  </si>
  <si>
    <t>Fortalecer la planeación oportuna de las 
actividades productivas como estrategia de prevención, para adoptar planes de 
emergencias acordes con cada sitio de trabajo</t>
  </si>
  <si>
    <t>Planes de emergencia</t>
  </si>
  <si>
    <t>Planeación de trabajo seguro</t>
  </si>
  <si>
    <t>Gestionar oportunamente los controles para riesgos mecánicos, biomecánicos, biológicos y físicos (ruido, radiaciones no ionizantes).</t>
  </si>
  <si>
    <t>Disminución de accidentes laborales por esos riesgos</t>
  </si>
  <si>
    <t>Disminución de ausentismo por accidentes laborales</t>
  </si>
  <si>
    <t>Reintegro laboral</t>
  </si>
  <si>
    <t>Disminución de ausentismo</t>
  </si>
  <si>
    <t>Indice de frecuencia de accidentes</t>
  </si>
  <si>
    <t>Seguimiento de no conformidades</t>
  </si>
  <si>
    <t># Acciones correctivas y preventivas cerradas / # Acciones correctivas y preventivas levantadas</t>
  </si>
  <si>
    <t># Acciones de mejora implementadas / # Acciones de mejora propuestas</t>
  </si>
  <si>
    <t>Programa de capacitaciones y/o entrenamiento</t>
  </si>
  <si>
    <t>% de cumplimiento del programa de capacitaciones</t>
  </si>
  <si>
    <t>Gestion de sistemas de información</t>
  </si>
  <si>
    <t># reportes de seguridad solucionados/# reportes de seguridad planteados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</si>
  <si>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</si>
  <si>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</si>
  <si>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</si>
  <si>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</si>
  <si>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</si>
  <si>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</si>
  <si>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</si>
  <si>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</si>
  <si>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</si>
  <si>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Enfermedades profesionales diagnosticadas</t>
  </si>
  <si>
    <t># de enfermedades profesionales</t>
  </si>
  <si>
    <t># Días de incapacidad por enfermedades generadas por riesgo biomecánico</t>
  </si>
  <si>
    <t># # Días de incapacidad por enfermedades generadas por riesgo físico</t>
  </si>
  <si>
    <t>Días de incapacidad generados por riesgos higienicos</t>
  </si>
  <si>
    <t>Disminución del indice de severidad en comparación con el año anterior</t>
  </si>
  <si>
    <t>(Numero de días perdidos AT/ EG / total de días perdidos por ausentismo en el periodo.)*100</t>
  </si>
  <si>
    <t>Asistente Administrativa</t>
  </si>
  <si>
    <t>Gestión de autoreporte de condiciones de trabajo y de salud</t>
  </si>
  <si>
    <t>(# reportes de seguridad solucionados/# reportes de seguridad planteados)*100</t>
  </si>
  <si>
    <t>Eficacia de inducción - reinducción</t>
  </si>
  <si>
    <t>Gestor administrativa</t>
  </si>
  <si>
    <t>(# trabajadores aprobados en evaluación / # trabajadores evaluados)*100</t>
  </si>
  <si>
    <t>Eficacia de entrenamiento</t>
  </si>
  <si>
    <t>(# trabjadores con evaluación aprabada de entrenamiento/# trabajadores nuevos)*100</t>
  </si>
  <si>
    <t>(# trabajadores validados en formación/# trabajadores ascendidos)*100</t>
  </si>
  <si>
    <t>Eficacia de validación</t>
  </si>
  <si>
    <t>(# PQR´S tendidos y solucionados / # PQR´S reportados)*100</t>
  </si>
  <si>
    <t>Quejas, reclamos, sugerencias</t>
  </si>
  <si>
    <t>Gestión de PQR´S</t>
  </si>
  <si>
    <t>Tiempo de reflexión</t>
  </si>
  <si>
    <t>Comunicaciones</t>
  </si>
  <si>
    <t># comunicados referentes a SSTA</t>
  </si>
  <si>
    <t>Gestion Operativa</t>
  </si>
  <si>
    <t>Gestor Operativo</t>
  </si>
  <si>
    <t>Eficiencia de reintegro laboral</t>
  </si>
  <si>
    <t>Eficiencia de ausentismo</t>
  </si>
  <si>
    <t>(# Herramientas de información en funcionamiento / # Herramientas de información desarrolladas)* 100</t>
  </si>
  <si>
    <t xml:space="preserve"> </t>
  </si>
  <si>
    <t>(Numero de Casos Severos de EG (incapacidad igual o superior a 30 días) reintegrados / Total de casos por EG severos durante el año.)*100</t>
  </si>
  <si>
    <t>(Numero de Casos Severos de AT (incapacidad igual o superior a 30 días) reintegrados / Total de casos por AT severo durante el año.)*100</t>
  </si>
  <si>
    <t>EVALUACION</t>
  </si>
  <si>
    <r>
      <t>(Numero de Casos AT Severos Reintegrados</t>
    </r>
    <r>
      <rPr>
        <b/>
        <sz val="10"/>
        <color theme="1"/>
        <rFont val="Arial"/>
        <family val="2"/>
      </rPr>
      <t>/</t>
    </r>
    <r>
      <rPr>
        <sz val="10"/>
        <color theme="1"/>
        <rFont val="Arial"/>
        <family val="2"/>
      </rPr>
      <t xml:space="preserve"> Numero de casos AT Severos.)</t>
    </r>
  </si>
  <si>
    <t>CUMPLIMIENTO DEL PLAN DE ACCIÓN TRIMESTRALMENTE 2013</t>
  </si>
  <si>
    <t>Marzo</t>
  </si>
  <si>
    <t>Junio</t>
  </si>
  <si>
    <t>Septiembre</t>
  </si>
  <si>
    <t>Diciembre</t>
  </si>
  <si>
    <t>CUMPLIMIENTO DEL PLAN DE ACCIÓN TRIMESTRALMENTE 2014</t>
  </si>
  <si>
    <t>CUMPLIMIENTO DEL PLAN DE ACCIÓN TRIMESTRALMENTE 2015</t>
  </si>
  <si>
    <t>AÑO</t>
  </si>
  <si>
    <t>marzo</t>
  </si>
  <si>
    <t>junio</t>
  </si>
  <si>
    <t>septiembre</t>
  </si>
  <si>
    <t>diciembre</t>
  </si>
  <si>
    <t xml:space="preserve">Promover el mejoramiento de la calidad de vida y el clima laboral, la prevención de las enfermedades profesionales y accidentes laborales. </t>
  </si>
  <si>
    <t>FRECUENCIA AT 2014</t>
  </si>
  <si>
    <t>FRECUENCIA AT 2015</t>
  </si>
  <si>
    <t>FRECUENCIA INCIDENTES 2014</t>
  </si>
  <si>
    <t>FRECUENCIA INCIDENTES 2015</t>
  </si>
  <si>
    <t>SEVERIDAD 2014</t>
  </si>
  <si>
    <t>SEVERIDAD 2015</t>
  </si>
  <si>
    <t>(# fincas con Planes de emergencia actualizados/Total de fincas planeadas a intervenir)*100</t>
  </si>
  <si>
    <t># minutos utilizados de reflexión / Horas Hombre trabajadas</t>
  </si>
  <si>
    <t>Disponer de tiempos para promover la toma conciencia respecto al autocuidado</t>
  </si>
  <si>
    <t xml:space="preserve"> SEGUIMIENTO DE INDICADORES</t>
  </si>
  <si>
    <t>SEGUIMIENTO DE INDICADORES</t>
  </si>
  <si>
    <t>SEGUIMIENTO  SGI SST Y AMBIENTAL 2016</t>
  </si>
  <si>
    <t>Autoreportes de condiciones de trabajo y salud</t>
  </si>
  <si>
    <t>(# autoreportes de condiciones de trabajo y salud solucionados / #  autoreportes de condiciones de trabajo y salud planteados)*100</t>
  </si>
  <si>
    <t xml:space="preserve">Promover el mejoramiento de la calidad de vida y el clima laboral, la prevención de las enfermedades y accidentes laborales. </t>
  </si>
  <si>
    <t>RESPONSABLE DEL CALCULO O MEDICIÓN</t>
  </si>
  <si>
    <t>(# incidentes laborales en el periodo * 200.000) / # horas hombre trabajadas en el mismo periodo</t>
  </si>
  <si>
    <t>(# accidentes laborales en el periodo * 200.000) / horas hombre trabajadas en el mismo periodo</t>
  </si>
  <si>
    <t>Certificado de incapacidad por accidente de trabajo</t>
  </si>
  <si>
    <t>Matriz de peligros y riesgos</t>
  </si>
  <si>
    <t>Matriz de requisitos legales, informes de identificación y evaluación del cumplimiento de los requisitos legales</t>
  </si>
  <si>
    <t>Informes de seguimiento de indicadores,
Programación de actividades SSTA,
Auditorias
Seguimiento gerencial</t>
  </si>
  <si>
    <t>Resgistro y cronograma de Inducciones – Reinducciones</t>
  </si>
  <si>
    <t>(# trabajadores aprobados en evaluación / # trabajadores en el periodo)*100</t>
  </si>
  <si>
    <t>Prevenir la aparición de enfermedades laborales</t>
  </si>
  <si>
    <t>Enfermedades laborales diagnosticadas</t>
  </si>
  <si>
    <t>Disponer de tiempos para promover la toma de conciencia con respecto al autocuidado</t>
  </si>
  <si>
    <t>% cumplimiento del programa de responsabilidad social</t>
  </si>
  <si>
    <t>Cordinador Ambiental</t>
  </si>
  <si>
    <t>Registro de asistencia y certificados de capacitación en apoyo a la comunidad del área de influencia</t>
  </si>
  <si>
    <t>Mensual</t>
  </si>
  <si>
    <t>Uso racional y eficiente de energía eléctrica</t>
  </si>
  <si>
    <t>Ahorro y uso eficiente de agua potable</t>
  </si>
  <si>
    <t>Mitigaciones a afectaciones ambientales</t>
  </si>
  <si>
    <t>(Número de afectaciones ambientales controladas en el periodo / Número de Reportes de afectaciones ambientales en el periodo ) * 100</t>
  </si>
  <si>
    <t>Coordinador SST</t>
  </si>
  <si>
    <t>Recibos de los servicios de agua y energía</t>
  </si>
  <si>
    <t>6,2 M³
&lt; 95%</t>
  </si>
  <si>
    <t>6,5 M³
&lt;105%</t>
  </si>
  <si>
    <t>109 Kw/h
&lt;95%</t>
  </si>
  <si>
    <t>115 Kw/h
&lt;105%</t>
  </si>
  <si>
    <t>Disminuir la ocurrencia de accidentes y enfermedades laborales, utilizando la prevención como mecanismo de control para los riesgos higienicos y de seguridad presentes en la operación forestal</t>
  </si>
  <si>
    <t>(# de casos nuevos por EL diagnosticada en el periodo evaluado / promedio de trabajaoderes en el periodo evaluado)*100</t>
  </si>
  <si>
    <t>Incidencia de enfermedades laborales</t>
  </si>
  <si>
    <t>Tasa de accidentabilidad</t>
  </si>
  <si>
    <t>Diseñar e implementar programas de gestión ambiental para la conservación de recursos naturales y reducir el impacto sobre el ambiente, con el fin de minimizar los riesgos sobre la salud humana y el ambiente</t>
  </si>
  <si>
    <t>Programa de gestión de residuos</t>
  </si>
  <si>
    <t>(Kg de residuos recuperados en el periodo / Kg de residuos ordinarios generados en el periodo)*100</t>
  </si>
  <si>
    <t>Min</t>
  </si>
  <si>
    <t>Aplicar "Cero Tolerancia al Riesgo" dentro de la ejecución de todas sus actividades productivas y administrativas</t>
  </si>
  <si>
    <t xml:space="preserve">Participar en el planear, hacer, verificar y actuar de todos los programas en Seguridad, Salud en el Trabajo y Ambiente, como estrategia de mejoramiento continuo. </t>
  </si>
  <si>
    <t xml:space="preserve">Diseñar, implementar y mantener procedimientos de trabajo, normas y estándares de seguridad industrial y ambiente en actividades críticas, los cuales son de obligatorio cumplimiento. </t>
  </si>
  <si>
    <t xml:space="preserve">Implementar programas de capacitación, motivación y entrenamiento a todos los niveles organizacionales y contratistas, para el buen desarrollo del sistema de gestión en Seguridad, Salud en el Trabajo y Ambiente. </t>
  </si>
  <si>
    <t xml:space="preserve">Actualizar y poner a disposición de partes interesadas la información concerniente a los resultados en seguridad y salud en el trabajo. </t>
  </si>
  <si>
    <t>Fortalecer la planeación oportuna de las actividades productivas como estrategia de prevención, para adoptar planes de emergencias acordes con cada sitio de trabajo</t>
  </si>
  <si>
    <t>Gestionar oportunamente los controles para riesgos mecánicos, biomecánicos, y físicos (ruido).</t>
  </si>
  <si>
    <t>Prevención, control y mitigación de los impactos ambientales significativos generados por residuos ordinarios, reciclables y peligrosos, y las afectaciones ambientales a recursos naturales por extracción de productos forestales</t>
  </si>
  <si>
    <t xml:space="preserve">Adelantar programas de responsabilidad social empresarial, especialmente en zonas de influencia de la empresa. </t>
  </si>
  <si>
    <t>Cumplir con la legislación vigente en materia de seguridad industrial, salud en el trabajo y ambiente; y otras disposiciones y regulaciones pertinentes relacionados con los peligros y aspectos ambientales de la empresa.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</si>
  <si>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</si>
  <si>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</si>
  <si>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</si>
  <si>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</si>
  <si>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</si>
  <si>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</si>
  <si>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</si>
  <si>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</si>
  <si>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</si>
  <si>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</si>
  <si>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</si>
  <si>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</si>
  <si>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EVAL</t>
  </si>
  <si>
    <t>(# trabjadores con evaluación aprobada de entrenamiento/# trabajadores nuevos)*100</t>
  </si>
  <si>
    <t>Días de incapacidad generados por enfermedad laboral</t>
  </si>
  <si>
    <t># accidentes laborales por riesgo biomecanico / # total de accidentes laborales</t>
  </si>
  <si>
    <r>
      <t>(Numero de Casos AT Severos Reintegrados</t>
    </r>
    <r>
      <rPr>
        <b/>
        <sz val="10"/>
        <rFont val="Arial"/>
        <family val="2"/>
      </rPr>
      <t>/</t>
    </r>
    <r>
      <rPr>
        <sz val="10"/>
        <rFont val="Arial"/>
        <family val="2"/>
      </rPr>
      <t xml:space="preserve"> Numero de casos AT Severos.)</t>
    </r>
  </si>
  <si>
    <t>Indice de frecuencia de accidentes laborales</t>
  </si>
  <si>
    <t>Indice de frecuencia de incidentes laborales</t>
  </si>
  <si>
    <t>(# de accidentes laborales del periodo / # promedio de trabajadores del periodo) * 100</t>
  </si>
  <si>
    <t># de días de incapacidad por enfermedades laborales generadas por riesgo Mecánico / # de trabajadores del periodo</t>
  </si>
  <si>
    <t># de días de incapacidad por enfermedades laborales generadas por riesgo biomecánico / # de trabajadores del periodo</t>
  </si>
  <si>
    <t>Programa y cronograma de higiene y seguridad industrial
Matriz de caracterización de accidentes e incidentes</t>
  </si>
  <si>
    <t>Gerente y/o Gestor del Riesgo</t>
  </si>
  <si>
    <t>Inventario de herramientas de información</t>
  </si>
  <si>
    <t>Registro de actividades de capacitación y/o entrenamiento</t>
  </si>
  <si>
    <t>Capacitaciones y/o entrenamiento</t>
  </si>
  <si>
    <t>Gestor del sistema de información</t>
  </si>
  <si>
    <t>Programa de medicina preventiva y del trabajo</t>
  </si>
  <si>
    <t>Gestion Operativa y Gestión del Riesgo</t>
  </si>
  <si>
    <t>Coordinador(a) y 
Gestor Operativo</t>
  </si>
  <si>
    <t>Planes de emergencia, PON´s y Simulacros</t>
  </si>
  <si>
    <t>Registros de Gestión del cambio</t>
  </si>
  <si>
    <t>Programa de riesgo químico</t>
  </si>
  <si>
    <t>Generar conciencia en la conservación de la salud de los trabajadores y la protección del ambiente</t>
  </si>
  <si>
    <t>Personal capaciado</t>
  </si>
  <si>
    <t>(# de Trabajadores capacitados / # total de trabajadores expuestos a riesgo químico) *100</t>
  </si>
  <si>
    <t>Programa de mantenimiento</t>
  </si>
  <si>
    <t>Incentivar la realización de los mantenimientos preventivos en los equipos y herramientos de las partes interesadas</t>
  </si>
  <si>
    <t>Mantenimiento preventivo</t>
  </si>
  <si>
    <t>(# de reportes de mantenimiento preventivo / # total de reportes de mantenimiento) * 100</t>
  </si>
  <si>
    <t>Programa de seguridad vial</t>
  </si>
  <si>
    <t>Desarrollar competencias para los trabajadores, de acuerdo con los requerimientos para su labor, resaltando las acciones preventivas</t>
  </si>
  <si>
    <t>(# de Conductores capacitados / # total de conductores expuestos a riesgo accidente de tránsito) *100</t>
  </si>
  <si>
    <t>Conductores capaciados</t>
  </si>
  <si>
    <t>Registro de Reintegro laboral</t>
  </si>
  <si>
    <t>Eficiencia del reintegro laboral</t>
  </si>
  <si>
    <t>Eficiencia del ausentismo</t>
  </si>
  <si>
    <t>(Numero de días perdidos AT/ EG en el periodo / total de días perdidos por ausentismo en el periodo)*100</t>
  </si>
  <si>
    <t>Certificado de incapacidad por accidente de trabajo y enfermedad laboral;
Programa de medicina preventiva</t>
  </si>
  <si>
    <t>(# de actividades ejecutadas en el perido / # total de actividades programadas en el periodo) *100</t>
  </si>
  <si>
    <t>Matriz de Minutos por la vida y
Programa de medicina preventiva</t>
  </si>
  <si>
    <t># horas utilizados de reflexión / Horas Hombre trabajadas</t>
  </si>
  <si>
    <t>Certificación de enfermedades laborales
Programa de medicina preventiva</t>
  </si>
  <si>
    <t># de enfermedades laborales diagnosticadas</t>
  </si>
  <si>
    <t># Días de incapacidad por enfermedades laorales generadas por riesgo físico (Ruido) / # de trabajadores del periodo</t>
  </si>
  <si>
    <t>Incidencia de casos con alteraciones auditivas</t>
  </si>
  <si>
    <t>(# de casos de alteraciones auditivas / # total de trabajadores expuestos al ruido) * 100</t>
  </si>
  <si>
    <t>Prevalencia</t>
  </si>
  <si>
    <t>(# de casos nuevos con alteraciones auditivas + # de casos existentes con alteraciones auditivas / # total de trabajadores expuestos al ruido</t>
  </si>
  <si>
    <t>Informe Médico
S. V. E. Ruido</t>
  </si>
  <si>
    <t>Reporte de incidentes;
Programas de gestion de riesgo prioritario</t>
  </si>
  <si>
    <t>Reporte de Accidentes;
Programas de gestion de riesgo prioritario</t>
  </si>
  <si>
    <t>V6/08-07-2016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</si>
</sst>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4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Fill="1" applyBorder="1"/>
    <xf numFmtId="1" fontId="6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0" fillId="0" borderId="2" xfId="0" applyFill="1" applyBorder="1"/>
    <xf numFmtId="0" fontId="3" fillId="0" borderId="2" xfId="0" applyFont="1" applyFill="1" applyBorder="1"/>
    <xf numFmtId="1" fontId="6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5" fontId="0" fillId="0" borderId="0" xfId="0" applyNumberFormat="1" applyAlignment="1">
      <alignment horizontal="left"/>
    </xf>
    <xf numFmtId="0" fontId="0" fillId="0" borderId="0" xfId="0" applyNumberFormat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1" fontId="6" fillId="0" borderId="7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9" fontId="6" fillId="0" borderId="1" xfId="2" applyNumberFormat="1" applyFont="1" applyFill="1" applyBorder="1" applyAlignment="1">
      <alignment horizontal="center" vertical="center" wrapText="1"/>
    </xf>
    <xf numFmtId="9" fontId="6" fillId="0" borderId="1" xfId="2" applyFont="1" applyFill="1" applyBorder="1" applyAlignment="1">
      <alignment horizontal="center" vertical="center" wrapText="1"/>
    </xf>
    <xf numFmtId="3" fontId="6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9" fontId="9" fillId="0" borderId="1" xfId="2" applyFont="1" applyBorder="1"/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2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1" fontId="6" fillId="0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1" fillId="0" borderId="0" xfId="0" applyFont="1"/>
    <xf numFmtId="0" fontId="12" fillId="3" borderId="1" xfId="0" applyFont="1" applyFill="1" applyBorder="1" applyAlignment="1">
      <alignment horizontal="center" vertical="center" wrapText="1"/>
    </xf>
    <xf numFmtId="9" fontId="3" fillId="0" borderId="8" xfId="2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/>
    <xf numFmtId="9" fontId="3" fillId="0" borderId="1" xfId="2" applyFont="1" applyBorder="1"/>
    <xf numFmtId="164" fontId="3" fillId="0" borderId="1" xfId="0" applyNumberFormat="1" applyFont="1" applyBorder="1"/>
    <xf numFmtId="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/>
    <xf numFmtId="0" fontId="3" fillId="0" borderId="1" xfId="0" applyFont="1" applyBorder="1" applyAlignment="1">
      <alignment horizontal="center" vertical="center"/>
    </xf>
    <xf numFmtId="0" fontId="11" fillId="0" borderId="0" xfId="0" applyFont="1" applyFill="1"/>
    <xf numFmtId="0" fontId="3" fillId="0" borderId="8" xfId="0" applyFont="1" applyBorder="1"/>
    <xf numFmtId="9" fontId="6" fillId="0" borderId="8" xfId="0" applyNumberFormat="1" applyFont="1" applyFill="1" applyBorder="1" applyAlignment="1">
      <alignment vertical="center" wrapText="1"/>
    </xf>
    <xf numFmtId="0" fontId="11" fillId="0" borderId="1" xfId="0" applyFont="1" applyBorder="1"/>
    <xf numFmtId="9" fontId="3" fillId="0" borderId="1" xfId="2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vertical="center"/>
    </xf>
    <xf numFmtId="0" fontId="15" fillId="0" borderId="0" xfId="0" applyFont="1"/>
    <xf numFmtId="0" fontId="14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wrapText="1"/>
    </xf>
    <xf numFmtId="9" fontId="16" fillId="8" borderId="1" xfId="2" applyNumberFormat="1" applyFont="1" applyFill="1" applyBorder="1" applyAlignment="1">
      <alignment horizontal="center"/>
    </xf>
    <xf numFmtId="9" fontId="16" fillId="8" borderId="0" xfId="2" applyNumberFormat="1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7" fillId="9" borderId="1" xfId="0" applyFont="1" applyFill="1" applyBorder="1" applyAlignment="1">
      <alignment horizontal="center"/>
    </xf>
    <xf numFmtId="10" fontId="16" fillId="8" borderId="1" xfId="2" applyNumberFormat="1" applyFont="1" applyFill="1" applyBorder="1" applyAlignment="1">
      <alignment horizontal="center"/>
    </xf>
    <xf numFmtId="9" fontId="16" fillId="8" borderId="11" xfId="2" applyNumberFormat="1" applyFont="1" applyFill="1" applyBorder="1" applyAlignment="1">
      <alignment horizontal="center"/>
    </xf>
    <xf numFmtId="164" fontId="9" fillId="0" borderId="1" xfId="0" applyNumberFormat="1" applyFont="1" applyBorder="1"/>
    <xf numFmtId="164" fontId="3" fillId="0" borderId="1" xfId="0" applyNumberFormat="1" applyFont="1" applyBorder="1" applyAlignment="1">
      <alignment vertical="center"/>
    </xf>
    <xf numFmtId="2" fontId="0" fillId="0" borderId="1" xfId="0" applyNumberFormat="1" applyBorder="1"/>
    <xf numFmtId="1" fontId="6" fillId="0" borderId="15" xfId="0" applyNumberFormat="1" applyFont="1" applyFill="1" applyBorder="1" applyAlignment="1">
      <alignment horizontal="center" vertical="center" wrapText="1"/>
    </xf>
    <xf numFmtId="2" fontId="0" fillId="0" borderId="7" xfId="0" applyNumberFormat="1" applyFill="1" applyBorder="1"/>
    <xf numFmtId="1" fontId="6" fillId="0" borderId="16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5" fontId="0" fillId="0" borderId="14" xfId="0" applyNumberFormat="1" applyBorder="1"/>
    <xf numFmtId="15" fontId="0" fillId="0" borderId="14" xfId="0" applyNumberFormat="1" applyFill="1" applyBorder="1"/>
    <xf numFmtId="164" fontId="3" fillId="0" borderId="14" xfId="0" applyNumberFormat="1" applyFont="1" applyBorder="1"/>
    <xf numFmtId="164" fontId="9" fillId="0" borderId="14" xfId="0" applyNumberFormat="1" applyFont="1" applyBorder="1"/>
    <xf numFmtId="2" fontId="0" fillId="0" borderId="14" xfId="0" applyNumberFormat="1" applyBorder="1"/>
    <xf numFmtId="1" fontId="6" fillId="0" borderId="17" xfId="0" applyNumberFormat="1" applyFont="1" applyFill="1" applyBorder="1" applyAlignment="1">
      <alignment horizontal="center" vertical="center" wrapText="1"/>
    </xf>
    <xf numFmtId="1" fontId="6" fillId="0" borderId="12" xfId="0" applyNumberFormat="1" applyFont="1" applyFill="1" applyBorder="1" applyAlignment="1">
      <alignment horizontal="center" vertical="center" wrapText="1"/>
    </xf>
    <xf numFmtId="0" fontId="2" fillId="0" borderId="0" xfId="0" applyFont="1"/>
    <xf numFmtId="164" fontId="3" fillId="0" borderId="9" xfId="0" applyNumberFormat="1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2" fontId="0" fillId="0" borderId="14" xfId="0" applyNumberFormat="1" applyFill="1" applyBorder="1"/>
    <xf numFmtId="2" fontId="0" fillId="0" borderId="3" xfId="0" applyNumberFormat="1" applyBorder="1"/>
    <xf numFmtId="164" fontId="3" fillId="0" borderId="14" xfId="0" applyNumberFormat="1" applyFont="1" applyBorder="1" applyAlignment="1">
      <alignment vertical="center"/>
    </xf>
    <xf numFmtId="2" fontId="0" fillId="0" borderId="18" xfId="0" applyNumberFormat="1" applyBorder="1"/>
    <xf numFmtId="0" fontId="0" fillId="0" borderId="18" xfId="0" applyBorder="1"/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2" fontId="0" fillId="0" borderId="19" xfId="0" applyNumberFormat="1" applyFill="1" applyBorder="1"/>
    <xf numFmtId="0" fontId="3" fillId="0" borderId="1" xfId="0" applyFont="1" applyBorder="1" applyAlignment="1">
      <alignment horizontal="center" vertical="center" wrapText="1"/>
    </xf>
    <xf numFmtId="9" fontId="3" fillId="0" borderId="1" xfId="2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9" fontId="3" fillId="10" borderId="1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9" fontId="3" fillId="4" borderId="1" xfId="2" applyFont="1" applyFill="1" applyBorder="1" applyAlignment="1">
      <alignment horizontal="center" vertical="center"/>
    </xf>
    <xf numFmtId="9" fontId="3" fillId="10" borderId="1" xfId="2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9" fontId="3" fillId="0" borderId="1" xfId="2" applyNumberFormat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9" fontId="3" fillId="4" borderId="1" xfId="2" applyFont="1" applyFill="1" applyBorder="1"/>
    <xf numFmtId="9" fontId="3" fillId="4" borderId="1" xfId="0" applyNumberFormat="1" applyFont="1" applyFill="1" applyBorder="1"/>
    <xf numFmtId="0" fontId="4" fillId="0" borderId="0" xfId="0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9" fontId="6" fillId="0" borderId="1" xfId="2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9" fontId="6" fillId="10" borderId="1" xfId="2" applyFont="1" applyFill="1" applyBorder="1" applyAlignment="1">
      <alignment horizontal="center" vertical="center"/>
    </xf>
    <xf numFmtId="10" fontId="21" fillId="4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9" fontId="6" fillId="1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6" fillId="10" borderId="1" xfId="0" applyNumberFormat="1" applyFont="1" applyFill="1" applyBorder="1" applyAlignment="1">
      <alignment horizontal="center" vertical="center"/>
    </xf>
    <xf numFmtId="9" fontId="21" fillId="0" borderId="1" xfId="0" applyNumberFormat="1" applyFont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164" fontId="6" fillId="10" borderId="1" xfId="0" applyNumberFormat="1" applyFont="1" applyFill="1" applyBorder="1" applyAlignment="1">
      <alignment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5" fontId="6" fillId="10" borderId="1" xfId="2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65" fontId="6" fillId="10" borderId="1" xfId="0" applyNumberFormat="1" applyFont="1" applyFill="1" applyBorder="1" applyAlignment="1">
      <alignment horizontal="center" vertical="center"/>
    </xf>
    <xf numFmtId="10" fontId="6" fillId="10" borderId="1" xfId="2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21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2" fillId="0" borderId="0" xfId="0" applyFont="1"/>
    <xf numFmtId="0" fontId="6" fillId="0" borderId="1" xfId="2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6" fillId="0" borderId="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2" xfId="0" applyFont="1" applyBorder="1" applyAlignment="1">
      <alignment horizontal="right"/>
    </xf>
    <xf numFmtId="0" fontId="18" fillId="0" borderId="2" xfId="0" applyFont="1" applyBorder="1" applyAlignment="1"/>
    <xf numFmtId="0" fontId="4" fillId="0" borderId="0" xfId="0" applyFont="1" applyAlignment="1"/>
    <xf numFmtId="0" fontId="6" fillId="15" borderId="8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6" fillId="12" borderId="10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10" fillId="2" borderId="1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center" vertical="center" wrapText="1"/>
    </xf>
    <xf numFmtId="0" fontId="6" fillId="13" borderId="10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3" fillId="14" borderId="9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1" fontId="6" fillId="0" borderId="8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9" fontId="6" fillId="0" borderId="8" xfId="0" applyNumberFormat="1" applyFont="1" applyFill="1" applyBorder="1" applyAlignment="1">
      <alignment horizontal="center" vertical="center" wrapText="1"/>
    </xf>
    <xf numFmtId="9" fontId="6" fillId="0" borderId="9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INDICE FRECUENCIA AT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'COMPARATIVO 2014-2015'!$B$7</c:f>
              <c:strCache>
                <c:ptCount val="1"/>
                <c:pt idx="0">
                  <c:v>FRECUENCIA AT 2014</c:v>
                </c:pt>
              </c:strCache>
            </c:strRef>
          </c:tx>
          <c:cat>
            <c:strRef>
              <c:f>'COMPARATIVO 2014-2015'!$A$8:$A$19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2014-2015'!$B$8:$B$18</c:f>
              <c:numCache>
                <c:formatCode>0.00</c:formatCode>
                <c:ptCount val="11"/>
                <c:pt idx="0">
                  <c:v>10.218679746576742</c:v>
                </c:pt>
                <c:pt idx="1">
                  <c:v>4.6763935652824538</c:v>
                </c:pt>
                <c:pt idx="2">
                  <c:v>8.5382513661202193</c:v>
                </c:pt>
                <c:pt idx="3" formatCode="General">
                  <c:v>0</c:v>
                </c:pt>
                <c:pt idx="4">
                  <c:v>11.837121212121213</c:v>
                </c:pt>
                <c:pt idx="5">
                  <c:v>8.1726054266100032</c:v>
                </c:pt>
                <c:pt idx="6">
                  <c:v>15.09433962264151</c:v>
                </c:pt>
                <c:pt idx="7">
                  <c:v>4.055807916937054</c:v>
                </c:pt>
                <c:pt idx="8">
                  <c:v>0</c:v>
                </c:pt>
                <c:pt idx="9">
                  <c:v>0</c:v>
                </c:pt>
                <c:pt idx="10">
                  <c:v>18.055756175068613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'COMPARATIVO 2014-2015'!$C$7</c:f>
              <c:strCache>
                <c:ptCount val="1"/>
                <c:pt idx="0">
                  <c:v>FRECUENCIA AT 2015</c:v>
                </c:pt>
              </c:strCache>
            </c:strRef>
          </c:tx>
          <c:cat>
            <c:strRef>
              <c:f>'COMPARATIVO 2014-2015'!$A$8:$A$19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2014-2015'!$C$8:$C$19</c:f>
              <c:numCache>
                <c:formatCode>0.0</c:formatCode>
                <c:ptCount val="12"/>
                <c:pt idx="0">
                  <c:v>3.8959015116097864</c:v>
                </c:pt>
                <c:pt idx="1">
                  <c:v>8.5120871637725575</c:v>
                </c:pt>
                <c:pt idx="2">
                  <c:v>7.8357624196834355</c:v>
                </c:pt>
                <c:pt idx="3">
                  <c:v>11.857707509881424</c:v>
                </c:pt>
                <c:pt idx="4">
                  <c:v>0</c:v>
                </c:pt>
                <c:pt idx="5" formatCode="0.00">
                  <c:v>8.1</c:v>
                </c:pt>
                <c:pt idx="6" formatCode="0.00">
                  <c:v>4</c:v>
                </c:pt>
                <c:pt idx="7" formatCode="0.00">
                  <c:v>4.0999999999999996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88480"/>
        <c:axId val="98790016"/>
      </c:lineChart>
      <c:catAx>
        <c:axId val="9878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8790016"/>
        <c:crosses val="autoZero"/>
        <c:auto val="1"/>
        <c:lblAlgn val="ctr"/>
        <c:lblOffset val="100"/>
        <c:noMultiLvlLbl val="0"/>
      </c:catAx>
      <c:valAx>
        <c:axId val="987900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98788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MECANICO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MECANICO!$C$18:$F$18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MECANICO!$C$19:$F$19</c:f>
              <c:numCache>
                <c:formatCode>0%</c:formatCode>
                <c:ptCount val="4"/>
                <c:pt idx="0">
                  <c:v>0.22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MECANICO!$C$18:$F$18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MECANICO!$C$20:$F$20</c:f>
              <c:numCache>
                <c:formatCode>0%</c:formatCode>
                <c:ptCount val="4"/>
                <c:pt idx="0">
                  <c:v>0.17</c:v>
                </c:pt>
                <c:pt idx="1">
                  <c:v>0.15</c:v>
                </c:pt>
                <c:pt idx="2">
                  <c:v>0.5</c:v>
                </c:pt>
                <c:pt idx="3">
                  <c:v>0.87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MECANICO!$C$18:$F$18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MECANICO!$C$21:$F$21</c:f>
              <c:numCache>
                <c:formatCode>0%</c:formatCode>
                <c:ptCount val="4"/>
                <c:pt idx="0">
                  <c:v>0.09</c:v>
                </c:pt>
                <c:pt idx="1">
                  <c:v>0.26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87616"/>
        <c:axId val="82289408"/>
      </c:lineChart>
      <c:catAx>
        <c:axId val="82287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2289408"/>
        <c:crosses val="autoZero"/>
        <c:auto val="1"/>
        <c:lblAlgn val="ctr"/>
        <c:lblOffset val="100"/>
        <c:noMultiLvlLbl val="0"/>
      </c:catAx>
      <c:valAx>
        <c:axId val="822894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2287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FISICO RUIDO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FISICO!$C$18:$F$18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FISICO!$C$19:$F$19</c:f>
              <c:numCache>
                <c:formatCode>0%</c:formatCode>
                <c:ptCount val="4"/>
                <c:pt idx="0">
                  <c:v>0.25</c:v>
                </c:pt>
                <c:pt idx="1">
                  <c:v>0.35</c:v>
                </c:pt>
                <c:pt idx="2">
                  <c:v>0.3</c:v>
                </c:pt>
                <c:pt idx="3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FISICO!$C$18:$F$18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FISICO!$C$20:$F$20</c:f>
              <c:numCache>
                <c:formatCode>0%</c:formatCode>
                <c:ptCount val="4"/>
                <c:pt idx="0">
                  <c:v>0.48</c:v>
                </c:pt>
                <c:pt idx="1">
                  <c:v>0.48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marker>
            <c:symbol val="none"/>
          </c:marker>
          <c:cat>
            <c:strRef>
              <c:f>FISICO!$C$18:$F$18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FISICO!$C$21:$F$21</c:f>
              <c:numCache>
                <c:formatCode>0%</c:formatCode>
                <c:ptCount val="4"/>
                <c:pt idx="0">
                  <c:v>0</c:v>
                </c:pt>
                <c:pt idx="1">
                  <c:v>0.26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26656"/>
        <c:axId val="82328192"/>
      </c:lineChart>
      <c:catAx>
        <c:axId val="82326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2328192"/>
        <c:crosses val="autoZero"/>
        <c:auto val="1"/>
        <c:lblAlgn val="ctr"/>
        <c:lblOffset val="100"/>
        <c:noMultiLvlLbl val="0"/>
      </c:catAx>
      <c:valAx>
        <c:axId val="8232819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232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PSICOLABORAL</a:t>
            </a:r>
          </a:p>
        </c:rich>
      </c:tx>
      <c:layout>
        <c:manualLayout>
          <c:xMode val="edge"/>
          <c:yMode val="edge"/>
          <c:x val="0.32793044619422573"/>
          <c:y val="3.261977573904179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SICOLABORAL!$C$18:$F$18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SICOLABORAL!$C$19:$F$19</c:f>
              <c:numCache>
                <c:formatCode>0%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0.22</c:v>
                </c:pt>
                <c:pt idx="3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SICOLABORAL!$C$18:$F$18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SICOLABORAL!$C$20:$F$20</c:f>
              <c:numCache>
                <c:formatCode>0%</c:formatCode>
                <c:ptCount val="4"/>
                <c:pt idx="0">
                  <c:v>0.31</c:v>
                </c:pt>
                <c:pt idx="1">
                  <c:v>0.4</c:v>
                </c:pt>
                <c:pt idx="2">
                  <c:v>0.57999999999999996</c:v>
                </c:pt>
                <c:pt idx="3">
                  <c:v>0.75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marker>
            <c:symbol val="none"/>
          </c:marker>
          <c:cat>
            <c:strRef>
              <c:f>SICOLABORAL!$C$18:$F$18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SICOLABORAL!$C$21:$F$21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33376"/>
        <c:axId val="82539264"/>
      </c:lineChart>
      <c:catAx>
        <c:axId val="82533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2539264"/>
        <c:crosses val="autoZero"/>
        <c:auto val="1"/>
        <c:lblAlgn val="ctr"/>
        <c:lblOffset val="100"/>
        <c:noMultiLvlLbl val="0"/>
      </c:catAx>
      <c:valAx>
        <c:axId val="8253926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2533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SEGURIDAD VIAL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cat>
            <c:strRef>
              <c:f>'SEGURIDAD VIAL'!$C$18:$F$18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'SEGURIDAD VIAL'!$C$19:$F$19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'SEGURIDAD VIAL'!$C$18:$F$18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'SEGURIDAD VIAL'!$C$20:$F$20</c:f>
              <c:numCache>
                <c:formatCode>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'SEGURIDAD VIAL'!$C$18:$F$18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'SEGURIDAD VIAL'!$C$21:$F$21</c:f>
              <c:numCache>
                <c:formatCode>0%</c:formatCode>
                <c:ptCount val="4"/>
                <c:pt idx="0">
                  <c:v>0</c:v>
                </c:pt>
                <c:pt idx="1">
                  <c:v>0.24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68736"/>
        <c:axId val="83270272"/>
      </c:lineChart>
      <c:catAx>
        <c:axId val="83268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3270272"/>
        <c:crosses val="autoZero"/>
        <c:auto val="1"/>
        <c:lblAlgn val="ctr"/>
        <c:lblOffset val="100"/>
        <c:noMultiLvlLbl val="0"/>
      </c:catAx>
      <c:valAx>
        <c:axId val="832702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326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txPr>
    <a:bodyPr/>
    <a:lstStyle/>
    <a:p>
      <a:pPr>
        <a:defRPr>
          <a:solidFill>
            <a:schemeClr val="bg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TRABAJO</a:t>
            </a:r>
            <a:r>
              <a:rPr lang="es-CO" baseline="0"/>
              <a:t> SEGURO EN ALTURAS</a:t>
            </a:r>
            <a:endParaRPr lang="es-CO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cat>
            <c:strRef>
              <c:f>TRA.SEG.ALT!$C$18:$F$18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TRA.SEG.ALT!$C$19:$F$19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TRA.SEG.ALT!$C$18:$F$18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TRA.SEG.ALT!$C$20:$F$20</c:f>
              <c:numCache>
                <c:formatCode>0%</c:formatCode>
                <c:ptCount val="4"/>
                <c:pt idx="0">
                  <c:v>0.48</c:v>
                </c:pt>
                <c:pt idx="1">
                  <c:v>0.55000000000000004</c:v>
                </c:pt>
                <c:pt idx="2">
                  <c:v>0.67</c:v>
                </c:pt>
                <c:pt idx="3">
                  <c:v>0.77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TRA.SEG.ALT!$C$18:$F$18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TRA.SEG.ALT!$C$21:$F$21</c:f>
              <c:numCache>
                <c:formatCode>0%</c:formatCode>
                <c:ptCount val="4"/>
                <c:pt idx="0">
                  <c:v>0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03136"/>
        <c:axId val="86512384"/>
      </c:lineChart>
      <c:catAx>
        <c:axId val="83803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6512384"/>
        <c:crosses val="autoZero"/>
        <c:auto val="1"/>
        <c:lblAlgn val="ctr"/>
        <c:lblOffset val="100"/>
        <c:noMultiLvlLbl val="0"/>
      </c:catAx>
      <c:valAx>
        <c:axId val="8651238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3803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</c:dTable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BIOLOGICO</a:t>
            </a:r>
          </a:p>
        </c:rich>
      </c:tx>
      <c:layout/>
      <c:overlay val="0"/>
      <c:spPr>
        <a:solidFill>
          <a:schemeClr val="tx1">
            <a:lumMod val="75000"/>
            <a:lumOff val="25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cat>
            <c:strRef>
              <c:f>BIOLOGICO!$C$18:$F$18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BIOLOGICO!$C$19:$F$19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BIOLOGICO!$C$18:$F$18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BIOLOGICO!$C$20:$F$20</c:f>
              <c:numCache>
                <c:formatCode>0%</c:formatCode>
                <c:ptCount val="4"/>
                <c:pt idx="0" formatCode="0.00%">
                  <c:v>5.9999999999999995E-4</c:v>
                </c:pt>
                <c:pt idx="1">
                  <c:v>0.2</c:v>
                </c:pt>
                <c:pt idx="2">
                  <c:v>0.39</c:v>
                </c:pt>
                <c:pt idx="3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BIOLOGICO!$C$18:$F$18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BIOLOGICO!$C$21:$F$21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6016"/>
        <c:axId val="86567552"/>
      </c:lineChart>
      <c:catAx>
        <c:axId val="86566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6567552"/>
        <c:crosses val="autoZero"/>
        <c:auto val="1"/>
        <c:lblAlgn val="ctr"/>
        <c:lblOffset val="100"/>
        <c:noMultiLvlLbl val="0"/>
      </c:catAx>
      <c:valAx>
        <c:axId val="865675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8656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</c:dTable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MANTENIMIENTO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cat>
            <c:strRef>
              <c:f>MANTENIMIENTO!$C$18:$F$18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MANTENIMIENTO!$C$19:$F$19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MANTENIMIENTO!$C$18:$F$18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MANTENIMIENTO!$C$20:$F$20</c:f>
              <c:numCache>
                <c:formatCode>0%</c:formatCode>
                <c:ptCount val="4"/>
                <c:pt idx="0">
                  <c:v>0.04</c:v>
                </c:pt>
                <c:pt idx="1">
                  <c:v>0.18</c:v>
                </c:pt>
                <c:pt idx="2">
                  <c:v>0.3</c:v>
                </c:pt>
                <c:pt idx="3">
                  <c:v>0.48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MANTENIMIENTO!$C$18:$F$18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MANTENIMIENTO!$C$21:$F$21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16256"/>
        <c:axId val="98038528"/>
      </c:lineChart>
      <c:catAx>
        <c:axId val="9801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8038528"/>
        <c:crosses val="autoZero"/>
        <c:auto val="1"/>
        <c:lblAlgn val="ctr"/>
        <c:lblOffset val="100"/>
        <c:noMultiLvlLbl val="0"/>
      </c:catAx>
      <c:valAx>
        <c:axId val="980385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9801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</c:dTable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INSPECCIONES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INSPECCIONES!$C$18:$F$18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INSPECCIONES!$C$19:$F$19</c:f>
              <c:numCache>
                <c:formatCode>0%</c:formatCode>
                <c:ptCount val="4"/>
                <c:pt idx="0">
                  <c:v>0.14000000000000001</c:v>
                </c:pt>
                <c:pt idx="1">
                  <c:v>0.27</c:v>
                </c:pt>
                <c:pt idx="2">
                  <c:v>0.3</c:v>
                </c:pt>
                <c:pt idx="3">
                  <c:v>0.28999999999999998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INSPECCIONES!$C$18:$F$18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INSPECCIONES!$C$20:$F$20</c:f>
              <c:numCache>
                <c:formatCode>0%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0.44</c:v>
                </c:pt>
                <c:pt idx="3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marker>
            <c:symbol val="none"/>
          </c:marker>
          <c:cat>
            <c:strRef>
              <c:f>INSPECCIONES!$C$18:$F$18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INSPECCIONES!$C$21:$F$21</c:f>
              <c:numCache>
                <c:formatCode>0%</c:formatCode>
                <c:ptCount val="4"/>
                <c:pt idx="0">
                  <c:v>0.2</c:v>
                </c:pt>
                <c:pt idx="1">
                  <c:v>0.38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99360"/>
        <c:axId val="98400896"/>
      </c:lineChart>
      <c:catAx>
        <c:axId val="98399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8400896"/>
        <c:crosses val="autoZero"/>
        <c:auto val="1"/>
        <c:lblAlgn val="ctr"/>
        <c:lblOffset val="100"/>
        <c:noMultiLvlLbl val="0"/>
      </c:catAx>
      <c:valAx>
        <c:axId val="984008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983993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INDICE FRECUENCIA INCIDENTES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'COMPARATIVO 2014-2015'!$D$7</c:f>
              <c:strCache>
                <c:ptCount val="1"/>
                <c:pt idx="0">
                  <c:v>FRECUENCIA INCIDENTES 2014</c:v>
                </c:pt>
              </c:strCache>
            </c:strRef>
          </c:tx>
          <c:cat>
            <c:strRef>
              <c:f>'COMPARATIVO 2014-2015'!$A$8:$A$19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2014-2015'!$D$8:$D$18</c:f>
              <c:numCache>
                <c:formatCode>0.00</c:formatCode>
                <c:ptCount val="11"/>
                <c:pt idx="0">
                  <c:v>5.1093398732883708</c:v>
                </c:pt>
                <c:pt idx="1">
                  <c:v>9.3527871305649075</c:v>
                </c:pt>
                <c:pt idx="2">
                  <c:v>21.345628415300546</c:v>
                </c:pt>
                <c:pt idx="3">
                  <c:v>13.095861707700367</c:v>
                </c:pt>
                <c:pt idx="4">
                  <c:v>7.891414141414141</c:v>
                </c:pt>
                <c:pt idx="5">
                  <c:v>8.1726054266100032</c:v>
                </c:pt>
                <c:pt idx="6">
                  <c:v>15.09433962264151</c:v>
                </c:pt>
                <c:pt idx="7">
                  <c:v>8.111615833874108</c:v>
                </c:pt>
                <c:pt idx="8">
                  <c:v>3.5430839002267573</c:v>
                </c:pt>
                <c:pt idx="9">
                  <c:v>6.5359477124183005</c:v>
                </c:pt>
                <c:pt idx="10">
                  <c:v>32.500361115123503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'COMPARATIVO 2014-2015'!$E$7</c:f>
              <c:strCache>
                <c:ptCount val="1"/>
                <c:pt idx="0">
                  <c:v>FRECUENCIA INCIDENTES 2015</c:v>
                </c:pt>
              </c:strCache>
            </c:strRef>
          </c:tx>
          <c:cat>
            <c:strRef>
              <c:f>'COMPARATIVO 2014-2015'!$A$8:$A$19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2014-2015'!$E$8:$E$19</c:f>
              <c:numCache>
                <c:formatCode>0.0</c:formatCode>
                <c:ptCount val="12"/>
                <c:pt idx="0">
                  <c:v>3.8959015116097864</c:v>
                </c:pt>
                <c:pt idx="1">
                  <c:v>8.5120871637725575</c:v>
                </c:pt>
                <c:pt idx="2">
                  <c:v>7.8357624196834355</c:v>
                </c:pt>
                <c:pt idx="3">
                  <c:v>11.857707509881424</c:v>
                </c:pt>
                <c:pt idx="4">
                  <c:v>12.1</c:v>
                </c:pt>
                <c:pt idx="5" formatCode="0.00">
                  <c:v>8.1</c:v>
                </c:pt>
                <c:pt idx="6" formatCode="0.00">
                  <c:v>4</c:v>
                </c:pt>
                <c:pt idx="7" formatCode="0.00">
                  <c:v>4.0999999999999996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15840"/>
        <c:axId val="108117376"/>
      </c:lineChart>
      <c:catAx>
        <c:axId val="108115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8117376"/>
        <c:crosses val="autoZero"/>
        <c:auto val="1"/>
        <c:lblAlgn val="ctr"/>
        <c:lblOffset val="100"/>
        <c:noMultiLvlLbl val="0"/>
      </c:catAx>
      <c:valAx>
        <c:axId val="1081173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108115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SEVERIDAD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'COMPARATIVO 2014-2015'!$F$7</c:f>
              <c:strCache>
                <c:ptCount val="1"/>
                <c:pt idx="0">
                  <c:v>SEVERIDAD 2014</c:v>
                </c:pt>
              </c:strCache>
            </c:strRef>
          </c:tx>
          <c:cat>
            <c:strRef>
              <c:f>'COMPARATIVO 2014-2015'!$A$8:$A$19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2014-2015'!$F$8:$F$18</c:f>
              <c:numCache>
                <c:formatCode>0.00</c:formatCode>
                <c:ptCount val="11"/>
                <c:pt idx="0">
                  <c:v>40.874718986306966</c:v>
                </c:pt>
                <c:pt idx="1">
                  <c:v>14.029180695847362</c:v>
                </c:pt>
                <c:pt idx="2">
                  <c:v>34.153005464480877</c:v>
                </c:pt>
                <c:pt idx="3">
                  <c:v>0</c:v>
                </c:pt>
                <c:pt idx="4">
                  <c:v>90.75126262626263</c:v>
                </c:pt>
                <c:pt idx="5">
                  <c:v>73.553448839490031</c:v>
                </c:pt>
                <c:pt idx="6">
                  <c:v>101.88679245283019</c:v>
                </c:pt>
                <c:pt idx="7">
                  <c:v>12.167423750811162</c:v>
                </c:pt>
                <c:pt idx="8">
                  <c:v>0</c:v>
                </c:pt>
                <c:pt idx="9">
                  <c:v>0</c:v>
                </c:pt>
                <c:pt idx="10">
                  <c:v>404.4489383215369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'COMPARATIVO 2014-2015'!$G$7</c:f>
              <c:strCache>
                <c:ptCount val="1"/>
                <c:pt idx="0">
                  <c:v>SEVERIDAD 2015</c:v>
                </c:pt>
              </c:strCache>
            </c:strRef>
          </c:tx>
          <c:cat>
            <c:strRef>
              <c:f>'COMPARATIVO 2014-2015'!$A$8:$A$19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'COMPARATIVO 2014-2015'!$G$8:$G$19</c:f>
              <c:numCache>
                <c:formatCode>0.0</c:formatCode>
                <c:ptCount val="12"/>
                <c:pt idx="0" formatCode="0.00">
                  <c:v>0</c:v>
                </c:pt>
                <c:pt idx="1">
                  <c:v>119.16922029281579</c:v>
                </c:pt>
                <c:pt idx="2">
                  <c:v>19.452225334578277</c:v>
                </c:pt>
                <c:pt idx="3">
                  <c:v>0</c:v>
                </c:pt>
                <c:pt idx="4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3568"/>
        <c:axId val="55455104"/>
      </c:lineChart>
      <c:catAx>
        <c:axId val="55453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5455104"/>
        <c:crosses val="autoZero"/>
        <c:auto val="1"/>
        <c:lblAlgn val="ctr"/>
        <c:lblOffset val="100"/>
        <c:noMultiLvlLbl val="0"/>
      </c:catAx>
      <c:valAx>
        <c:axId val="554551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55453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INDICE FRECUENCIA INCIDENTES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 ACCIDENTA 2015'!$D$7</c:f>
              <c:strCache>
                <c:ptCount val="1"/>
                <c:pt idx="0">
                  <c:v>FRECUENCIA INCIDENTES</c:v>
                </c:pt>
              </c:strCache>
            </c:strRef>
          </c:tx>
          <c:cat>
            <c:strRef>
              <c:f>'DESEMP ACCIDENTA 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2015'!$D$8:$D$19</c:f>
              <c:numCache>
                <c:formatCode>0.0</c:formatCode>
                <c:ptCount val="12"/>
                <c:pt idx="0">
                  <c:v>3.8959015116097864</c:v>
                </c:pt>
                <c:pt idx="1">
                  <c:v>8.5120871637725575</c:v>
                </c:pt>
                <c:pt idx="2">
                  <c:v>7.8357624196834355</c:v>
                </c:pt>
                <c:pt idx="3">
                  <c:v>11.857707509881424</c:v>
                </c:pt>
                <c:pt idx="4">
                  <c:v>12.1</c:v>
                </c:pt>
                <c:pt idx="5" formatCode="0.00">
                  <c:v>8.1</c:v>
                </c:pt>
                <c:pt idx="6" formatCode="0.00">
                  <c:v>4</c:v>
                </c:pt>
                <c:pt idx="7" formatCode="0.00">
                  <c:v>4.0999999999999996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'DESEMP ACCIDENTA 2015'!$E$7</c:f>
              <c:strCache>
                <c:ptCount val="1"/>
                <c:pt idx="0">
                  <c:v>META</c:v>
                </c:pt>
              </c:strCache>
            </c:strRef>
          </c:tx>
          <c:cat>
            <c:strRef>
              <c:f>'DESEMP ACCIDENTA 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2015'!$E$8:$E$19</c:f>
              <c:numCache>
                <c:formatCode>0</c:formatCode>
                <c:ptCount val="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2384"/>
        <c:axId val="55793920"/>
      </c:lineChart>
      <c:catAx>
        <c:axId val="55792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5793920"/>
        <c:crosses val="autoZero"/>
        <c:auto val="1"/>
        <c:lblAlgn val="ctr"/>
        <c:lblOffset val="100"/>
        <c:noMultiLvlLbl val="0"/>
      </c:catAx>
      <c:valAx>
        <c:axId val="5579392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557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SEVERIDAD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 ACCIDENTA 2015'!$F$7</c:f>
              <c:strCache>
                <c:ptCount val="1"/>
                <c:pt idx="0">
                  <c:v>SEVERIDAD</c:v>
                </c:pt>
              </c:strCache>
            </c:strRef>
          </c:tx>
          <c:cat>
            <c:strRef>
              <c:f>'DESEMP ACCIDENTA 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2015'!$F$8:$F$19</c:f>
              <c:numCache>
                <c:formatCode>0.0</c:formatCode>
                <c:ptCount val="12"/>
                <c:pt idx="0" formatCode="0.00">
                  <c:v>0</c:v>
                </c:pt>
                <c:pt idx="1">
                  <c:v>119.16922029281579</c:v>
                </c:pt>
                <c:pt idx="2">
                  <c:v>19.452225334578277</c:v>
                </c:pt>
                <c:pt idx="3">
                  <c:v>0</c:v>
                </c:pt>
                <c:pt idx="4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'DESEMP ACCIDENTA 2015'!$G$7</c:f>
              <c:strCache>
                <c:ptCount val="1"/>
                <c:pt idx="0">
                  <c:v>META</c:v>
                </c:pt>
              </c:strCache>
            </c:strRef>
          </c:tx>
          <c:cat>
            <c:strRef>
              <c:f>'DESEMP ACCIDENTA 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2015'!$G$8:$G$19</c:f>
              <c:numCache>
                <c:formatCode>0</c:formatCode>
                <c:ptCount val="1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23744"/>
        <c:axId val="55829632"/>
      </c:lineChart>
      <c:catAx>
        <c:axId val="558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29632"/>
        <c:crosses val="autoZero"/>
        <c:auto val="1"/>
        <c:lblAlgn val="ctr"/>
        <c:lblOffset val="100"/>
        <c:noMultiLvlLbl val="0"/>
      </c:catAx>
      <c:valAx>
        <c:axId val="55829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582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INDICE DE FRECUENCIA ACCIDENTES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'DESEMP ACCIDENTA 2015'!$B$7</c:f>
              <c:strCache>
                <c:ptCount val="1"/>
                <c:pt idx="0">
                  <c:v>FRECUENCIA 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'DESEMP ACCIDENTA 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2015'!$B$8:$B$19</c:f>
              <c:numCache>
                <c:formatCode>0.0</c:formatCode>
                <c:ptCount val="12"/>
                <c:pt idx="0">
                  <c:v>3.8959015116097864</c:v>
                </c:pt>
                <c:pt idx="1">
                  <c:v>4.2560435818862787</c:v>
                </c:pt>
                <c:pt idx="2">
                  <c:v>3.8904450669156549</c:v>
                </c:pt>
                <c:pt idx="3">
                  <c:v>0</c:v>
                </c:pt>
                <c:pt idx="4">
                  <c:v>0</c:v>
                </c:pt>
                <c:pt idx="5" formatCode="0.00">
                  <c:v>8.1</c:v>
                </c:pt>
                <c:pt idx="6" formatCode="0.00">
                  <c:v>4</c:v>
                </c:pt>
                <c:pt idx="7" formatCode="0.00">
                  <c:v>4.0999999999999996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'DESEMP ACCIDENTA 2015'!$C$7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'DESEMP ACCIDENTA 2015'!$A$8:$A$19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'DESEMP ACCIDENTA 2015'!$C$8:$C$19</c:f>
              <c:numCache>
                <c:formatCode>0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05088"/>
        <c:axId val="63707008"/>
      </c:lineChart>
      <c:catAx>
        <c:axId val="637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07008"/>
        <c:crosses val="autoZero"/>
        <c:auto val="1"/>
        <c:lblAlgn val="ctr"/>
        <c:lblOffset val="100"/>
        <c:noMultiLvlLbl val="0"/>
      </c:catAx>
      <c:valAx>
        <c:axId val="63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7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'SUBPROG SEG HIG'!$C$18:$F$18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'SUBPROG SEG HIG'!$C$19:$F$19</c:f>
              <c:numCache>
                <c:formatCode>0%</c:formatCode>
                <c:ptCount val="4"/>
                <c:pt idx="0">
                  <c:v>0.31</c:v>
                </c:pt>
                <c:pt idx="1">
                  <c:v>0.2</c:v>
                </c:pt>
                <c:pt idx="2">
                  <c:v>0.23</c:v>
                </c:pt>
                <c:pt idx="3">
                  <c:v>0.26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'SUBPROG SEG HIG'!$C$18:$F$18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'SUBPROG SEG HIG'!$C$20:$F$20</c:f>
              <c:numCache>
                <c:formatCode>0%</c:formatCode>
                <c:ptCount val="4"/>
                <c:pt idx="0">
                  <c:v>0.08</c:v>
                </c:pt>
                <c:pt idx="1">
                  <c:v>0.1</c:v>
                </c:pt>
                <c:pt idx="2">
                  <c:v>0.15</c:v>
                </c:pt>
                <c:pt idx="3">
                  <c:v>0.19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'SUBPROG SEG HIG'!$C$18:$F$18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'SUBPROG SEG HIG'!$C$21:$F$21</c:f>
              <c:numCache>
                <c:formatCode>0%</c:formatCode>
                <c:ptCount val="4"/>
                <c:pt idx="0">
                  <c:v>0.28000000000000003</c:v>
                </c:pt>
                <c:pt idx="1">
                  <c:v>0.28000000000000003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890944"/>
        <c:axId val="63892480"/>
      </c:lineChart>
      <c:catAx>
        <c:axId val="63890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3892480"/>
        <c:crosses val="autoZero"/>
        <c:auto val="1"/>
        <c:lblAlgn val="ctr"/>
        <c:lblOffset val="100"/>
        <c:noMultiLvlLbl val="0"/>
      </c:catAx>
      <c:valAx>
        <c:axId val="638924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63890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>
                <a:solidFill>
                  <a:schemeClr val="bg1"/>
                </a:solidFill>
              </a:rPr>
              <a:t>SUBPROGRAMA</a:t>
            </a:r>
            <a:r>
              <a:rPr lang="es-CO" baseline="0">
                <a:solidFill>
                  <a:schemeClr val="bg1"/>
                </a:solidFill>
              </a:rPr>
              <a:t> DE MEDICINA PREVENTIVA Y DEL TRABAJO</a:t>
            </a:r>
            <a:endParaRPr lang="es-CO">
              <a:solidFill>
                <a:schemeClr val="bg1"/>
              </a:solidFill>
            </a:endParaRPr>
          </a:p>
        </c:rich>
      </c:tx>
      <c:layout/>
      <c:overlay val="0"/>
      <c:spPr>
        <a:solidFill>
          <a:schemeClr val="tx1">
            <a:lumMod val="65000"/>
            <a:lumOff val="35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'MEDIC PREV Y DEL TRAB'!$C$18:$F$18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'MEDIC PREV Y DEL TRAB'!$C$19:$F$19</c:f>
              <c:numCache>
                <c:formatCode>0%</c:formatCode>
                <c:ptCount val="4"/>
                <c:pt idx="0">
                  <c:v>0.31</c:v>
                </c:pt>
                <c:pt idx="1">
                  <c:v>0.2</c:v>
                </c:pt>
                <c:pt idx="2">
                  <c:v>0.23</c:v>
                </c:pt>
                <c:pt idx="3">
                  <c:v>0.26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'MEDIC PREV Y DEL TRAB'!$C$18:$F$18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'MEDIC PREV Y DEL TRAB'!$C$20:$F$20</c:f>
              <c:numCache>
                <c:formatCode>0%</c:formatCode>
                <c:ptCount val="4"/>
                <c:pt idx="0">
                  <c:v>0.08</c:v>
                </c:pt>
                <c:pt idx="1">
                  <c:v>0.1</c:v>
                </c:pt>
                <c:pt idx="2">
                  <c:v>0.15</c:v>
                </c:pt>
                <c:pt idx="3">
                  <c:v>0.19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'MEDIC PREV Y DEL TRAB'!$C$18:$F$18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'MEDIC PREV Y DEL TRAB'!$C$21:$F$21</c:f>
              <c:numCache>
                <c:formatCode>0%</c:formatCode>
                <c:ptCount val="4"/>
                <c:pt idx="0">
                  <c:v>0.13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37600"/>
        <c:axId val="65613824"/>
      </c:lineChart>
      <c:catAx>
        <c:axId val="65337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5613824"/>
        <c:crosses val="autoZero"/>
        <c:auto val="1"/>
        <c:lblAlgn val="ctr"/>
        <c:lblOffset val="100"/>
        <c:noMultiLvlLbl val="0"/>
      </c:catAx>
      <c:valAx>
        <c:axId val="6561382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6533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BIOMECANICO</a:t>
            </a:r>
          </a:p>
        </c:rich>
      </c:tx>
      <c:layout>
        <c:manualLayout>
          <c:xMode val="edge"/>
          <c:yMode val="edge"/>
          <c:x val="0.39427108729468202"/>
          <c:y val="3.224326730884690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BIOMECANICO!$C$18:$F$18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BIOMECANICO!$C$19:$F$19</c:f>
              <c:numCache>
                <c:formatCode>0%</c:formatCode>
                <c:ptCount val="4"/>
                <c:pt idx="0">
                  <c:v>0.62</c:v>
                </c:pt>
                <c:pt idx="1">
                  <c:v>0.08</c:v>
                </c:pt>
                <c:pt idx="2">
                  <c:v>0.15</c:v>
                </c:pt>
                <c:pt idx="3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v>2014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BIOMECANICO!$C$18:$F$18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BIOMECANICO!$C$20:$F$20</c:f>
              <c:numCache>
                <c:formatCode>0%</c:formatCode>
                <c:ptCount val="4"/>
                <c:pt idx="0">
                  <c:v>0.11</c:v>
                </c:pt>
                <c:pt idx="1">
                  <c:v>0.11</c:v>
                </c:pt>
                <c:pt idx="2">
                  <c:v>0.18</c:v>
                </c:pt>
                <c:pt idx="3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v>2015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BIOMECANICO!$C$18:$F$18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BIOMECANICO!$C$21:$F$21</c:f>
              <c:numCache>
                <c:formatCode>0%</c:formatCode>
                <c:ptCount val="4"/>
                <c:pt idx="0">
                  <c:v>0.25</c:v>
                </c:pt>
                <c:pt idx="1">
                  <c:v>0.19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7360"/>
        <c:axId val="65648896"/>
      </c:lineChart>
      <c:catAx>
        <c:axId val="656473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65648896"/>
        <c:crosses val="autoZero"/>
        <c:auto val="1"/>
        <c:lblAlgn val="ctr"/>
        <c:lblOffset val="100"/>
        <c:noMultiLvlLbl val="0"/>
      </c:catAx>
      <c:valAx>
        <c:axId val="656488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s-CO"/>
          </a:p>
        </c:txPr>
        <c:crossAx val="6564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>
            <a:noFill/>
          </a:ln>
        </c:spPr>
      </c:dTable>
      <c:spPr>
        <a:solidFill>
          <a:schemeClr val="tx1">
            <a:lumMod val="65000"/>
            <a:lumOff val="35000"/>
          </a:schemeClr>
        </a:solidFill>
      </c:spPr>
    </c:plotArea>
    <c:plotVisOnly val="1"/>
    <c:dispBlanksAs val="gap"/>
    <c:showDLblsOverMax val="0"/>
  </c:chart>
  <c:spPr>
    <a:solidFill>
      <a:schemeClr val="tx1">
        <a:lumMod val="65000"/>
        <a:lumOff val="3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6</xdr:row>
          <xdr:rowOff>9525</xdr:rowOff>
        </xdr:from>
        <xdr:to>
          <xdr:col>12</xdr:col>
          <xdr:colOff>752475</xdr:colOff>
          <xdr:row>44</xdr:row>
          <xdr:rowOff>76200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2</xdr:col>
      <xdr:colOff>161925</xdr:colOff>
      <xdr:row>4</xdr:row>
      <xdr:rowOff>108199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190500"/>
          <a:ext cx="1685925" cy="6796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71436</xdr:rowOff>
    </xdr:from>
    <xdr:to>
      <xdr:col>13</xdr:col>
      <xdr:colOff>0</xdr:colOff>
      <xdr:row>21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523875</xdr:colOff>
      <xdr:row>3</xdr:row>
      <xdr:rowOff>181161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0"/>
          <a:ext cx="1866900" cy="75266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76201</xdr:rowOff>
    </xdr:from>
    <xdr:to>
      <xdr:col>13</xdr:col>
      <xdr:colOff>19050</xdr:colOff>
      <xdr:row>20</xdr:row>
      <xdr:rowOff>171451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923925</xdr:colOff>
      <xdr:row>3</xdr:row>
      <xdr:rowOff>108199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0"/>
          <a:ext cx="1685925" cy="6796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5</xdr:row>
      <xdr:rowOff>61912</xdr:rowOff>
    </xdr:from>
    <xdr:to>
      <xdr:col>12</xdr:col>
      <xdr:colOff>742950</xdr:colOff>
      <xdr:row>21</xdr:row>
      <xdr:rowOff>28576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342900</xdr:colOff>
      <xdr:row>3</xdr:row>
      <xdr:rowOff>181161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0"/>
          <a:ext cx="1866900" cy="75266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5</xdr:row>
      <xdr:rowOff>23811</xdr:rowOff>
    </xdr:from>
    <xdr:to>
      <xdr:col>12</xdr:col>
      <xdr:colOff>733425</xdr:colOff>
      <xdr:row>21</xdr:row>
      <xdr:rowOff>19050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0</xdr:row>
      <xdr:rowOff>38101</xdr:rowOff>
    </xdr:from>
    <xdr:to>
      <xdr:col>2</xdr:col>
      <xdr:colOff>104775</xdr:colOff>
      <xdr:row>3</xdr:row>
      <xdr:rowOff>119419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9525" y="38101"/>
          <a:ext cx="1619250" cy="65281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5</xdr:row>
      <xdr:rowOff>71437</xdr:rowOff>
    </xdr:from>
    <xdr:to>
      <xdr:col>12</xdr:col>
      <xdr:colOff>638175</xdr:colOff>
      <xdr:row>21</xdr:row>
      <xdr:rowOff>114300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2</xdr:col>
      <xdr:colOff>238125</xdr:colOff>
      <xdr:row>3</xdr:row>
      <xdr:rowOff>138921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1"/>
          <a:ext cx="1762125" cy="71042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14286</xdr:rowOff>
    </xdr:from>
    <xdr:to>
      <xdr:col>13</xdr:col>
      <xdr:colOff>9525</xdr:colOff>
      <xdr:row>23</xdr:row>
      <xdr:rowOff>190499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3</xdr:row>
      <xdr:rowOff>119719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0"/>
          <a:ext cx="1714500" cy="69121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33336</xdr:rowOff>
    </xdr:from>
    <xdr:to>
      <xdr:col>13</xdr:col>
      <xdr:colOff>28575</xdr:colOff>
      <xdr:row>23</xdr:row>
      <xdr:rowOff>190499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2</xdr:col>
      <xdr:colOff>209550</xdr:colOff>
      <xdr:row>3</xdr:row>
      <xdr:rowOff>127401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1"/>
          <a:ext cx="1733550" cy="69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114300</xdr:colOff>
      <xdr:row>3</xdr:row>
      <xdr:rowOff>181161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0"/>
          <a:ext cx="1866900" cy="7526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506924</xdr:colOff>
      <xdr:row>3</xdr:row>
      <xdr:rowOff>95167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7143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771525</xdr:colOff>
      <xdr:row>4</xdr:row>
      <xdr:rowOff>181161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4560094" y="190500"/>
          <a:ext cx="1866900" cy="7526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20</xdr:row>
      <xdr:rowOff>66675</xdr:rowOff>
    </xdr:from>
    <xdr:to>
      <xdr:col>4</xdr:col>
      <xdr:colOff>104775</xdr:colOff>
      <xdr:row>30</xdr:row>
      <xdr:rowOff>71436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447674</xdr:colOff>
      <xdr:row>20</xdr:row>
      <xdr:rowOff>47625</xdr:rowOff>
    </xdr:from>
    <xdr:to>
      <xdr:col>8</xdr:col>
      <xdr:colOff>695324</xdr:colOff>
      <xdr:row>30</xdr:row>
      <xdr:rowOff>180975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47624</xdr:colOff>
      <xdr:row>32</xdr:row>
      <xdr:rowOff>142874</xdr:rowOff>
    </xdr:from>
    <xdr:to>
      <xdr:col>7</xdr:col>
      <xdr:colOff>257175</xdr:colOff>
      <xdr:row>48</xdr:row>
      <xdr:rowOff>171450</xdr:rowOff>
    </xdr:to>
    <xdr:graphicFrame macro="">
      <xdr:nvGraphicFramePr>
        <xdr:cNvPr id="4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933450</xdr:colOff>
      <xdr:row>3</xdr:row>
      <xdr:rowOff>112039</xdr:rowOff>
    </xdr:to>
    <xdr:pic>
      <xdr:nvPicPr>
        <xdr:cNvPr id="7" name="6 Imagen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0"/>
          <a:ext cx="1695450" cy="683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966108</xdr:colOff>
      <xdr:row>21</xdr:row>
      <xdr:rowOff>9524</xdr:rowOff>
    </xdr:from>
    <xdr:to>
      <xdr:col>16</xdr:col>
      <xdr:colOff>136071</xdr:colOff>
      <xdr:row>34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176893</xdr:colOff>
      <xdr:row>35</xdr:row>
      <xdr:rowOff>159203</xdr:rowOff>
    </xdr:from>
    <xdr:to>
      <xdr:col>16</xdr:col>
      <xdr:colOff>40822</xdr:colOff>
      <xdr:row>50</xdr:row>
      <xdr:rowOff>44903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353785</xdr:colOff>
      <xdr:row>5</xdr:row>
      <xdr:rowOff>9523</xdr:rowOff>
    </xdr:from>
    <xdr:to>
      <xdr:col>17</xdr:col>
      <xdr:colOff>693964</xdr:colOff>
      <xdr:row>20</xdr:row>
      <xdr:rowOff>40820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1091293</xdr:colOff>
      <xdr:row>3</xdr:row>
      <xdr:rowOff>181161</xdr:rowOff>
    </xdr:to>
    <xdr:pic>
      <xdr:nvPicPr>
        <xdr:cNvPr id="8" name="7 Imagen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0"/>
          <a:ext cx="1866900" cy="7526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5</xdr:row>
      <xdr:rowOff>57150</xdr:rowOff>
    </xdr:from>
    <xdr:to>
      <xdr:col>13</xdr:col>
      <xdr:colOff>0</xdr:colOff>
      <xdr:row>21</xdr:row>
      <xdr:rowOff>28575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228600</xdr:colOff>
      <xdr:row>3</xdr:row>
      <xdr:rowOff>92839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0"/>
          <a:ext cx="1647825" cy="6643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5</xdr:row>
      <xdr:rowOff>61911</xdr:rowOff>
    </xdr:from>
    <xdr:to>
      <xdr:col>12</xdr:col>
      <xdr:colOff>714375</xdr:colOff>
      <xdr:row>21</xdr:row>
      <xdr:rowOff>38100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3</xdr:row>
      <xdr:rowOff>119719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0"/>
          <a:ext cx="1714500" cy="6912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502227</xdr:colOff>
      <xdr:row>5</xdr:row>
      <xdr:rowOff>35503</xdr:rowOff>
    </xdr:from>
    <xdr:to>
      <xdr:col>9</xdr:col>
      <xdr:colOff>346363</xdr:colOff>
      <xdr:row>29</xdr:row>
      <xdr:rowOff>34638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251114</xdr:colOff>
      <xdr:row>4</xdr:row>
      <xdr:rowOff>41514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0"/>
          <a:ext cx="1627909" cy="656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5</xdr:row>
      <xdr:rowOff>76200</xdr:rowOff>
    </xdr:from>
    <xdr:to>
      <xdr:col>13</xdr:col>
      <xdr:colOff>9526</xdr:colOff>
      <xdr:row>21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142875</xdr:colOff>
      <xdr:row>3</xdr:row>
      <xdr:rowOff>100519</xdr:rowOff>
    </xdr:to>
    <xdr:pic>
      <xdr:nvPicPr>
        <xdr:cNvPr id="5" name="4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316"/>
        <a:stretch/>
      </xdr:blipFill>
      <xdr:spPr>
        <a:xfrm>
          <a:off x="0" y="0"/>
          <a:ext cx="1666875" cy="672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J2" t="str">
            <v>1- Ambiental</v>
          </cell>
          <cell r="K2" t="str">
            <v>1 - Aire:calidad</v>
          </cell>
          <cell r="L2" t="str">
            <v>EFICACIA</v>
          </cell>
        </row>
        <row r="3">
          <cell r="J3" t="str">
            <v>2- Desarrollo sostenible</v>
          </cell>
          <cell r="K3" t="str">
            <v>2 - Aire: Ruido</v>
          </cell>
          <cell r="L3" t="str">
            <v>EFICIENCIA</v>
          </cell>
        </row>
        <row r="4">
          <cell r="J4" t="str">
            <v>3- Gestión</v>
          </cell>
          <cell r="K4" t="str">
            <v>3 - Suelo: Erosión</v>
          </cell>
          <cell r="L4" t="str">
            <v>EFECTIVIDAD</v>
          </cell>
        </row>
        <row r="5">
          <cell r="K5" t="str">
            <v>4 - Suelo: Inestabilidad</v>
          </cell>
        </row>
        <row r="6">
          <cell r="K6" t="str">
            <v>5 - Suelo: Sedimentación</v>
          </cell>
        </row>
        <row r="7">
          <cell r="K7" t="str">
            <v>6 - Suleo: Compactación</v>
          </cell>
        </row>
        <row r="8">
          <cell r="K8" t="str">
            <v>7 - Suelo: Manejo de residuos sólidos</v>
          </cell>
        </row>
        <row r="9">
          <cell r="K9" t="str">
            <v>26 - Agua:  Uso eficiente</v>
          </cell>
        </row>
        <row r="10">
          <cell r="K10" t="str">
            <v>8 - Agua: Inundación , desperdicio</v>
          </cell>
        </row>
        <row r="11">
          <cell r="K11" t="str">
            <v>9 - Agua: Calidad</v>
          </cell>
        </row>
        <row r="12">
          <cell r="K12" t="str">
            <v>10 - Agua: manejo fluvial</v>
          </cell>
        </row>
        <row r="13">
          <cell r="K13" t="str">
            <v>11 - Agua: Variación de flujo</v>
          </cell>
        </row>
        <row r="14">
          <cell r="K14" t="str">
            <v>12 - Agua: Vida acuática</v>
          </cell>
        </row>
        <row r="15">
          <cell r="K15" t="str">
            <v>13 - Flora: Cubierta vegetal</v>
          </cell>
        </row>
        <row r="16">
          <cell r="K16" t="str">
            <v>14 - Flora: Tala o uso de madera</v>
          </cell>
        </row>
        <row r="17">
          <cell r="K17" t="str">
            <v>15 - Fauna: Diversidad biológica</v>
          </cell>
        </row>
        <row r="18">
          <cell r="K18" t="str">
            <v>16 - Fauna: Especies en peligro</v>
          </cell>
        </row>
        <row r="19">
          <cell r="K19" t="str">
            <v>17 - Socieconómicos:  Uso actual del suelo</v>
          </cell>
        </row>
        <row r="20">
          <cell r="K20" t="str">
            <v>18 - Socieconómicos:  Potencial agropecuario</v>
          </cell>
        </row>
        <row r="21"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K24" t="str">
            <v>24 - Cultural:  Paisajística</v>
          </cell>
        </row>
        <row r="25">
          <cell r="K25" t="str">
            <v>25 - Energía:  Uso eficiente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I2:M4"/>
  <sheetViews>
    <sheetView showGridLines="0" tabSelected="1" workbookViewId="0">
      <selection activeCell="F4" sqref="F4"/>
    </sheetView>
  </sheetViews>
  <sheetFormatPr baseColWidth="10" defaultRowHeight="15" x14ac:dyDescent="0.25"/>
  <sheetData>
    <row r="2" spans="9:13" x14ac:dyDescent="0.25">
      <c r="I2" s="182"/>
      <c r="J2" s="182"/>
      <c r="M2" s="178" t="s">
        <v>227</v>
      </c>
    </row>
    <row r="3" spans="9:13" x14ac:dyDescent="0.25">
      <c r="J3" s="182"/>
      <c r="M3" s="178" t="s">
        <v>0</v>
      </c>
    </row>
    <row r="4" spans="9:13" x14ac:dyDescent="0.25">
      <c r="J4" s="182"/>
      <c r="M4" s="178" t="s">
        <v>340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5361" r:id="rId4">
          <objectPr defaultSize="0" r:id="rId5">
            <anchor moveWithCells="1" sizeWithCells="1">
              <from>
                <xdr:col>0</xdr:col>
                <xdr:colOff>123825</xdr:colOff>
                <xdr:row>6</xdr:row>
                <xdr:rowOff>9525</xdr:rowOff>
              </from>
              <to>
                <xdr:col>12</xdr:col>
                <xdr:colOff>752475</xdr:colOff>
                <xdr:row>44</xdr:row>
                <xdr:rowOff>76200</xdr:rowOff>
              </to>
            </anchor>
          </objectPr>
        </oleObject>
      </mc:Choice>
      <mc:Fallback>
        <oleObject progId="Word.Document.12" shapeId="15361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M21"/>
  <sheetViews>
    <sheetView workbookViewId="0">
      <selection activeCell="E2" sqref="E2"/>
    </sheetView>
  </sheetViews>
  <sheetFormatPr baseColWidth="10" defaultRowHeight="15" x14ac:dyDescent="0.25"/>
  <cols>
    <col min="2" max="2" width="8.7109375" customWidth="1"/>
    <col min="3" max="3" width="14.7109375" customWidth="1"/>
    <col min="4" max="4" width="14" customWidth="1"/>
    <col min="5" max="5" width="15.5703125" customWidth="1"/>
    <col min="6" max="6" width="16.7109375" customWidth="1"/>
  </cols>
  <sheetData>
    <row r="1" spans="2:13" x14ac:dyDescent="0.25">
      <c r="M1" s="178" t="s">
        <v>227</v>
      </c>
    </row>
    <row r="2" spans="2:13" x14ac:dyDescent="0.25">
      <c r="M2" s="178" t="s">
        <v>0</v>
      </c>
    </row>
    <row r="3" spans="2:13" x14ac:dyDescent="0.25">
      <c r="M3" s="178" t="s">
        <v>340</v>
      </c>
    </row>
    <row r="7" spans="2:13" x14ac:dyDescent="0.25">
      <c r="B7" s="240" t="s">
        <v>205</v>
      </c>
      <c r="C7" s="241"/>
      <c r="D7" s="241"/>
      <c r="E7" s="242"/>
    </row>
    <row r="8" spans="2:13" x14ac:dyDescent="0.25">
      <c r="B8" s="68" t="s">
        <v>206</v>
      </c>
      <c r="C8" s="68" t="s">
        <v>207</v>
      </c>
      <c r="D8" s="69" t="s">
        <v>208</v>
      </c>
      <c r="E8" s="69" t="s">
        <v>209</v>
      </c>
    </row>
    <row r="9" spans="2:13" x14ac:dyDescent="0.25">
      <c r="B9" s="70">
        <v>0.25</v>
      </c>
      <c r="C9" s="70">
        <v>0.35</v>
      </c>
      <c r="D9" s="70">
        <v>0.3</v>
      </c>
      <c r="E9" s="70">
        <v>0.1</v>
      </c>
    </row>
    <row r="10" spans="2:13" x14ac:dyDescent="0.25">
      <c r="B10" s="243" t="s">
        <v>210</v>
      </c>
      <c r="C10" s="243"/>
      <c r="D10" s="243"/>
      <c r="E10" s="243"/>
    </row>
    <row r="11" spans="2:13" x14ac:dyDescent="0.25">
      <c r="B11" s="68" t="s">
        <v>206</v>
      </c>
      <c r="C11" s="68" t="s">
        <v>207</v>
      </c>
      <c r="D11" s="69" t="s">
        <v>208</v>
      </c>
      <c r="E11" s="69" t="s">
        <v>209</v>
      </c>
    </row>
    <row r="12" spans="2:13" x14ac:dyDescent="0.25">
      <c r="B12" s="70">
        <v>0.48</v>
      </c>
      <c r="C12" s="70">
        <v>0.48</v>
      </c>
      <c r="D12" s="70">
        <v>0.5</v>
      </c>
      <c r="E12" s="70">
        <v>0.5</v>
      </c>
    </row>
    <row r="13" spans="2:13" x14ac:dyDescent="0.25">
      <c r="B13" s="243" t="s">
        <v>211</v>
      </c>
      <c r="C13" s="243"/>
      <c r="D13" s="243"/>
      <c r="E13" s="243"/>
    </row>
    <row r="14" spans="2:13" x14ac:dyDescent="0.25">
      <c r="B14" s="68" t="s">
        <v>206</v>
      </c>
      <c r="C14" s="68" t="s">
        <v>207</v>
      </c>
      <c r="D14" s="69" t="s">
        <v>208</v>
      </c>
      <c r="E14" s="69" t="s">
        <v>209</v>
      </c>
    </row>
    <row r="15" spans="2:13" x14ac:dyDescent="0.25">
      <c r="B15" s="70">
        <v>0</v>
      </c>
      <c r="C15" s="70">
        <v>0</v>
      </c>
      <c r="D15" s="70">
        <v>0</v>
      </c>
      <c r="E15" s="70">
        <v>0</v>
      </c>
    </row>
    <row r="18" spans="2:6" x14ac:dyDescent="0.25">
      <c r="B18" s="74" t="s">
        <v>212</v>
      </c>
      <c r="C18" s="74" t="s">
        <v>213</v>
      </c>
      <c r="D18" s="74" t="s">
        <v>214</v>
      </c>
      <c r="E18" s="74" t="s">
        <v>215</v>
      </c>
      <c r="F18" s="74" t="s">
        <v>216</v>
      </c>
    </row>
    <row r="19" spans="2:6" x14ac:dyDescent="0.25">
      <c r="B19" s="73">
        <v>2013</v>
      </c>
      <c r="C19" s="70">
        <v>0.25</v>
      </c>
      <c r="D19" s="70">
        <v>0.35</v>
      </c>
      <c r="E19" s="70">
        <v>0.3</v>
      </c>
      <c r="F19" s="70">
        <v>0.1</v>
      </c>
    </row>
    <row r="20" spans="2:6" x14ac:dyDescent="0.25">
      <c r="B20" s="73">
        <v>2014</v>
      </c>
      <c r="C20" s="70">
        <v>0.48</v>
      </c>
      <c r="D20" s="70">
        <v>0.48</v>
      </c>
      <c r="E20" s="70">
        <v>0.5</v>
      </c>
      <c r="F20" s="70">
        <v>0.5</v>
      </c>
    </row>
    <row r="21" spans="2:6" x14ac:dyDescent="0.25">
      <c r="B21" s="73">
        <v>2015</v>
      </c>
      <c r="C21" s="70">
        <v>0</v>
      </c>
      <c r="D21" s="70">
        <v>0.26</v>
      </c>
      <c r="E21" s="70">
        <v>0</v>
      </c>
      <c r="F21" s="70">
        <v>0</v>
      </c>
    </row>
  </sheetData>
  <mergeCells count="3">
    <mergeCell ref="B7:E7"/>
    <mergeCell ref="B10:E10"/>
    <mergeCell ref="B13:E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M21"/>
  <sheetViews>
    <sheetView workbookViewId="0">
      <selection activeCell="E3" sqref="E3"/>
    </sheetView>
  </sheetViews>
  <sheetFormatPr baseColWidth="10" defaultRowHeight="15" x14ac:dyDescent="0.25"/>
  <cols>
    <col min="2" max="2" width="14.140625" customWidth="1"/>
    <col min="3" max="3" width="13.140625" customWidth="1"/>
    <col min="4" max="4" width="13.7109375" customWidth="1"/>
    <col min="5" max="5" width="13.42578125" customWidth="1"/>
    <col min="6" max="6" width="16.7109375" customWidth="1"/>
  </cols>
  <sheetData>
    <row r="1" spans="2:13" x14ac:dyDescent="0.25">
      <c r="M1" s="178" t="s">
        <v>227</v>
      </c>
    </row>
    <row r="2" spans="2:13" x14ac:dyDescent="0.25">
      <c r="M2" s="178" t="s">
        <v>0</v>
      </c>
    </row>
    <row r="3" spans="2:13" x14ac:dyDescent="0.25">
      <c r="M3" s="178" t="s">
        <v>340</v>
      </c>
    </row>
    <row r="7" spans="2:13" x14ac:dyDescent="0.25">
      <c r="B7" s="236" t="s">
        <v>205</v>
      </c>
      <c r="C7" s="237"/>
      <c r="D7" s="237"/>
      <c r="E7" s="238"/>
    </row>
    <row r="8" spans="2:13" x14ac:dyDescent="0.25">
      <c r="B8" s="68" t="s">
        <v>206</v>
      </c>
      <c r="C8" s="68" t="s">
        <v>207</v>
      </c>
      <c r="D8" s="69" t="s">
        <v>208</v>
      </c>
      <c r="E8" s="69" t="s">
        <v>209</v>
      </c>
    </row>
    <row r="9" spans="2:13" x14ac:dyDescent="0.25">
      <c r="B9" s="70">
        <v>0</v>
      </c>
      <c r="C9" s="70">
        <v>0.33</v>
      </c>
      <c r="D9" s="70">
        <v>0.22</v>
      </c>
      <c r="E9" s="70">
        <v>0.44</v>
      </c>
    </row>
    <row r="10" spans="2:13" x14ac:dyDescent="0.25">
      <c r="B10" s="239" t="s">
        <v>210</v>
      </c>
      <c r="C10" s="239"/>
      <c r="D10" s="239"/>
      <c r="E10" s="239"/>
    </row>
    <row r="11" spans="2:13" x14ac:dyDescent="0.25">
      <c r="B11" s="68" t="s">
        <v>206</v>
      </c>
      <c r="C11" s="68" t="s">
        <v>207</v>
      </c>
      <c r="D11" s="69" t="s">
        <v>208</v>
      </c>
      <c r="E11" s="69" t="s">
        <v>209</v>
      </c>
    </row>
    <row r="12" spans="2:13" x14ac:dyDescent="0.25">
      <c r="B12" s="70">
        <v>0.31</v>
      </c>
      <c r="C12" s="70">
        <v>0.4</v>
      </c>
      <c r="D12" s="70">
        <v>0.57999999999999996</v>
      </c>
      <c r="E12" s="70">
        <v>0.75</v>
      </c>
    </row>
    <row r="13" spans="2:13" x14ac:dyDescent="0.25">
      <c r="B13" s="239" t="s">
        <v>211</v>
      </c>
      <c r="C13" s="239"/>
      <c r="D13" s="239"/>
      <c r="E13" s="239"/>
    </row>
    <row r="14" spans="2:13" x14ac:dyDescent="0.25">
      <c r="B14" s="68" t="s">
        <v>206</v>
      </c>
      <c r="C14" s="68" t="s">
        <v>207</v>
      </c>
      <c r="D14" s="69" t="s">
        <v>208</v>
      </c>
      <c r="E14" s="69" t="s">
        <v>209</v>
      </c>
    </row>
    <row r="15" spans="2:13" x14ac:dyDescent="0.25">
      <c r="B15" s="70">
        <v>0</v>
      </c>
      <c r="C15" s="70">
        <v>0</v>
      </c>
      <c r="D15" s="70">
        <v>0</v>
      </c>
      <c r="E15" s="70">
        <v>0</v>
      </c>
    </row>
    <row r="18" spans="2:6" x14ac:dyDescent="0.25">
      <c r="B18" s="72" t="s">
        <v>212</v>
      </c>
      <c r="C18" s="72" t="s">
        <v>213</v>
      </c>
      <c r="D18" s="72" t="s">
        <v>214</v>
      </c>
      <c r="E18" s="72" t="s">
        <v>215</v>
      </c>
      <c r="F18" s="72" t="s">
        <v>216</v>
      </c>
    </row>
    <row r="19" spans="2:6" x14ac:dyDescent="0.25">
      <c r="B19" s="73">
        <v>2013</v>
      </c>
      <c r="C19" s="70">
        <v>0</v>
      </c>
      <c r="D19" s="70">
        <v>0.33</v>
      </c>
      <c r="E19" s="70">
        <v>0.22</v>
      </c>
      <c r="F19" s="70">
        <v>0.44</v>
      </c>
    </row>
    <row r="20" spans="2:6" x14ac:dyDescent="0.25">
      <c r="B20" s="73">
        <v>2014</v>
      </c>
      <c r="C20" s="70">
        <v>0.31</v>
      </c>
      <c r="D20" s="70">
        <v>0.4</v>
      </c>
      <c r="E20" s="70">
        <v>0.57999999999999996</v>
      </c>
      <c r="F20" s="70">
        <v>0.75</v>
      </c>
    </row>
    <row r="21" spans="2:6" x14ac:dyDescent="0.25">
      <c r="B21" s="73">
        <v>2015</v>
      </c>
      <c r="C21" s="70">
        <v>0</v>
      </c>
      <c r="D21" s="70">
        <v>0</v>
      </c>
      <c r="E21" s="70">
        <v>0</v>
      </c>
      <c r="F21" s="70">
        <v>0</v>
      </c>
    </row>
  </sheetData>
  <mergeCells count="3">
    <mergeCell ref="B7:E7"/>
    <mergeCell ref="B10:E10"/>
    <mergeCell ref="B13:E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M21"/>
  <sheetViews>
    <sheetView workbookViewId="0">
      <selection activeCell="E3" sqref="E3"/>
    </sheetView>
  </sheetViews>
  <sheetFormatPr baseColWidth="10" defaultRowHeight="15" x14ac:dyDescent="0.25"/>
  <cols>
    <col min="3" max="3" width="12.85546875" customWidth="1"/>
    <col min="4" max="4" width="12.5703125" customWidth="1"/>
    <col min="5" max="5" width="17.5703125" customWidth="1"/>
    <col min="6" max="6" width="16" customWidth="1"/>
  </cols>
  <sheetData>
    <row r="1" spans="2:13" x14ac:dyDescent="0.25">
      <c r="M1" s="178" t="s">
        <v>227</v>
      </c>
    </row>
    <row r="2" spans="2:13" x14ac:dyDescent="0.25">
      <c r="M2" s="178" t="s">
        <v>0</v>
      </c>
    </row>
    <row r="3" spans="2:13" x14ac:dyDescent="0.25">
      <c r="M3" s="178" t="s">
        <v>340</v>
      </c>
    </row>
    <row r="7" spans="2:13" x14ac:dyDescent="0.25">
      <c r="B7" s="236" t="s">
        <v>205</v>
      </c>
      <c r="C7" s="237"/>
      <c r="D7" s="237"/>
      <c r="E7" s="238"/>
    </row>
    <row r="8" spans="2:13" x14ac:dyDescent="0.25">
      <c r="B8" s="68" t="s">
        <v>206</v>
      </c>
      <c r="C8" s="68" t="s">
        <v>207</v>
      </c>
      <c r="D8" s="69" t="s">
        <v>208</v>
      </c>
      <c r="E8" s="69" t="s">
        <v>209</v>
      </c>
    </row>
    <row r="9" spans="2:13" x14ac:dyDescent="0.25">
      <c r="B9" s="70">
        <v>0</v>
      </c>
      <c r="C9" s="70">
        <v>0</v>
      </c>
      <c r="D9" s="70">
        <v>0</v>
      </c>
      <c r="E9" s="70">
        <v>0</v>
      </c>
    </row>
    <row r="10" spans="2:13" x14ac:dyDescent="0.25">
      <c r="B10" s="239" t="s">
        <v>210</v>
      </c>
      <c r="C10" s="239"/>
      <c r="D10" s="239"/>
      <c r="E10" s="239"/>
    </row>
    <row r="11" spans="2:13" x14ac:dyDescent="0.25">
      <c r="B11" s="68" t="s">
        <v>206</v>
      </c>
      <c r="C11" s="68" t="s">
        <v>207</v>
      </c>
      <c r="D11" s="69" t="s">
        <v>208</v>
      </c>
      <c r="E11" s="69" t="s">
        <v>209</v>
      </c>
    </row>
    <row r="12" spans="2:13" x14ac:dyDescent="0.25">
      <c r="B12" s="70">
        <v>0.2</v>
      </c>
      <c r="C12" s="70">
        <v>0.3</v>
      </c>
      <c r="D12" s="70">
        <v>0.4</v>
      </c>
      <c r="E12" s="70">
        <v>0.53</v>
      </c>
    </row>
    <row r="13" spans="2:13" x14ac:dyDescent="0.25">
      <c r="B13" s="239" t="s">
        <v>211</v>
      </c>
      <c r="C13" s="239"/>
      <c r="D13" s="239"/>
      <c r="E13" s="239"/>
    </row>
    <row r="14" spans="2:13" x14ac:dyDescent="0.25">
      <c r="B14" s="68" t="s">
        <v>206</v>
      </c>
      <c r="C14" s="68" t="s">
        <v>207</v>
      </c>
      <c r="D14" s="69" t="s">
        <v>208</v>
      </c>
      <c r="E14" s="69" t="s">
        <v>209</v>
      </c>
    </row>
    <row r="15" spans="2:13" x14ac:dyDescent="0.25">
      <c r="B15" s="70">
        <v>0</v>
      </c>
      <c r="C15" s="70">
        <v>0.24</v>
      </c>
      <c r="D15" s="70">
        <v>0</v>
      </c>
      <c r="E15" s="70">
        <v>0</v>
      </c>
    </row>
    <row r="18" spans="2:6" x14ac:dyDescent="0.25">
      <c r="B18" s="72" t="s">
        <v>212</v>
      </c>
      <c r="C18" s="72" t="s">
        <v>213</v>
      </c>
      <c r="D18" s="72" t="s">
        <v>214</v>
      </c>
      <c r="E18" s="72" t="s">
        <v>215</v>
      </c>
      <c r="F18" s="72" t="s">
        <v>216</v>
      </c>
    </row>
    <row r="19" spans="2:6" x14ac:dyDescent="0.25">
      <c r="B19" s="73">
        <v>2013</v>
      </c>
      <c r="C19" s="70">
        <v>0</v>
      </c>
      <c r="D19" s="70">
        <v>0</v>
      </c>
      <c r="E19" s="70">
        <v>0</v>
      </c>
      <c r="F19" s="70">
        <v>0</v>
      </c>
    </row>
    <row r="20" spans="2:6" x14ac:dyDescent="0.25">
      <c r="B20" s="73">
        <v>2014</v>
      </c>
      <c r="C20" s="70">
        <v>0.2</v>
      </c>
      <c r="D20" s="70">
        <v>0.3</v>
      </c>
      <c r="E20" s="70">
        <v>0.4</v>
      </c>
      <c r="F20" s="70">
        <v>0.53</v>
      </c>
    </row>
    <row r="21" spans="2:6" x14ac:dyDescent="0.25">
      <c r="B21" s="73">
        <v>2015</v>
      </c>
      <c r="C21" s="70">
        <v>0</v>
      </c>
      <c r="D21" s="70">
        <v>0.24</v>
      </c>
      <c r="E21" s="70">
        <v>0</v>
      </c>
      <c r="F21" s="70">
        <v>0</v>
      </c>
    </row>
  </sheetData>
  <mergeCells count="3">
    <mergeCell ref="B7:E7"/>
    <mergeCell ref="B10:E10"/>
    <mergeCell ref="B13:E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1:M21"/>
  <sheetViews>
    <sheetView workbookViewId="0">
      <selection activeCell="F3" sqref="F3"/>
    </sheetView>
  </sheetViews>
  <sheetFormatPr baseColWidth="10" defaultRowHeight="15" x14ac:dyDescent="0.25"/>
  <cols>
    <col min="4" max="4" width="12.85546875" customWidth="1"/>
    <col min="5" max="5" width="14.85546875" customWidth="1"/>
    <col min="6" max="6" width="17.42578125" customWidth="1"/>
  </cols>
  <sheetData>
    <row r="1" spans="2:13" x14ac:dyDescent="0.25">
      <c r="M1" s="178" t="s">
        <v>227</v>
      </c>
    </row>
    <row r="2" spans="2:13" x14ac:dyDescent="0.25">
      <c r="M2" s="178" t="s">
        <v>0</v>
      </c>
    </row>
    <row r="3" spans="2:13" x14ac:dyDescent="0.25">
      <c r="M3" s="178" t="s">
        <v>340</v>
      </c>
    </row>
    <row r="7" spans="2:13" x14ac:dyDescent="0.25">
      <c r="B7" s="236" t="s">
        <v>205</v>
      </c>
      <c r="C7" s="237"/>
      <c r="D7" s="237"/>
      <c r="E7" s="238"/>
    </row>
    <row r="8" spans="2:13" x14ac:dyDescent="0.25">
      <c r="B8" s="68" t="s">
        <v>206</v>
      </c>
      <c r="C8" s="68" t="s">
        <v>207</v>
      </c>
      <c r="D8" s="69" t="s">
        <v>208</v>
      </c>
      <c r="E8" s="69" t="s">
        <v>209</v>
      </c>
    </row>
    <row r="9" spans="2:13" x14ac:dyDescent="0.25">
      <c r="B9" s="70">
        <v>0</v>
      </c>
      <c r="C9" s="70">
        <v>0</v>
      </c>
      <c r="D9" s="70">
        <v>0</v>
      </c>
      <c r="E9" s="70">
        <v>0</v>
      </c>
    </row>
    <row r="10" spans="2:13" x14ac:dyDescent="0.25">
      <c r="B10" s="239" t="s">
        <v>210</v>
      </c>
      <c r="C10" s="239"/>
      <c r="D10" s="239"/>
      <c r="E10" s="239"/>
    </row>
    <row r="11" spans="2:13" x14ac:dyDescent="0.25">
      <c r="B11" s="68" t="s">
        <v>206</v>
      </c>
      <c r="C11" s="68" t="s">
        <v>207</v>
      </c>
      <c r="D11" s="69" t="s">
        <v>208</v>
      </c>
      <c r="E11" s="69" t="s">
        <v>209</v>
      </c>
    </row>
    <row r="12" spans="2:13" x14ac:dyDescent="0.25">
      <c r="B12" s="70">
        <v>0.48</v>
      </c>
      <c r="C12" s="70">
        <v>0.55000000000000004</v>
      </c>
      <c r="D12" s="70">
        <v>0.67</v>
      </c>
      <c r="E12" s="70">
        <v>0.77</v>
      </c>
    </row>
    <row r="13" spans="2:13" x14ac:dyDescent="0.25">
      <c r="B13" s="239" t="s">
        <v>211</v>
      </c>
      <c r="C13" s="239"/>
      <c r="D13" s="239"/>
      <c r="E13" s="239"/>
    </row>
    <row r="14" spans="2:13" x14ac:dyDescent="0.25">
      <c r="B14" s="68" t="s">
        <v>206</v>
      </c>
      <c r="C14" s="68" t="s">
        <v>207</v>
      </c>
      <c r="D14" s="69" t="s">
        <v>208</v>
      </c>
      <c r="E14" s="69" t="s">
        <v>209</v>
      </c>
    </row>
    <row r="15" spans="2:13" x14ac:dyDescent="0.25">
      <c r="B15" s="70">
        <v>0</v>
      </c>
      <c r="C15" s="70">
        <v>0</v>
      </c>
      <c r="D15" s="70">
        <v>0</v>
      </c>
      <c r="E15" s="70">
        <v>0</v>
      </c>
    </row>
    <row r="18" spans="2:6" x14ac:dyDescent="0.25">
      <c r="B18" s="72" t="s">
        <v>212</v>
      </c>
      <c r="C18" s="72" t="s">
        <v>213</v>
      </c>
      <c r="D18" s="72" t="s">
        <v>214</v>
      </c>
      <c r="E18" s="72" t="s">
        <v>215</v>
      </c>
      <c r="F18" s="72" t="s">
        <v>216</v>
      </c>
    </row>
    <row r="19" spans="2:6" x14ac:dyDescent="0.25">
      <c r="B19" s="73">
        <v>2013</v>
      </c>
      <c r="C19" s="70">
        <v>0</v>
      </c>
      <c r="D19" s="70">
        <v>0</v>
      </c>
      <c r="E19" s="70">
        <v>0</v>
      </c>
      <c r="F19" s="70">
        <v>0</v>
      </c>
    </row>
    <row r="20" spans="2:6" x14ac:dyDescent="0.25">
      <c r="B20" s="73">
        <v>2014</v>
      </c>
      <c r="C20" s="70">
        <v>0.48</v>
      </c>
      <c r="D20" s="70">
        <v>0.55000000000000004</v>
      </c>
      <c r="E20" s="70">
        <v>0.67</v>
      </c>
      <c r="F20" s="70">
        <v>0.77</v>
      </c>
    </row>
    <row r="21" spans="2:6" x14ac:dyDescent="0.25">
      <c r="B21" s="73">
        <v>2015</v>
      </c>
      <c r="C21" s="70">
        <v>0</v>
      </c>
      <c r="D21" s="70">
        <v>0.36</v>
      </c>
      <c r="E21" s="70">
        <v>0</v>
      </c>
      <c r="F21" s="70">
        <v>0</v>
      </c>
    </row>
  </sheetData>
  <mergeCells count="3">
    <mergeCell ref="B7:E7"/>
    <mergeCell ref="B10:E10"/>
    <mergeCell ref="B13:E1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B1:M21"/>
  <sheetViews>
    <sheetView workbookViewId="0">
      <selection activeCell="E26" sqref="E26"/>
    </sheetView>
  </sheetViews>
  <sheetFormatPr baseColWidth="10" defaultRowHeight="15" x14ac:dyDescent="0.25"/>
  <cols>
    <col min="3" max="3" width="13" customWidth="1"/>
    <col min="4" max="4" width="13.140625" customWidth="1"/>
    <col min="5" max="5" width="14.28515625" customWidth="1"/>
    <col min="6" max="6" width="15.7109375" customWidth="1"/>
  </cols>
  <sheetData>
    <row r="1" spans="2:13" x14ac:dyDescent="0.25">
      <c r="M1" s="178" t="s">
        <v>227</v>
      </c>
    </row>
    <row r="2" spans="2:13" x14ac:dyDescent="0.25">
      <c r="M2" s="178" t="s">
        <v>0</v>
      </c>
    </row>
    <row r="3" spans="2:13" x14ac:dyDescent="0.25">
      <c r="M3" s="178" t="s">
        <v>340</v>
      </c>
    </row>
    <row r="7" spans="2:13" x14ac:dyDescent="0.25">
      <c r="B7" s="236" t="s">
        <v>205</v>
      </c>
      <c r="C7" s="237"/>
      <c r="D7" s="237"/>
      <c r="E7" s="238"/>
    </row>
    <row r="8" spans="2:13" x14ac:dyDescent="0.25">
      <c r="B8" s="68" t="s">
        <v>206</v>
      </c>
      <c r="C8" s="68" t="s">
        <v>207</v>
      </c>
      <c r="D8" s="69" t="s">
        <v>208</v>
      </c>
      <c r="E8" s="69" t="s">
        <v>209</v>
      </c>
    </row>
    <row r="9" spans="2:13" x14ac:dyDescent="0.25">
      <c r="B9" s="70">
        <v>0</v>
      </c>
      <c r="C9" s="70">
        <v>0</v>
      </c>
      <c r="D9" s="70">
        <v>0</v>
      </c>
      <c r="E9" s="70">
        <v>0</v>
      </c>
    </row>
    <row r="10" spans="2:13" x14ac:dyDescent="0.25">
      <c r="B10" s="239" t="s">
        <v>210</v>
      </c>
      <c r="C10" s="239"/>
      <c r="D10" s="239"/>
      <c r="E10" s="239"/>
    </row>
    <row r="11" spans="2:13" x14ac:dyDescent="0.25">
      <c r="B11" s="68" t="s">
        <v>206</v>
      </c>
      <c r="C11" s="68" t="s">
        <v>207</v>
      </c>
      <c r="D11" s="69" t="s">
        <v>208</v>
      </c>
      <c r="E11" s="69" t="s">
        <v>209</v>
      </c>
    </row>
    <row r="12" spans="2:13" x14ac:dyDescent="0.25">
      <c r="B12" s="75">
        <v>5.9999999999999995E-4</v>
      </c>
      <c r="C12" s="76">
        <v>0.2</v>
      </c>
      <c r="D12" s="76">
        <v>0.39</v>
      </c>
      <c r="E12" s="70">
        <v>0.5</v>
      </c>
    </row>
    <row r="13" spans="2:13" x14ac:dyDescent="0.25">
      <c r="B13" s="239" t="s">
        <v>211</v>
      </c>
      <c r="C13" s="239"/>
      <c r="D13" s="239"/>
      <c r="E13" s="239"/>
    </row>
    <row r="14" spans="2:13" x14ac:dyDescent="0.25">
      <c r="B14" s="68" t="s">
        <v>206</v>
      </c>
      <c r="C14" s="68" t="s">
        <v>207</v>
      </c>
      <c r="D14" s="69" t="s">
        <v>208</v>
      </c>
      <c r="E14" s="69" t="s">
        <v>209</v>
      </c>
    </row>
    <row r="15" spans="2:13" x14ac:dyDescent="0.25">
      <c r="B15" s="70">
        <v>0</v>
      </c>
      <c r="C15" s="70">
        <v>0</v>
      </c>
      <c r="D15" s="70">
        <v>0</v>
      </c>
      <c r="E15" s="70">
        <v>0</v>
      </c>
    </row>
    <row r="18" spans="2:6" x14ac:dyDescent="0.25">
      <c r="B18" s="74" t="s">
        <v>212</v>
      </c>
      <c r="C18" s="74" t="s">
        <v>213</v>
      </c>
      <c r="D18" s="74" t="s">
        <v>214</v>
      </c>
      <c r="E18" s="74" t="s">
        <v>215</v>
      </c>
      <c r="F18" s="74" t="s">
        <v>216</v>
      </c>
    </row>
    <row r="19" spans="2:6" x14ac:dyDescent="0.25">
      <c r="B19" s="73">
        <v>2013</v>
      </c>
      <c r="C19" s="70">
        <v>0</v>
      </c>
      <c r="D19" s="70">
        <v>0</v>
      </c>
      <c r="E19" s="70">
        <v>0</v>
      </c>
      <c r="F19" s="70">
        <v>0</v>
      </c>
    </row>
    <row r="20" spans="2:6" x14ac:dyDescent="0.25">
      <c r="B20" s="73">
        <v>2014</v>
      </c>
      <c r="C20" s="75">
        <v>5.9999999999999995E-4</v>
      </c>
      <c r="D20" s="76">
        <v>0.2</v>
      </c>
      <c r="E20" s="76">
        <v>0.39</v>
      </c>
      <c r="F20" s="70">
        <v>0.5</v>
      </c>
    </row>
    <row r="21" spans="2:6" x14ac:dyDescent="0.25">
      <c r="B21" s="73">
        <v>2015</v>
      </c>
      <c r="C21" s="70">
        <v>0</v>
      </c>
      <c r="D21" s="70">
        <v>0</v>
      </c>
      <c r="E21" s="70">
        <v>0</v>
      </c>
      <c r="F21" s="70">
        <v>0</v>
      </c>
    </row>
  </sheetData>
  <mergeCells count="3">
    <mergeCell ref="B7:E7"/>
    <mergeCell ref="B10:E10"/>
    <mergeCell ref="B13:E1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M21"/>
  <sheetViews>
    <sheetView workbookViewId="0">
      <selection activeCell="F26" sqref="F26"/>
    </sheetView>
  </sheetViews>
  <sheetFormatPr baseColWidth="10" defaultRowHeight="15" x14ac:dyDescent="0.25"/>
  <cols>
    <col min="4" max="4" width="12.85546875" customWidth="1"/>
    <col min="5" max="5" width="14.7109375" customWidth="1"/>
    <col min="6" max="6" width="15.28515625" customWidth="1"/>
  </cols>
  <sheetData>
    <row r="1" spans="2:13" x14ac:dyDescent="0.25">
      <c r="M1" s="178" t="s">
        <v>227</v>
      </c>
    </row>
    <row r="2" spans="2:13" x14ac:dyDescent="0.25">
      <c r="M2" s="178" t="s">
        <v>0</v>
      </c>
    </row>
    <row r="3" spans="2:13" x14ac:dyDescent="0.25">
      <c r="M3" s="178" t="s">
        <v>340</v>
      </c>
    </row>
    <row r="7" spans="2:13" x14ac:dyDescent="0.25">
      <c r="B7" s="240" t="s">
        <v>205</v>
      </c>
      <c r="C7" s="241"/>
      <c r="D7" s="241"/>
      <c r="E7" s="242"/>
    </row>
    <row r="8" spans="2:13" x14ac:dyDescent="0.25">
      <c r="B8" s="68" t="s">
        <v>206</v>
      </c>
      <c r="C8" s="68" t="s">
        <v>207</v>
      </c>
      <c r="D8" s="69" t="s">
        <v>208</v>
      </c>
      <c r="E8" s="69" t="s">
        <v>209</v>
      </c>
    </row>
    <row r="9" spans="2:13" x14ac:dyDescent="0.25">
      <c r="B9" s="70">
        <v>0</v>
      </c>
      <c r="C9" s="70">
        <v>0</v>
      </c>
      <c r="D9" s="70">
        <v>0</v>
      </c>
      <c r="E9" s="70">
        <v>0</v>
      </c>
    </row>
    <row r="10" spans="2:13" x14ac:dyDescent="0.25">
      <c r="B10" s="243" t="s">
        <v>210</v>
      </c>
      <c r="C10" s="243"/>
      <c r="D10" s="243"/>
      <c r="E10" s="243"/>
    </row>
    <row r="11" spans="2:13" x14ac:dyDescent="0.25">
      <c r="B11" s="68" t="s">
        <v>206</v>
      </c>
      <c r="C11" s="68" t="s">
        <v>207</v>
      </c>
      <c r="D11" s="69" t="s">
        <v>208</v>
      </c>
      <c r="E11" s="69" t="s">
        <v>209</v>
      </c>
    </row>
    <row r="12" spans="2:13" x14ac:dyDescent="0.25">
      <c r="B12" s="70">
        <v>0.04</v>
      </c>
      <c r="C12" s="70">
        <v>0.18</v>
      </c>
      <c r="D12" s="70">
        <v>0.3</v>
      </c>
      <c r="E12" s="70">
        <v>0.48</v>
      </c>
    </row>
    <row r="13" spans="2:13" x14ac:dyDescent="0.25">
      <c r="B13" s="243" t="s">
        <v>211</v>
      </c>
      <c r="C13" s="243"/>
      <c r="D13" s="243"/>
      <c r="E13" s="243"/>
    </row>
    <row r="14" spans="2:13" x14ac:dyDescent="0.25">
      <c r="B14" s="68" t="s">
        <v>206</v>
      </c>
      <c r="C14" s="68" t="s">
        <v>207</v>
      </c>
      <c r="D14" s="69" t="s">
        <v>208</v>
      </c>
      <c r="E14" s="69" t="s">
        <v>209</v>
      </c>
    </row>
    <row r="15" spans="2:13" x14ac:dyDescent="0.25">
      <c r="B15" s="70">
        <v>0</v>
      </c>
      <c r="C15" s="70">
        <v>0</v>
      </c>
      <c r="D15" s="70">
        <v>0</v>
      </c>
      <c r="E15" s="70">
        <v>0</v>
      </c>
    </row>
    <row r="18" spans="2:6" x14ac:dyDescent="0.25">
      <c r="B18" s="74" t="s">
        <v>212</v>
      </c>
      <c r="C18" s="74" t="s">
        <v>213</v>
      </c>
      <c r="D18" s="74" t="s">
        <v>214</v>
      </c>
      <c r="E18" s="74" t="s">
        <v>215</v>
      </c>
      <c r="F18" s="74" t="s">
        <v>216</v>
      </c>
    </row>
    <row r="19" spans="2:6" x14ac:dyDescent="0.25">
      <c r="B19" s="73">
        <v>2013</v>
      </c>
      <c r="C19" s="70">
        <v>0</v>
      </c>
      <c r="D19" s="70">
        <v>0</v>
      </c>
      <c r="E19" s="70">
        <v>0</v>
      </c>
      <c r="F19" s="70">
        <v>0</v>
      </c>
    </row>
    <row r="20" spans="2:6" x14ac:dyDescent="0.25">
      <c r="B20" s="73">
        <v>2014</v>
      </c>
      <c r="C20" s="70">
        <v>0.04</v>
      </c>
      <c r="D20" s="70">
        <v>0.18</v>
      </c>
      <c r="E20" s="70">
        <v>0.3</v>
      </c>
      <c r="F20" s="70">
        <v>0.48</v>
      </c>
    </row>
    <row r="21" spans="2:6" x14ac:dyDescent="0.25">
      <c r="B21" s="73">
        <v>2015</v>
      </c>
      <c r="C21" s="70">
        <v>0</v>
      </c>
      <c r="D21" s="70">
        <v>0</v>
      </c>
      <c r="E21" s="70">
        <v>0</v>
      </c>
      <c r="F21" s="70">
        <v>0</v>
      </c>
    </row>
  </sheetData>
  <mergeCells count="3">
    <mergeCell ref="B7:E7"/>
    <mergeCell ref="B10:E10"/>
    <mergeCell ref="B13:E1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1:M21"/>
  <sheetViews>
    <sheetView workbookViewId="0">
      <selection activeCell="F2" sqref="F2"/>
    </sheetView>
  </sheetViews>
  <sheetFormatPr baseColWidth="10" defaultRowHeight="15" x14ac:dyDescent="0.25"/>
  <cols>
    <col min="5" max="5" width="15.140625" customWidth="1"/>
    <col min="6" max="6" width="18" customWidth="1"/>
  </cols>
  <sheetData>
    <row r="1" spans="2:13" x14ac:dyDescent="0.25">
      <c r="M1" s="178" t="s">
        <v>227</v>
      </c>
    </row>
    <row r="2" spans="2:13" x14ac:dyDescent="0.25">
      <c r="M2" s="178" t="s">
        <v>0</v>
      </c>
    </row>
    <row r="3" spans="2:13" x14ac:dyDescent="0.25">
      <c r="M3" s="178" t="s">
        <v>340</v>
      </c>
    </row>
    <row r="7" spans="2:13" x14ac:dyDescent="0.25">
      <c r="B7" s="240" t="s">
        <v>205</v>
      </c>
      <c r="C7" s="241"/>
      <c r="D7" s="241"/>
      <c r="E7" s="242"/>
    </row>
    <row r="8" spans="2:13" x14ac:dyDescent="0.25">
      <c r="B8" s="68" t="s">
        <v>206</v>
      </c>
      <c r="C8" s="68" t="s">
        <v>207</v>
      </c>
      <c r="D8" s="69" t="s">
        <v>208</v>
      </c>
      <c r="E8" s="69" t="s">
        <v>209</v>
      </c>
    </row>
    <row r="9" spans="2:13" x14ac:dyDescent="0.25">
      <c r="B9" s="70">
        <v>0.14000000000000001</v>
      </c>
      <c r="C9" s="70">
        <v>0.27</v>
      </c>
      <c r="D9" s="70">
        <v>0.3</v>
      </c>
      <c r="E9" s="70">
        <v>0.28999999999999998</v>
      </c>
    </row>
    <row r="10" spans="2:13" x14ac:dyDescent="0.25">
      <c r="B10" s="243" t="s">
        <v>210</v>
      </c>
      <c r="C10" s="243"/>
      <c r="D10" s="243"/>
      <c r="E10" s="243"/>
    </row>
    <row r="11" spans="2:13" x14ac:dyDescent="0.25">
      <c r="B11" s="68" t="s">
        <v>206</v>
      </c>
      <c r="C11" s="68" t="s">
        <v>207</v>
      </c>
      <c r="D11" s="69" t="s">
        <v>208</v>
      </c>
      <c r="E11" s="69" t="s">
        <v>209</v>
      </c>
    </row>
    <row r="12" spans="2:13" x14ac:dyDescent="0.25">
      <c r="B12" s="70">
        <v>0.3</v>
      </c>
      <c r="C12" s="70">
        <v>0.4</v>
      </c>
      <c r="D12" s="70">
        <v>0.44</v>
      </c>
      <c r="E12" s="70">
        <v>0.54</v>
      </c>
    </row>
    <row r="13" spans="2:13" x14ac:dyDescent="0.25">
      <c r="B13" s="243" t="s">
        <v>211</v>
      </c>
      <c r="C13" s="243"/>
      <c r="D13" s="243"/>
      <c r="E13" s="243"/>
    </row>
    <row r="14" spans="2:13" x14ac:dyDescent="0.25">
      <c r="B14" s="68" t="s">
        <v>206</v>
      </c>
      <c r="C14" s="68" t="s">
        <v>207</v>
      </c>
      <c r="D14" s="69" t="s">
        <v>208</v>
      </c>
      <c r="E14" s="69" t="s">
        <v>209</v>
      </c>
    </row>
    <row r="15" spans="2:13" x14ac:dyDescent="0.25">
      <c r="B15" s="70">
        <v>0</v>
      </c>
      <c r="C15" s="70">
        <v>0</v>
      </c>
      <c r="D15" s="70">
        <v>0</v>
      </c>
      <c r="E15" s="70">
        <v>0</v>
      </c>
    </row>
    <row r="18" spans="2:6" x14ac:dyDescent="0.25">
      <c r="B18" s="74" t="s">
        <v>212</v>
      </c>
      <c r="C18" s="74" t="s">
        <v>213</v>
      </c>
      <c r="D18" s="74" t="s">
        <v>214</v>
      </c>
      <c r="E18" s="74" t="s">
        <v>215</v>
      </c>
      <c r="F18" s="74" t="s">
        <v>216</v>
      </c>
    </row>
    <row r="19" spans="2:6" x14ac:dyDescent="0.25">
      <c r="B19" s="73">
        <v>2013</v>
      </c>
      <c r="C19" s="70">
        <v>0.14000000000000001</v>
      </c>
      <c r="D19" s="70">
        <v>0.27</v>
      </c>
      <c r="E19" s="70">
        <v>0.3</v>
      </c>
      <c r="F19" s="70">
        <v>0.28999999999999998</v>
      </c>
    </row>
    <row r="20" spans="2:6" x14ac:dyDescent="0.25">
      <c r="B20" s="73">
        <v>2014</v>
      </c>
      <c r="C20" s="70">
        <v>0.3</v>
      </c>
      <c r="D20" s="70">
        <v>0.4</v>
      </c>
      <c r="E20" s="70">
        <v>0.44</v>
      </c>
      <c r="F20" s="70">
        <v>0.54</v>
      </c>
    </row>
    <row r="21" spans="2:6" x14ac:dyDescent="0.25">
      <c r="B21" s="73">
        <v>2015</v>
      </c>
      <c r="C21" s="70">
        <v>0.2</v>
      </c>
      <c r="D21" s="70">
        <v>0.38</v>
      </c>
      <c r="E21" s="70">
        <v>0</v>
      </c>
      <c r="F21" s="70">
        <v>0</v>
      </c>
    </row>
  </sheetData>
  <mergeCells count="3">
    <mergeCell ref="B7:E7"/>
    <mergeCell ref="B10:E10"/>
    <mergeCell ref="B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AD1048575"/>
  <sheetViews>
    <sheetView zoomScaleNormal="100" workbookViewId="0">
      <selection activeCell="D2" sqref="D2"/>
    </sheetView>
  </sheetViews>
  <sheetFormatPr baseColWidth="10" defaultRowHeight="15" x14ac:dyDescent="0.25"/>
  <cols>
    <col min="1" max="1" width="26.28515625" customWidth="1"/>
    <col min="2" max="2" width="27" customWidth="1"/>
    <col min="3" max="3" width="20.7109375" customWidth="1"/>
    <col min="4" max="4" width="16.42578125" customWidth="1"/>
    <col min="5" max="5" width="38.5703125" bestFit="1" customWidth="1"/>
    <col min="6" max="6" width="14.140625" customWidth="1"/>
    <col min="7" max="8" width="9.7109375" customWidth="1"/>
    <col min="9" max="9" width="7.7109375" customWidth="1"/>
    <col min="10" max="10" width="12.7109375" customWidth="1"/>
    <col min="11" max="11" width="21.7109375" customWidth="1"/>
    <col min="12" max="27" width="8.7109375" customWidth="1"/>
  </cols>
  <sheetData>
    <row r="1" spans="1:27" x14ac:dyDescent="0.25">
      <c r="W1" s="192" t="s">
        <v>228</v>
      </c>
      <c r="X1" s="192"/>
      <c r="Y1" s="192"/>
      <c r="Z1" s="192"/>
      <c r="AA1" s="192"/>
    </row>
    <row r="2" spans="1:27" x14ac:dyDescent="0.25">
      <c r="W2" s="115"/>
      <c r="X2" s="115"/>
      <c r="Y2" s="115"/>
      <c r="Z2" s="192" t="s">
        <v>0</v>
      </c>
      <c r="AA2" s="192"/>
    </row>
    <row r="3" spans="1:27" x14ac:dyDescent="0.25">
      <c r="W3" s="115"/>
      <c r="X3" s="115"/>
      <c r="Y3" s="192" t="s">
        <v>340</v>
      </c>
      <c r="Z3" s="192"/>
      <c r="AA3" s="192"/>
    </row>
    <row r="4" spans="1:27" x14ac:dyDescent="0.25">
      <c r="K4" s="123"/>
    </row>
    <row r="5" spans="1:27" x14ac:dyDescent="0.25">
      <c r="K5" s="123"/>
    </row>
    <row r="6" spans="1:27" s="43" customFormat="1" ht="23.25" customHeight="1" x14ac:dyDescent="0.2">
      <c r="A6" s="193" t="s">
        <v>229</v>
      </c>
      <c r="B6" s="194"/>
      <c r="C6" s="194"/>
      <c r="D6" s="194"/>
      <c r="E6" s="194"/>
      <c r="F6" s="194"/>
      <c r="G6" s="194"/>
      <c r="H6" s="194"/>
      <c r="I6" s="194"/>
      <c r="J6" s="194"/>
      <c r="K6" s="195"/>
    </row>
    <row r="7" spans="1:27" s="43" customFormat="1" ht="38.25" x14ac:dyDescent="0.2">
      <c r="A7" s="130" t="s">
        <v>70</v>
      </c>
      <c r="B7" s="130" t="s">
        <v>1</v>
      </c>
      <c r="C7" s="130" t="s">
        <v>97</v>
      </c>
      <c r="D7" s="130" t="s">
        <v>2</v>
      </c>
      <c r="E7" s="130" t="s">
        <v>3</v>
      </c>
      <c r="F7" s="130" t="s">
        <v>4</v>
      </c>
      <c r="G7" s="196" t="s">
        <v>7</v>
      </c>
      <c r="H7" s="196"/>
      <c r="I7" s="130" t="s">
        <v>8</v>
      </c>
      <c r="J7" s="130" t="s">
        <v>5</v>
      </c>
      <c r="K7" s="130" t="s">
        <v>233</v>
      </c>
      <c r="L7" s="131" t="s">
        <v>277</v>
      </c>
      <c r="M7" s="131" t="s">
        <v>278</v>
      </c>
      <c r="N7" s="131" t="s">
        <v>279</v>
      </c>
      <c r="O7" s="131" t="s">
        <v>289</v>
      </c>
      <c r="P7" s="131" t="s">
        <v>280</v>
      </c>
      <c r="Q7" s="131" t="s">
        <v>281</v>
      </c>
      <c r="R7" s="131" t="s">
        <v>282</v>
      </c>
      <c r="S7" s="131" t="s">
        <v>289</v>
      </c>
      <c r="T7" s="131" t="s">
        <v>283</v>
      </c>
      <c r="U7" s="131" t="s">
        <v>284</v>
      </c>
      <c r="V7" s="131" t="s">
        <v>285</v>
      </c>
      <c r="W7" s="131" t="s">
        <v>289</v>
      </c>
      <c r="X7" s="131" t="s">
        <v>286</v>
      </c>
      <c r="Y7" s="131" t="s">
        <v>287</v>
      </c>
      <c r="Z7" s="131" t="s">
        <v>288</v>
      </c>
      <c r="AA7" s="131" t="s">
        <v>289</v>
      </c>
    </row>
    <row r="8" spans="1:27" s="43" customFormat="1" ht="72" customHeight="1" x14ac:dyDescent="0.2">
      <c r="A8" s="202" t="s">
        <v>267</v>
      </c>
      <c r="B8" s="128" t="s">
        <v>98</v>
      </c>
      <c r="C8" s="127" t="s">
        <v>230</v>
      </c>
      <c r="D8" s="174" t="s">
        <v>180</v>
      </c>
      <c r="E8" s="128" t="s">
        <v>231</v>
      </c>
      <c r="F8" s="128" t="s">
        <v>27</v>
      </c>
      <c r="G8" s="128" t="s">
        <v>80</v>
      </c>
      <c r="H8" s="132">
        <v>0.3</v>
      </c>
      <c r="I8" s="132">
        <v>0.6</v>
      </c>
      <c r="J8" s="127" t="s">
        <v>31</v>
      </c>
      <c r="K8" s="128" t="s">
        <v>253</v>
      </c>
      <c r="L8" s="133"/>
      <c r="M8" s="133"/>
      <c r="N8" s="134"/>
      <c r="O8" s="135" t="e">
        <f t="shared" ref="O8:O19" si="0">AVERAGE(L8:N8)</f>
        <v>#DIV/0!</v>
      </c>
      <c r="P8" s="133"/>
      <c r="Q8" s="133"/>
      <c r="R8" s="134"/>
      <c r="S8" s="136" t="e">
        <f>AVERAGE(P8:R8)</f>
        <v>#DIV/0!</v>
      </c>
      <c r="T8" s="133"/>
      <c r="U8" s="133"/>
      <c r="V8" s="134"/>
      <c r="W8" s="136" t="e">
        <f t="shared" ref="W8:W19" si="1">AVERAGE(T8:V8)</f>
        <v>#DIV/0!</v>
      </c>
      <c r="X8" s="133"/>
      <c r="Y8" s="133"/>
      <c r="Z8" s="137"/>
      <c r="AA8" s="136" t="e">
        <f t="shared" ref="AA8:AA19" si="2">AVERAGE(X8:Z8)</f>
        <v>#DIV/0!</v>
      </c>
    </row>
    <row r="9" spans="1:27" s="43" customFormat="1" ht="54.95" customHeight="1" x14ac:dyDescent="0.2">
      <c r="A9" s="202"/>
      <c r="B9" s="203" t="s">
        <v>99</v>
      </c>
      <c r="C9" s="127" t="s">
        <v>338</v>
      </c>
      <c r="D9" s="174" t="s">
        <v>295</v>
      </c>
      <c r="E9" s="127" t="s">
        <v>234</v>
      </c>
      <c r="F9" s="127" t="s">
        <v>248</v>
      </c>
      <c r="G9" s="127" t="s">
        <v>75</v>
      </c>
      <c r="H9" s="138">
        <v>11</v>
      </c>
      <c r="I9" s="138">
        <v>9</v>
      </c>
      <c r="J9" s="127" t="s">
        <v>31</v>
      </c>
      <c r="K9" s="128" t="s">
        <v>253</v>
      </c>
      <c r="L9" s="139"/>
      <c r="M9" s="139"/>
      <c r="N9" s="139"/>
      <c r="O9" s="135" t="e">
        <f t="shared" si="0"/>
        <v>#DIV/0!</v>
      </c>
      <c r="P9" s="139"/>
      <c r="Q9" s="139"/>
      <c r="R9" s="139"/>
      <c r="S9" s="136" t="e">
        <f t="shared" ref="S9:S19" si="3">AVERAGE(P9:R9)</f>
        <v>#DIV/0!</v>
      </c>
      <c r="T9" s="139"/>
      <c r="U9" s="139"/>
      <c r="V9" s="139"/>
      <c r="W9" s="136" t="e">
        <f t="shared" si="1"/>
        <v>#DIV/0!</v>
      </c>
      <c r="X9" s="139"/>
      <c r="Y9" s="139"/>
      <c r="Z9" s="139"/>
      <c r="AA9" s="136" t="e">
        <f t="shared" si="2"/>
        <v>#DIV/0!</v>
      </c>
    </row>
    <row r="10" spans="1:27" s="43" customFormat="1" ht="54.95" customHeight="1" x14ac:dyDescent="0.2">
      <c r="A10" s="202"/>
      <c r="B10" s="203"/>
      <c r="C10" s="204" t="s">
        <v>339</v>
      </c>
      <c r="D10" s="174" t="s">
        <v>294</v>
      </c>
      <c r="E10" s="127" t="s">
        <v>235</v>
      </c>
      <c r="F10" s="127" t="s">
        <v>248</v>
      </c>
      <c r="G10" s="127" t="s">
        <v>75</v>
      </c>
      <c r="H10" s="138">
        <v>8</v>
      </c>
      <c r="I10" s="138">
        <v>6</v>
      </c>
      <c r="J10" s="127" t="s">
        <v>31</v>
      </c>
      <c r="K10" s="128" t="s">
        <v>253</v>
      </c>
      <c r="L10" s="139"/>
      <c r="M10" s="139"/>
      <c r="N10" s="139"/>
      <c r="O10" s="135" t="e">
        <f t="shared" si="0"/>
        <v>#DIV/0!</v>
      </c>
      <c r="P10" s="139"/>
      <c r="Q10" s="139"/>
      <c r="R10" s="139"/>
      <c r="S10" s="136" t="e">
        <f t="shared" si="3"/>
        <v>#DIV/0!</v>
      </c>
      <c r="T10" s="139"/>
      <c r="U10" s="139"/>
      <c r="V10" s="139"/>
      <c r="W10" s="136" t="e">
        <f t="shared" si="1"/>
        <v>#DIV/0!</v>
      </c>
      <c r="X10" s="139"/>
      <c r="Y10" s="139"/>
      <c r="Z10" s="139"/>
      <c r="AA10" s="136" t="e">
        <f t="shared" si="2"/>
        <v>#DIV/0!</v>
      </c>
    </row>
    <row r="11" spans="1:27" s="43" customFormat="1" ht="39.950000000000003" customHeight="1" x14ac:dyDescent="0.2">
      <c r="A11" s="202"/>
      <c r="B11" s="203"/>
      <c r="C11" s="204"/>
      <c r="D11" s="174" t="s">
        <v>262</v>
      </c>
      <c r="E11" s="165" t="s">
        <v>296</v>
      </c>
      <c r="F11" s="165" t="s">
        <v>20</v>
      </c>
      <c r="G11" s="165" t="s">
        <v>91</v>
      </c>
      <c r="H11" s="164">
        <v>3</v>
      </c>
      <c r="I11" s="164">
        <v>2</v>
      </c>
      <c r="J11" s="168" t="s">
        <v>31</v>
      </c>
      <c r="K11" s="168" t="s">
        <v>253</v>
      </c>
      <c r="L11" s="141">
        <v>0.23</v>
      </c>
      <c r="M11" s="141">
        <v>0.23</v>
      </c>
      <c r="N11" s="141">
        <v>0.24</v>
      </c>
      <c r="O11" s="152">
        <f t="shared" si="0"/>
        <v>0.23333333333333331</v>
      </c>
      <c r="P11" s="141">
        <v>0.3</v>
      </c>
      <c r="Q11" s="141"/>
      <c r="R11" s="141"/>
      <c r="S11" s="136">
        <f t="shared" si="3"/>
        <v>0.3</v>
      </c>
      <c r="T11" s="141"/>
      <c r="U11" s="141"/>
      <c r="V11" s="141"/>
      <c r="W11" s="136" t="e">
        <f t="shared" si="1"/>
        <v>#DIV/0!</v>
      </c>
      <c r="X11" s="141"/>
      <c r="Y11" s="141"/>
      <c r="Z11" s="134"/>
      <c r="AA11" s="136" t="e">
        <f t="shared" si="2"/>
        <v>#DIV/0!</v>
      </c>
    </row>
    <row r="12" spans="1:27" s="43" customFormat="1" ht="50.1" customHeight="1" x14ac:dyDescent="0.2">
      <c r="A12" s="202"/>
      <c r="B12" s="203"/>
      <c r="C12" s="127" t="s">
        <v>237</v>
      </c>
      <c r="D12" s="175" t="s">
        <v>13</v>
      </c>
      <c r="E12" s="127" t="s">
        <v>72</v>
      </c>
      <c r="F12" s="127" t="s">
        <v>248</v>
      </c>
      <c r="G12" s="127" t="s">
        <v>75</v>
      </c>
      <c r="H12" s="138">
        <v>41</v>
      </c>
      <c r="I12" s="138">
        <v>31</v>
      </c>
      <c r="J12" s="127" t="s">
        <v>31</v>
      </c>
      <c r="K12" s="127" t="s">
        <v>253</v>
      </c>
      <c r="L12" s="142"/>
      <c r="M12" s="143"/>
      <c r="N12" s="143"/>
      <c r="O12" s="135" t="e">
        <f t="shared" si="0"/>
        <v>#DIV/0!</v>
      </c>
      <c r="P12" s="143"/>
      <c r="Q12" s="143"/>
      <c r="R12" s="143"/>
      <c r="S12" s="136" t="e">
        <f t="shared" si="3"/>
        <v>#DIV/0!</v>
      </c>
      <c r="T12" s="143"/>
      <c r="U12" s="143"/>
      <c r="V12" s="143"/>
      <c r="W12" s="136" t="e">
        <f t="shared" si="1"/>
        <v>#DIV/0!</v>
      </c>
      <c r="X12" s="143"/>
      <c r="Y12" s="143"/>
      <c r="Z12" s="143"/>
      <c r="AA12" s="136" t="e">
        <f t="shared" si="2"/>
        <v>#DIV/0!</v>
      </c>
    </row>
    <row r="13" spans="1:27" s="43" customFormat="1" ht="102" x14ac:dyDescent="0.2">
      <c r="A13" s="126" t="s">
        <v>276</v>
      </c>
      <c r="B13" s="128" t="s">
        <v>100</v>
      </c>
      <c r="C13" s="127" t="s">
        <v>238</v>
      </c>
      <c r="D13" s="162" t="s">
        <v>15</v>
      </c>
      <c r="E13" s="127" t="s">
        <v>16</v>
      </c>
      <c r="F13" s="127" t="s">
        <v>17</v>
      </c>
      <c r="G13" s="127" t="s">
        <v>79</v>
      </c>
      <c r="H13" s="140">
        <v>0.9</v>
      </c>
      <c r="I13" s="140">
        <v>1</v>
      </c>
      <c r="J13" s="127" t="s">
        <v>31</v>
      </c>
      <c r="K13" s="127" t="s">
        <v>83</v>
      </c>
      <c r="L13" s="133"/>
      <c r="M13" s="133"/>
      <c r="N13" s="133"/>
      <c r="O13" s="135" t="e">
        <f t="shared" si="0"/>
        <v>#DIV/0!</v>
      </c>
      <c r="P13" s="133"/>
      <c r="Q13" s="133"/>
      <c r="R13" s="137"/>
      <c r="S13" s="136" t="e">
        <f t="shared" si="3"/>
        <v>#DIV/0!</v>
      </c>
      <c r="T13" s="133"/>
      <c r="U13" s="133"/>
      <c r="V13" s="144"/>
      <c r="W13" s="136" t="e">
        <f t="shared" si="1"/>
        <v>#DIV/0!</v>
      </c>
      <c r="X13" s="133"/>
      <c r="Y13" s="133"/>
      <c r="Z13" s="134"/>
      <c r="AA13" s="136" t="e">
        <f t="shared" si="2"/>
        <v>#DIV/0!</v>
      </c>
    </row>
    <row r="14" spans="1:27" s="43" customFormat="1" ht="50.1" customHeight="1" x14ac:dyDescent="0.2">
      <c r="A14" s="202" t="s">
        <v>268</v>
      </c>
      <c r="B14" s="203" t="s">
        <v>101</v>
      </c>
      <c r="C14" s="204" t="s">
        <v>239</v>
      </c>
      <c r="D14" s="128" t="s">
        <v>19</v>
      </c>
      <c r="E14" s="127" t="s">
        <v>158</v>
      </c>
      <c r="F14" s="127" t="s">
        <v>20</v>
      </c>
      <c r="G14" s="127" t="s">
        <v>79</v>
      </c>
      <c r="H14" s="140">
        <v>0.6</v>
      </c>
      <c r="I14" s="140">
        <v>0.8</v>
      </c>
      <c r="J14" s="127" t="s">
        <v>81</v>
      </c>
      <c r="K14" s="127" t="s">
        <v>85</v>
      </c>
      <c r="L14" s="133"/>
      <c r="M14" s="133"/>
      <c r="N14" s="133"/>
      <c r="O14" s="135" t="e">
        <f t="shared" si="0"/>
        <v>#DIV/0!</v>
      </c>
      <c r="P14" s="133"/>
      <c r="Q14" s="133"/>
      <c r="R14" s="133"/>
      <c r="S14" s="136" t="e">
        <f t="shared" si="3"/>
        <v>#DIV/0!</v>
      </c>
      <c r="T14" s="133"/>
      <c r="U14" s="133"/>
      <c r="V14" s="133"/>
      <c r="W14" s="136" t="e">
        <f t="shared" si="1"/>
        <v>#DIV/0!</v>
      </c>
      <c r="X14" s="133"/>
      <c r="Y14" s="133"/>
      <c r="Z14" s="145"/>
      <c r="AA14" s="136" t="e">
        <f t="shared" si="2"/>
        <v>#DIV/0!</v>
      </c>
    </row>
    <row r="15" spans="1:27" s="43" customFormat="1" ht="49.5" customHeight="1" x14ac:dyDescent="0.2">
      <c r="A15" s="202"/>
      <c r="B15" s="203"/>
      <c r="C15" s="204"/>
      <c r="D15" s="127" t="s">
        <v>156</v>
      </c>
      <c r="E15" s="127" t="s">
        <v>157</v>
      </c>
      <c r="F15" s="127" t="s">
        <v>17</v>
      </c>
      <c r="G15" s="127" t="s">
        <v>79</v>
      </c>
      <c r="H15" s="140">
        <v>0.6</v>
      </c>
      <c r="I15" s="140">
        <v>0.7</v>
      </c>
      <c r="J15" s="127" t="s">
        <v>81</v>
      </c>
      <c r="K15" s="127" t="s">
        <v>85</v>
      </c>
      <c r="L15" s="133"/>
      <c r="M15" s="133"/>
      <c r="N15" s="133"/>
      <c r="O15" s="135" t="e">
        <f t="shared" si="0"/>
        <v>#DIV/0!</v>
      </c>
      <c r="P15" s="133"/>
      <c r="Q15" s="133"/>
      <c r="R15" s="134"/>
      <c r="S15" s="136" t="e">
        <f t="shared" si="3"/>
        <v>#DIV/0!</v>
      </c>
      <c r="T15" s="133"/>
      <c r="U15" s="133"/>
      <c r="V15" s="133"/>
      <c r="W15" s="136" t="e">
        <f t="shared" si="1"/>
        <v>#DIV/0!</v>
      </c>
      <c r="X15" s="133"/>
      <c r="Y15" s="133"/>
      <c r="Z15" s="145"/>
      <c r="AA15" s="136" t="e">
        <f t="shared" si="2"/>
        <v>#DIV/0!</v>
      </c>
    </row>
    <row r="16" spans="1:27" s="43" customFormat="1" ht="50.1" customHeight="1" x14ac:dyDescent="0.2">
      <c r="A16" s="197" t="s">
        <v>269</v>
      </c>
      <c r="B16" s="186" t="s">
        <v>319</v>
      </c>
      <c r="C16" s="127" t="s">
        <v>240</v>
      </c>
      <c r="D16" s="128" t="s">
        <v>182</v>
      </c>
      <c r="E16" s="127" t="s">
        <v>241</v>
      </c>
      <c r="F16" s="127" t="s">
        <v>20</v>
      </c>
      <c r="G16" s="127" t="s">
        <v>79</v>
      </c>
      <c r="H16" s="140">
        <v>0.85</v>
      </c>
      <c r="I16" s="140">
        <v>0.98</v>
      </c>
      <c r="J16" s="127" t="s">
        <v>86</v>
      </c>
      <c r="K16" s="127" t="s">
        <v>183</v>
      </c>
      <c r="L16" s="133"/>
      <c r="M16" s="133"/>
      <c r="N16" s="133"/>
      <c r="O16" s="135" t="e">
        <f t="shared" si="0"/>
        <v>#DIV/0!</v>
      </c>
      <c r="P16" s="133"/>
      <c r="Q16" s="133"/>
      <c r="R16" s="133"/>
      <c r="S16" s="136" t="e">
        <f t="shared" si="3"/>
        <v>#DIV/0!</v>
      </c>
      <c r="T16" s="133"/>
      <c r="U16" s="133"/>
      <c r="V16" s="133"/>
      <c r="W16" s="136" t="e">
        <f t="shared" si="1"/>
        <v>#DIV/0!</v>
      </c>
      <c r="X16" s="133"/>
      <c r="Y16" s="133"/>
      <c r="Z16" s="137"/>
      <c r="AA16" s="136" t="e">
        <f t="shared" si="2"/>
        <v>#DIV/0!</v>
      </c>
    </row>
    <row r="17" spans="1:27" s="43" customFormat="1" ht="35.25" customHeight="1" x14ac:dyDescent="0.2">
      <c r="A17" s="198"/>
      <c r="B17" s="187"/>
      <c r="C17" s="127" t="s">
        <v>123</v>
      </c>
      <c r="D17" s="128" t="s">
        <v>185</v>
      </c>
      <c r="E17" s="127" t="s">
        <v>290</v>
      </c>
      <c r="F17" s="127" t="s">
        <v>17</v>
      </c>
      <c r="G17" s="127" t="s">
        <v>79</v>
      </c>
      <c r="H17" s="140">
        <v>0.9</v>
      </c>
      <c r="I17" s="140">
        <v>0.98</v>
      </c>
      <c r="J17" s="127" t="s">
        <v>86</v>
      </c>
      <c r="K17" s="127" t="s">
        <v>183</v>
      </c>
      <c r="L17" s="146"/>
      <c r="M17" s="146"/>
      <c r="N17" s="146"/>
      <c r="O17" s="135" t="e">
        <f t="shared" si="0"/>
        <v>#DIV/0!</v>
      </c>
      <c r="P17" s="133"/>
      <c r="Q17" s="133"/>
      <c r="R17" s="145"/>
      <c r="S17" s="136" t="e">
        <f t="shared" si="3"/>
        <v>#DIV/0!</v>
      </c>
      <c r="T17" s="133"/>
      <c r="U17" s="133"/>
      <c r="V17" s="133"/>
      <c r="W17" s="136" t="e">
        <f t="shared" si="1"/>
        <v>#DIV/0!</v>
      </c>
      <c r="X17" s="133"/>
      <c r="Y17" s="133"/>
      <c r="Z17" s="134"/>
      <c r="AA17" s="136" t="e">
        <f t="shared" si="2"/>
        <v>#DIV/0!</v>
      </c>
    </row>
    <row r="18" spans="1:27" s="43" customFormat="1" ht="35.25" customHeight="1" x14ac:dyDescent="0.2">
      <c r="A18" s="198"/>
      <c r="B18" s="187"/>
      <c r="C18" s="127" t="s">
        <v>124</v>
      </c>
      <c r="D18" s="128" t="s">
        <v>188</v>
      </c>
      <c r="E18" s="127" t="s">
        <v>187</v>
      </c>
      <c r="F18" s="127" t="s">
        <v>17</v>
      </c>
      <c r="G18" s="127" t="s">
        <v>79</v>
      </c>
      <c r="H18" s="140">
        <v>0.9</v>
      </c>
      <c r="I18" s="140">
        <v>0.98</v>
      </c>
      <c r="J18" s="127" t="s">
        <v>86</v>
      </c>
      <c r="K18" s="127" t="s">
        <v>183</v>
      </c>
      <c r="L18" s="133"/>
      <c r="M18" s="133"/>
      <c r="N18" s="133"/>
      <c r="O18" s="135" t="e">
        <f t="shared" si="0"/>
        <v>#DIV/0!</v>
      </c>
      <c r="P18" s="133"/>
      <c r="Q18" s="133"/>
      <c r="R18" s="145"/>
      <c r="S18" s="136" t="e">
        <f t="shared" si="3"/>
        <v>#DIV/0!</v>
      </c>
      <c r="T18" s="133"/>
      <c r="U18" s="133"/>
      <c r="V18" s="133"/>
      <c r="W18" s="136" t="e">
        <f t="shared" si="1"/>
        <v>#DIV/0!</v>
      </c>
      <c r="X18" s="133"/>
      <c r="Y18" s="133"/>
      <c r="Z18" s="145"/>
      <c r="AA18" s="136" t="e">
        <f t="shared" si="2"/>
        <v>#DIV/0!</v>
      </c>
    </row>
    <row r="19" spans="1:27" s="43" customFormat="1" ht="50.1" customHeight="1" x14ac:dyDescent="0.2">
      <c r="A19" s="199"/>
      <c r="B19" s="188"/>
      <c r="C19" s="162" t="s">
        <v>318</v>
      </c>
      <c r="D19" s="163" t="s">
        <v>321</v>
      </c>
      <c r="E19" s="162" t="s">
        <v>320</v>
      </c>
      <c r="F19" s="162" t="s">
        <v>27</v>
      </c>
      <c r="G19" s="162" t="s">
        <v>266</v>
      </c>
      <c r="H19" s="140">
        <v>0.4</v>
      </c>
      <c r="I19" s="140">
        <v>0.6</v>
      </c>
      <c r="J19" s="162" t="s">
        <v>31</v>
      </c>
      <c r="K19" s="162" t="s">
        <v>246</v>
      </c>
      <c r="L19" s="141">
        <v>1.0900000000000001</v>
      </c>
      <c r="M19" s="141">
        <v>0.45</v>
      </c>
      <c r="N19" s="134">
        <v>0.82</v>
      </c>
      <c r="O19" s="135">
        <f t="shared" si="0"/>
        <v>0.78666666666666663</v>
      </c>
      <c r="P19" s="141">
        <v>0.55000000000000004</v>
      </c>
      <c r="Q19" s="133"/>
      <c r="R19" s="145"/>
      <c r="S19" s="136">
        <f t="shared" si="3"/>
        <v>0.55000000000000004</v>
      </c>
      <c r="T19" s="133"/>
      <c r="U19" s="133"/>
      <c r="V19" s="145"/>
      <c r="W19" s="136" t="e">
        <f t="shared" si="1"/>
        <v>#DIV/0!</v>
      </c>
      <c r="X19" s="133"/>
      <c r="Y19" s="133"/>
      <c r="Z19" s="145"/>
      <c r="AA19" s="136" t="e">
        <f t="shared" si="2"/>
        <v>#DIV/0!</v>
      </c>
    </row>
    <row r="20" spans="1:27" s="43" customFormat="1" ht="60" customHeight="1" x14ac:dyDescent="0.2">
      <c r="A20" s="197" t="s">
        <v>232</v>
      </c>
      <c r="B20" s="128" t="s">
        <v>177</v>
      </c>
      <c r="C20" s="127" t="s">
        <v>236</v>
      </c>
      <c r="D20" s="175" t="s">
        <v>13</v>
      </c>
      <c r="E20" s="3" t="s">
        <v>72</v>
      </c>
      <c r="F20" s="127" t="s">
        <v>248</v>
      </c>
      <c r="G20" s="129" t="s">
        <v>75</v>
      </c>
      <c r="H20" s="138">
        <v>41</v>
      </c>
      <c r="I20" s="138">
        <v>31</v>
      </c>
      <c r="J20" s="168" t="s">
        <v>31</v>
      </c>
      <c r="K20" s="3" t="s">
        <v>253</v>
      </c>
      <c r="L20" s="142"/>
      <c r="M20" s="143"/>
      <c r="N20" s="143"/>
      <c r="O20" s="135" t="e">
        <f>AVERAGE(L20:N20)</f>
        <v>#DIV/0!</v>
      </c>
      <c r="P20" s="143"/>
      <c r="Q20" s="143"/>
      <c r="R20" s="143"/>
      <c r="S20" s="136" t="e">
        <f>AVERAGE(P20:R20)</f>
        <v>#DIV/0!</v>
      </c>
      <c r="T20" s="143"/>
      <c r="U20" s="143"/>
      <c r="V20" s="143"/>
      <c r="W20" s="136" t="e">
        <f>AVERAGE(T20:V20)</f>
        <v>#DIV/0!</v>
      </c>
      <c r="X20" s="143"/>
      <c r="Y20" s="143"/>
      <c r="Z20" s="143"/>
      <c r="AA20" s="136" t="e">
        <f>AVERAGE(X20:Z20)</f>
        <v>#DIV/0!</v>
      </c>
    </row>
    <row r="21" spans="1:27" s="43" customFormat="1" ht="60" customHeight="1" x14ac:dyDescent="0.2">
      <c r="A21" s="198"/>
      <c r="B21" s="200" t="s">
        <v>242</v>
      </c>
      <c r="C21" s="170" t="s">
        <v>337</v>
      </c>
      <c r="D21" s="176" t="s">
        <v>333</v>
      </c>
      <c r="E21" s="170" t="s">
        <v>334</v>
      </c>
      <c r="F21" s="170" t="s">
        <v>17</v>
      </c>
      <c r="G21" s="170" t="s">
        <v>75</v>
      </c>
      <c r="H21" s="170">
        <v>6</v>
      </c>
      <c r="I21" s="170">
        <v>4</v>
      </c>
      <c r="J21" s="168" t="s">
        <v>31</v>
      </c>
      <c r="K21" s="3" t="s">
        <v>253</v>
      </c>
      <c r="L21" s="142"/>
      <c r="M21" s="143"/>
      <c r="N21" s="143"/>
      <c r="O21" s="135" t="e">
        <f t="shared" ref="O21:O22" si="4">AVERAGE(L21:N21)</f>
        <v>#DIV/0!</v>
      </c>
      <c r="P21" s="143"/>
      <c r="Q21" s="143"/>
      <c r="R21" s="143"/>
      <c r="S21" s="136" t="e">
        <f t="shared" ref="S21:S22" si="5">AVERAGE(P21:R21)</f>
        <v>#DIV/0!</v>
      </c>
      <c r="T21" s="143"/>
      <c r="U21" s="143"/>
      <c r="V21" s="143"/>
      <c r="W21" s="136" t="e">
        <f t="shared" ref="W21:W22" si="6">AVERAGE(T21:V21)</f>
        <v>#DIV/0!</v>
      </c>
      <c r="X21" s="143"/>
      <c r="Y21" s="143"/>
      <c r="Z21" s="143"/>
      <c r="AA21" s="136" t="e">
        <f t="shared" ref="AA21:AA22" si="7">AVERAGE(X21:Z21)</f>
        <v>#DIV/0!</v>
      </c>
    </row>
    <row r="22" spans="1:27" s="43" customFormat="1" ht="60" customHeight="1" x14ac:dyDescent="0.2">
      <c r="A22" s="198"/>
      <c r="B22" s="201"/>
      <c r="C22" s="170" t="s">
        <v>337</v>
      </c>
      <c r="D22" s="176" t="s">
        <v>335</v>
      </c>
      <c r="E22" s="170" t="s">
        <v>336</v>
      </c>
      <c r="F22" s="170" t="s">
        <v>17</v>
      </c>
      <c r="G22" s="170" t="s">
        <v>91</v>
      </c>
      <c r="H22" s="170">
        <v>12</v>
      </c>
      <c r="I22" s="170">
        <v>8</v>
      </c>
      <c r="J22" s="168" t="s">
        <v>31</v>
      </c>
      <c r="K22" s="3" t="s">
        <v>253</v>
      </c>
      <c r="L22" s="142"/>
      <c r="M22" s="143"/>
      <c r="N22" s="143"/>
      <c r="O22" s="135" t="e">
        <f t="shared" si="4"/>
        <v>#DIV/0!</v>
      </c>
      <c r="P22" s="143"/>
      <c r="Q22" s="143"/>
      <c r="R22" s="143"/>
      <c r="S22" s="136" t="e">
        <f t="shared" si="5"/>
        <v>#DIV/0!</v>
      </c>
      <c r="T22" s="143"/>
      <c r="U22" s="143"/>
      <c r="V22" s="143"/>
      <c r="W22" s="136" t="e">
        <f t="shared" si="6"/>
        <v>#DIV/0!</v>
      </c>
      <c r="X22" s="143"/>
      <c r="Y22" s="143"/>
      <c r="Z22" s="143"/>
      <c r="AA22" s="136" t="e">
        <f t="shared" si="7"/>
        <v>#DIV/0!</v>
      </c>
    </row>
    <row r="23" spans="1:27" s="43" customFormat="1" ht="51" x14ac:dyDescent="0.2">
      <c r="A23" s="198"/>
      <c r="B23" s="128" t="s">
        <v>103</v>
      </c>
      <c r="C23" s="127" t="s">
        <v>190</v>
      </c>
      <c r="D23" s="128" t="s">
        <v>191</v>
      </c>
      <c r="E23" s="127" t="s">
        <v>189</v>
      </c>
      <c r="F23" s="127" t="s">
        <v>17</v>
      </c>
      <c r="G23" s="127" t="s">
        <v>79</v>
      </c>
      <c r="H23" s="140">
        <v>0.6</v>
      </c>
      <c r="I23" s="140">
        <v>0.8</v>
      </c>
      <c r="J23" s="127" t="s">
        <v>81</v>
      </c>
      <c r="K23" s="127" t="s">
        <v>85</v>
      </c>
      <c r="L23" s="133"/>
      <c r="M23" s="133"/>
      <c r="N23" s="133"/>
      <c r="O23" s="135" t="e">
        <f t="shared" ref="O23:O39" si="8">AVERAGE(L23:N23)</f>
        <v>#DIV/0!</v>
      </c>
      <c r="P23" s="133"/>
      <c r="Q23" s="133"/>
      <c r="R23" s="145"/>
      <c r="S23" s="136" t="e">
        <f t="shared" ref="S23:S41" si="9">AVERAGE(P23:R23)</f>
        <v>#DIV/0!</v>
      </c>
      <c r="T23" s="133"/>
      <c r="U23" s="133"/>
      <c r="V23" s="133"/>
      <c r="W23" s="136" t="e">
        <f t="shared" ref="W23:W41" si="10">AVERAGE(T23:V23)</f>
        <v>#DIV/0!</v>
      </c>
      <c r="X23" s="133"/>
      <c r="Y23" s="133"/>
      <c r="Z23" s="145"/>
      <c r="AA23" s="136" t="e">
        <f t="shared" ref="AA23:AA41" si="11">AVERAGE(X23:Z23)</f>
        <v>#DIV/0!</v>
      </c>
    </row>
    <row r="24" spans="1:27" s="43" customFormat="1" ht="65.099999999999994" customHeight="1" x14ac:dyDescent="0.2">
      <c r="A24" s="198"/>
      <c r="B24" s="127" t="s">
        <v>242</v>
      </c>
      <c r="C24" s="165" t="s">
        <v>330</v>
      </c>
      <c r="D24" s="174" t="s">
        <v>243</v>
      </c>
      <c r="E24" s="127" t="s">
        <v>331</v>
      </c>
      <c r="F24" s="127" t="s">
        <v>17</v>
      </c>
      <c r="G24" s="127" t="s">
        <v>75</v>
      </c>
      <c r="H24" s="138">
        <v>1</v>
      </c>
      <c r="I24" s="138">
        <v>0</v>
      </c>
      <c r="J24" s="127" t="s">
        <v>31</v>
      </c>
      <c r="K24" s="127" t="s">
        <v>83</v>
      </c>
      <c r="L24" s="133"/>
      <c r="M24" s="133"/>
      <c r="N24" s="133"/>
      <c r="O24" s="135" t="e">
        <f t="shared" si="8"/>
        <v>#DIV/0!</v>
      </c>
      <c r="P24" s="133"/>
      <c r="Q24" s="133"/>
      <c r="R24" s="145"/>
      <c r="S24" s="136" t="e">
        <f t="shared" si="9"/>
        <v>#DIV/0!</v>
      </c>
      <c r="T24" s="133"/>
      <c r="U24" s="133"/>
      <c r="V24" s="133"/>
      <c r="W24" s="136" t="e">
        <f t="shared" si="10"/>
        <v>#DIV/0!</v>
      </c>
      <c r="X24" s="133"/>
      <c r="Y24" s="133"/>
      <c r="Z24" s="145"/>
      <c r="AA24" s="136" t="e">
        <f t="shared" si="11"/>
        <v>#DIV/0!</v>
      </c>
    </row>
    <row r="25" spans="1:27" s="43" customFormat="1" ht="80.099999999999994" customHeight="1" x14ac:dyDescent="0.2">
      <c r="A25" s="198"/>
      <c r="B25" s="168" t="s">
        <v>98</v>
      </c>
      <c r="C25" s="165" t="s">
        <v>230</v>
      </c>
      <c r="D25" s="174" t="s">
        <v>180</v>
      </c>
      <c r="E25" s="168" t="s">
        <v>231</v>
      </c>
      <c r="F25" s="168" t="s">
        <v>27</v>
      </c>
      <c r="G25" s="168" t="s">
        <v>80</v>
      </c>
      <c r="H25" s="132">
        <v>0.3</v>
      </c>
      <c r="I25" s="132">
        <v>0.6</v>
      </c>
      <c r="J25" s="168" t="s">
        <v>31</v>
      </c>
      <c r="K25" s="168" t="s">
        <v>253</v>
      </c>
      <c r="L25" s="133"/>
      <c r="M25" s="133"/>
      <c r="N25" s="134"/>
      <c r="O25" s="135" t="e">
        <f t="shared" si="8"/>
        <v>#DIV/0!</v>
      </c>
      <c r="P25" s="133"/>
      <c r="Q25" s="133"/>
      <c r="R25" s="134"/>
      <c r="S25" s="136" t="e">
        <f t="shared" si="9"/>
        <v>#DIV/0!</v>
      </c>
      <c r="T25" s="133"/>
      <c r="U25" s="133"/>
      <c r="V25" s="134"/>
      <c r="W25" s="136" t="e">
        <f t="shared" si="10"/>
        <v>#DIV/0!</v>
      </c>
      <c r="X25" s="133"/>
      <c r="Y25" s="133"/>
      <c r="Z25" s="137"/>
      <c r="AA25" s="136" t="e">
        <f t="shared" si="11"/>
        <v>#DIV/0!</v>
      </c>
    </row>
    <row r="26" spans="1:27" s="43" customFormat="1" ht="69.95" customHeight="1" x14ac:dyDescent="0.2">
      <c r="A26" s="199"/>
      <c r="B26" s="168" t="s">
        <v>244</v>
      </c>
      <c r="C26" s="165" t="s">
        <v>328</v>
      </c>
      <c r="D26" s="174" t="s">
        <v>192</v>
      </c>
      <c r="E26" s="165" t="s">
        <v>329</v>
      </c>
      <c r="F26" s="165" t="s">
        <v>248</v>
      </c>
      <c r="G26" s="165" t="s">
        <v>79</v>
      </c>
      <c r="H26" s="140">
        <v>0.4</v>
      </c>
      <c r="I26" s="140">
        <v>0.6</v>
      </c>
      <c r="J26" s="168" t="s">
        <v>31</v>
      </c>
      <c r="K26" s="168" t="s">
        <v>253</v>
      </c>
      <c r="L26" s="147"/>
      <c r="M26" s="147"/>
      <c r="N26" s="147"/>
      <c r="O26" s="135" t="e">
        <f t="shared" si="8"/>
        <v>#DIV/0!</v>
      </c>
      <c r="P26" s="147"/>
      <c r="Q26" s="147"/>
      <c r="R26" s="147"/>
      <c r="S26" s="136" t="e">
        <f t="shared" si="9"/>
        <v>#DIV/0!</v>
      </c>
      <c r="T26" s="147"/>
      <c r="U26" s="147"/>
      <c r="V26" s="147"/>
      <c r="W26" s="136" t="e">
        <f t="shared" si="10"/>
        <v>#DIV/0!</v>
      </c>
      <c r="X26" s="145"/>
      <c r="Y26" s="145"/>
      <c r="Z26" s="145"/>
      <c r="AA26" s="136" t="e">
        <f t="shared" si="11"/>
        <v>#DIV/0!</v>
      </c>
    </row>
    <row r="27" spans="1:27" s="43" customFormat="1" ht="69.95" customHeight="1" x14ac:dyDescent="0.2">
      <c r="A27" s="197" t="s">
        <v>129</v>
      </c>
      <c r="B27" s="168" t="s">
        <v>105</v>
      </c>
      <c r="C27" s="165" t="s">
        <v>130</v>
      </c>
      <c r="D27" s="174" t="s">
        <v>21</v>
      </c>
      <c r="E27" s="165" t="s">
        <v>22</v>
      </c>
      <c r="F27" s="165" t="s">
        <v>17</v>
      </c>
      <c r="G27" s="165" t="s">
        <v>89</v>
      </c>
      <c r="H27" s="140">
        <v>0.25</v>
      </c>
      <c r="I27" s="140">
        <v>0.15</v>
      </c>
      <c r="J27" s="165" t="s">
        <v>31</v>
      </c>
      <c r="K27" s="168" t="s">
        <v>253</v>
      </c>
      <c r="L27" s="133"/>
      <c r="M27" s="133"/>
      <c r="N27" s="133"/>
      <c r="O27" s="135" t="e">
        <f t="shared" si="8"/>
        <v>#DIV/0!</v>
      </c>
      <c r="P27" s="133"/>
      <c r="Q27" s="133"/>
      <c r="R27" s="134"/>
      <c r="S27" s="136" t="e">
        <f t="shared" si="9"/>
        <v>#DIV/0!</v>
      </c>
      <c r="T27" s="133"/>
      <c r="U27" s="133"/>
      <c r="V27" s="134"/>
      <c r="W27" s="136" t="e">
        <f t="shared" si="10"/>
        <v>#DIV/0!</v>
      </c>
      <c r="X27" s="133"/>
      <c r="Y27" s="133"/>
      <c r="Z27" s="145"/>
      <c r="AA27" s="136" t="e">
        <f t="shared" si="11"/>
        <v>#DIV/0!</v>
      </c>
    </row>
    <row r="28" spans="1:27" s="43" customFormat="1" ht="69.95" customHeight="1" x14ac:dyDescent="0.2">
      <c r="A28" s="199"/>
      <c r="B28" s="168" t="s">
        <v>311</v>
      </c>
      <c r="C28" s="165" t="s">
        <v>310</v>
      </c>
      <c r="D28" s="166" t="s">
        <v>312</v>
      </c>
      <c r="E28" s="165" t="s">
        <v>313</v>
      </c>
      <c r="F28" s="165" t="s">
        <v>27</v>
      </c>
      <c r="G28" s="165" t="s">
        <v>266</v>
      </c>
      <c r="H28" s="140">
        <v>0.6</v>
      </c>
      <c r="I28" s="140">
        <v>0.8</v>
      </c>
      <c r="J28" s="165" t="s">
        <v>31</v>
      </c>
      <c r="K28" s="165" t="s">
        <v>246</v>
      </c>
      <c r="L28" s="144">
        <v>1</v>
      </c>
      <c r="M28" s="144">
        <v>1</v>
      </c>
      <c r="N28" s="137">
        <v>1</v>
      </c>
      <c r="O28" s="172">
        <f t="shared" si="8"/>
        <v>1</v>
      </c>
      <c r="P28" s="144">
        <v>1</v>
      </c>
      <c r="Q28" s="133"/>
      <c r="R28" s="134"/>
      <c r="S28" s="136">
        <f t="shared" si="9"/>
        <v>1</v>
      </c>
      <c r="T28" s="133"/>
      <c r="U28" s="133"/>
      <c r="V28" s="134"/>
      <c r="W28" s="136" t="e">
        <f t="shared" si="10"/>
        <v>#DIV/0!</v>
      </c>
      <c r="X28" s="133"/>
      <c r="Y28" s="133"/>
      <c r="Z28" s="145"/>
      <c r="AA28" s="136" t="e">
        <f t="shared" si="11"/>
        <v>#DIV/0!</v>
      </c>
    </row>
    <row r="29" spans="1:27" s="43" customFormat="1" ht="63" customHeight="1" x14ac:dyDescent="0.2">
      <c r="A29" s="169" t="s">
        <v>275</v>
      </c>
      <c r="B29" s="168" t="s">
        <v>131</v>
      </c>
      <c r="C29" s="165" t="s">
        <v>247</v>
      </c>
      <c r="D29" s="166" t="s">
        <v>24</v>
      </c>
      <c r="E29" s="165" t="s">
        <v>245</v>
      </c>
      <c r="F29" s="165" t="s">
        <v>248</v>
      </c>
      <c r="G29" s="165" t="s">
        <v>79</v>
      </c>
      <c r="H29" s="140">
        <v>0.35</v>
      </c>
      <c r="I29" s="140">
        <v>0.7</v>
      </c>
      <c r="J29" s="165" t="s">
        <v>31</v>
      </c>
      <c r="K29" s="165" t="s">
        <v>246</v>
      </c>
      <c r="L29" s="134">
        <v>1</v>
      </c>
      <c r="M29" s="134">
        <v>0</v>
      </c>
      <c r="N29" s="134">
        <v>1</v>
      </c>
      <c r="O29" s="135">
        <f t="shared" si="8"/>
        <v>0.66666666666666663</v>
      </c>
      <c r="P29" s="145"/>
      <c r="Q29" s="145"/>
      <c r="R29" s="145"/>
      <c r="S29" s="136" t="e">
        <f t="shared" si="9"/>
        <v>#DIV/0!</v>
      </c>
      <c r="T29" s="145"/>
      <c r="U29" s="145"/>
      <c r="V29" s="145"/>
      <c r="W29" s="136" t="e">
        <f t="shared" si="10"/>
        <v>#DIV/0!</v>
      </c>
      <c r="X29" s="145"/>
      <c r="Y29" s="145"/>
      <c r="Z29" s="145"/>
      <c r="AA29" s="136" t="e">
        <f t="shared" si="11"/>
        <v>#DIV/0!</v>
      </c>
    </row>
    <row r="30" spans="1:27" s="43" customFormat="1" ht="80.099999999999994" customHeight="1" x14ac:dyDescent="0.2">
      <c r="A30" s="197" t="s">
        <v>133</v>
      </c>
      <c r="B30" s="168" t="s">
        <v>106</v>
      </c>
      <c r="C30" s="165" t="s">
        <v>135</v>
      </c>
      <c r="D30" s="168" t="s">
        <v>25</v>
      </c>
      <c r="E30" s="165" t="s">
        <v>26</v>
      </c>
      <c r="F30" s="165" t="s">
        <v>17</v>
      </c>
      <c r="G30" s="165" t="s">
        <v>80</v>
      </c>
      <c r="H30" s="140">
        <v>0.9</v>
      </c>
      <c r="I30" s="140">
        <v>1</v>
      </c>
      <c r="J30" s="165" t="s">
        <v>86</v>
      </c>
      <c r="K30" s="165" t="s">
        <v>87</v>
      </c>
      <c r="L30" s="133"/>
      <c r="M30" s="133"/>
      <c r="N30" s="133"/>
      <c r="O30" s="135" t="e">
        <f t="shared" si="8"/>
        <v>#DIV/0!</v>
      </c>
      <c r="P30" s="133"/>
      <c r="Q30" s="133"/>
      <c r="R30" s="145"/>
      <c r="S30" s="136" t="e">
        <f t="shared" si="9"/>
        <v>#DIV/0!</v>
      </c>
      <c r="T30" s="133"/>
      <c r="U30" s="133"/>
      <c r="V30" s="133"/>
      <c r="W30" s="136" t="e">
        <f t="shared" si="10"/>
        <v>#DIV/0!</v>
      </c>
      <c r="X30" s="133"/>
      <c r="Y30" s="133"/>
      <c r="Z30" s="145"/>
      <c r="AA30" s="136" t="e">
        <f t="shared" si="11"/>
        <v>#DIV/0!</v>
      </c>
    </row>
    <row r="31" spans="1:27" s="43" customFormat="1" ht="110.1" customHeight="1" x14ac:dyDescent="0.2">
      <c r="A31" s="198"/>
      <c r="B31" s="168" t="s">
        <v>134</v>
      </c>
      <c r="C31" s="165" t="s">
        <v>301</v>
      </c>
      <c r="D31" s="168" t="s">
        <v>136</v>
      </c>
      <c r="E31" s="165" t="s">
        <v>199</v>
      </c>
      <c r="F31" s="165" t="s">
        <v>27</v>
      </c>
      <c r="G31" s="165" t="s">
        <v>79</v>
      </c>
      <c r="H31" s="140">
        <v>0.9</v>
      </c>
      <c r="I31" s="140">
        <v>1</v>
      </c>
      <c r="J31" s="165" t="s">
        <v>161</v>
      </c>
      <c r="K31" s="165" t="s">
        <v>304</v>
      </c>
      <c r="L31" s="133"/>
      <c r="M31" s="133"/>
      <c r="N31" s="145"/>
      <c r="O31" s="135" t="e">
        <f t="shared" si="8"/>
        <v>#DIV/0!</v>
      </c>
      <c r="P31" s="133"/>
      <c r="Q31" s="133"/>
      <c r="R31" s="145"/>
      <c r="S31" s="136" t="e">
        <f t="shared" si="9"/>
        <v>#DIV/0!</v>
      </c>
      <c r="T31" s="133"/>
      <c r="U31" s="133"/>
      <c r="V31" s="145"/>
      <c r="W31" s="136" t="e">
        <f t="shared" si="10"/>
        <v>#DIV/0!</v>
      </c>
      <c r="X31" s="133"/>
      <c r="Y31" s="133"/>
      <c r="Z31" s="145"/>
      <c r="AA31" s="136" t="e">
        <f t="shared" si="11"/>
        <v>#DIV/0!</v>
      </c>
    </row>
    <row r="32" spans="1:27" s="43" customFormat="1" ht="80.099999999999994" customHeight="1" x14ac:dyDescent="0.2">
      <c r="A32" s="199"/>
      <c r="B32" s="168" t="s">
        <v>315</v>
      </c>
      <c r="C32" s="165" t="s">
        <v>314</v>
      </c>
      <c r="D32" s="166" t="s">
        <v>316</v>
      </c>
      <c r="E32" s="165" t="s">
        <v>317</v>
      </c>
      <c r="F32" s="165" t="s">
        <v>27</v>
      </c>
      <c r="G32" s="165" t="s">
        <v>79</v>
      </c>
      <c r="H32" s="140">
        <v>0.1</v>
      </c>
      <c r="I32" s="140">
        <v>0.15</v>
      </c>
      <c r="J32" s="165" t="s">
        <v>11</v>
      </c>
      <c r="K32" s="165" t="s">
        <v>246</v>
      </c>
      <c r="L32" s="171">
        <v>1.0529999999999999</v>
      </c>
      <c r="M32" s="171">
        <v>1.0529999999999999</v>
      </c>
      <c r="N32" s="149">
        <v>1.0529999999999999</v>
      </c>
      <c r="O32" s="135">
        <f t="shared" si="8"/>
        <v>1.0529999999999999</v>
      </c>
      <c r="P32" s="171">
        <v>0.52600000000000002</v>
      </c>
      <c r="Q32" s="133"/>
      <c r="R32" s="145"/>
      <c r="S32" s="136">
        <f t="shared" si="9"/>
        <v>0.52600000000000002</v>
      </c>
      <c r="T32" s="133"/>
      <c r="U32" s="133"/>
      <c r="V32" s="145"/>
      <c r="W32" s="136" t="e">
        <f t="shared" si="10"/>
        <v>#DIV/0!</v>
      </c>
      <c r="X32" s="133"/>
      <c r="Y32" s="133"/>
      <c r="Z32" s="145"/>
      <c r="AA32" s="136" t="e">
        <f t="shared" si="11"/>
        <v>#DIV/0!</v>
      </c>
    </row>
    <row r="33" spans="1:27" s="43" customFormat="1" ht="69.95" customHeight="1" x14ac:dyDescent="0.2">
      <c r="A33" s="169" t="s">
        <v>270</v>
      </c>
      <c r="B33" s="168" t="s">
        <v>102</v>
      </c>
      <c r="C33" s="165" t="s">
        <v>302</v>
      </c>
      <c r="D33" s="165" t="s">
        <v>303</v>
      </c>
      <c r="E33" s="165" t="s">
        <v>160</v>
      </c>
      <c r="F33" s="165" t="s">
        <v>248</v>
      </c>
      <c r="G33" s="165" t="s">
        <v>79</v>
      </c>
      <c r="H33" s="140">
        <v>0.65</v>
      </c>
      <c r="I33" s="140">
        <v>0.75</v>
      </c>
      <c r="J33" s="165" t="s">
        <v>161</v>
      </c>
      <c r="K33" s="165" t="s">
        <v>304</v>
      </c>
      <c r="L33" s="134"/>
      <c r="M33" s="134"/>
      <c r="N33" s="134"/>
      <c r="O33" s="135" t="e">
        <f t="shared" si="8"/>
        <v>#DIV/0!</v>
      </c>
      <c r="P33" s="134"/>
      <c r="Q33" s="134"/>
      <c r="R33" s="134"/>
      <c r="S33" s="136" t="e">
        <f t="shared" si="9"/>
        <v>#DIV/0!</v>
      </c>
      <c r="T33" s="134"/>
      <c r="U33" s="134"/>
      <c r="V33" s="134"/>
      <c r="W33" s="136" t="e">
        <f t="shared" si="10"/>
        <v>#DIV/0!</v>
      </c>
      <c r="X33" s="134"/>
      <c r="Y33" s="134"/>
      <c r="Z33" s="134"/>
      <c r="AA33" s="136" t="e">
        <f t="shared" si="11"/>
        <v>#DIV/0!</v>
      </c>
    </row>
    <row r="34" spans="1:27" s="43" customFormat="1" ht="60" customHeight="1" x14ac:dyDescent="0.2">
      <c r="A34" s="169" t="s">
        <v>271</v>
      </c>
      <c r="B34" s="168" t="s">
        <v>107</v>
      </c>
      <c r="C34" s="165" t="s">
        <v>140</v>
      </c>
      <c r="D34" s="168" t="s">
        <v>193</v>
      </c>
      <c r="E34" s="148" t="s">
        <v>194</v>
      </c>
      <c r="F34" s="148" t="s">
        <v>20</v>
      </c>
      <c r="G34" s="148" t="s">
        <v>79</v>
      </c>
      <c r="H34" s="138">
        <v>10</v>
      </c>
      <c r="I34" s="138">
        <v>14</v>
      </c>
      <c r="J34" s="165" t="s">
        <v>161</v>
      </c>
      <c r="K34" s="165" t="s">
        <v>304</v>
      </c>
      <c r="L34" s="133"/>
      <c r="M34" s="133"/>
      <c r="N34" s="133"/>
      <c r="O34" s="135" t="e">
        <f t="shared" si="8"/>
        <v>#DIV/0!</v>
      </c>
      <c r="P34" s="133"/>
      <c r="Q34" s="133"/>
      <c r="R34" s="133"/>
      <c r="S34" s="136" t="e">
        <f t="shared" si="9"/>
        <v>#DIV/0!</v>
      </c>
      <c r="T34" s="133"/>
      <c r="U34" s="133"/>
      <c r="V34" s="133"/>
      <c r="W34" s="136" t="e">
        <f t="shared" si="10"/>
        <v>#DIV/0!</v>
      </c>
      <c r="X34" s="133"/>
      <c r="Y34" s="133"/>
      <c r="Z34" s="145"/>
      <c r="AA34" s="136" t="e">
        <f t="shared" si="11"/>
        <v>#DIV/0!</v>
      </c>
    </row>
    <row r="35" spans="1:27" s="43" customFormat="1" ht="60" customHeight="1" x14ac:dyDescent="0.2">
      <c r="A35" s="169" t="s">
        <v>141</v>
      </c>
      <c r="B35" s="168" t="s">
        <v>108</v>
      </c>
      <c r="C35" s="165" t="s">
        <v>305</v>
      </c>
      <c r="D35" s="174" t="s">
        <v>29</v>
      </c>
      <c r="E35" s="165" t="s">
        <v>327</v>
      </c>
      <c r="F35" s="165" t="s">
        <v>17</v>
      </c>
      <c r="G35" s="165" t="s">
        <v>79</v>
      </c>
      <c r="H35" s="140">
        <v>0.4</v>
      </c>
      <c r="I35" s="140">
        <v>0.6</v>
      </c>
      <c r="J35" s="165" t="s">
        <v>11</v>
      </c>
      <c r="K35" s="168" t="s">
        <v>253</v>
      </c>
      <c r="L35" s="133"/>
      <c r="M35" s="133"/>
      <c r="N35" s="133"/>
      <c r="O35" s="135" t="e">
        <f t="shared" si="8"/>
        <v>#DIV/0!</v>
      </c>
      <c r="P35" s="133"/>
      <c r="Q35" s="133"/>
      <c r="R35" s="145"/>
      <c r="S35" s="136" t="e">
        <f t="shared" si="9"/>
        <v>#DIV/0!</v>
      </c>
      <c r="T35" s="133"/>
      <c r="U35" s="133"/>
      <c r="V35" s="133"/>
      <c r="W35" s="136" t="e">
        <f t="shared" si="10"/>
        <v>#DIV/0!</v>
      </c>
      <c r="X35" s="133"/>
      <c r="Y35" s="133"/>
      <c r="Z35" s="145"/>
      <c r="AA35" s="136" t="e">
        <f t="shared" si="11"/>
        <v>#DIV/0!</v>
      </c>
    </row>
    <row r="36" spans="1:27" s="43" customFormat="1" ht="39.950000000000003" customHeight="1" x14ac:dyDescent="0.2">
      <c r="A36" s="197" t="s">
        <v>274</v>
      </c>
      <c r="B36" s="186" t="s">
        <v>263</v>
      </c>
      <c r="C36" s="168" t="s">
        <v>264</v>
      </c>
      <c r="D36" s="166" t="s">
        <v>145</v>
      </c>
      <c r="E36" s="165" t="s">
        <v>265</v>
      </c>
      <c r="F36" s="165" t="s">
        <v>248</v>
      </c>
      <c r="G36" s="165" t="s">
        <v>266</v>
      </c>
      <c r="H36" s="140">
        <v>0.25</v>
      </c>
      <c r="I36" s="140">
        <v>0.3</v>
      </c>
      <c r="J36" s="165" t="s">
        <v>11</v>
      </c>
      <c r="K36" s="165" t="s">
        <v>246</v>
      </c>
      <c r="L36" s="149">
        <v>0.39300000000000002</v>
      </c>
      <c r="M36" s="149">
        <v>0.1477</v>
      </c>
      <c r="N36" s="149">
        <v>4.5499999999999999E-2</v>
      </c>
      <c r="O36" s="135">
        <f t="shared" si="8"/>
        <v>0.19539999999999999</v>
      </c>
      <c r="P36" s="150"/>
      <c r="Q36" s="150"/>
      <c r="R36" s="150"/>
      <c r="S36" s="136" t="e">
        <f t="shared" si="9"/>
        <v>#DIV/0!</v>
      </c>
      <c r="T36" s="150"/>
      <c r="U36" s="150"/>
      <c r="V36" s="150"/>
      <c r="W36" s="136" t="e">
        <f t="shared" si="10"/>
        <v>#DIV/0!</v>
      </c>
      <c r="X36" s="150"/>
      <c r="Y36" s="147"/>
      <c r="Z36" s="147"/>
      <c r="AA36" s="136" t="e">
        <f t="shared" si="11"/>
        <v>#DIV/0!</v>
      </c>
    </row>
    <row r="37" spans="1:27" s="43" customFormat="1" ht="60" customHeight="1" x14ac:dyDescent="0.2">
      <c r="A37" s="199"/>
      <c r="B37" s="187"/>
      <c r="C37" s="168" t="s">
        <v>144</v>
      </c>
      <c r="D37" s="166" t="s">
        <v>251</v>
      </c>
      <c r="E37" s="165" t="s">
        <v>252</v>
      </c>
      <c r="F37" s="165" t="s">
        <v>248</v>
      </c>
      <c r="G37" s="165" t="s">
        <v>79</v>
      </c>
      <c r="H37" s="140">
        <v>0.6</v>
      </c>
      <c r="I37" s="140">
        <v>0.85</v>
      </c>
      <c r="J37" s="165" t="s">
        <v>31</v>
      </c>
      <c r="K37" s="165" t="s">
        <v>246</v>
      </c>
      <c r="L37" s="151">
        <v>0.85709999999999997</v>
      </c>
      <c r="M37" s="151">
        <v>1</v>
      </c>
      <c r="N37" s="149">
        <v>0.875</v>
      </c>
      <c r="O37" s="135">
        <f t="shared" si="8"/>
        <v>0.91069999999999995</v>
      </c>
      <c r="P37" s="137"/>
      <c r="Q37" s="137"/>
      <c r="R37" s="137"/>
      <c r="S37" s="136" t="e">
        <f t="shared" si="9"/>
        <v>#DIV/0!</v>
      </c>
      <c r="T37" s="137"/>
      <c r="U37" s="137"/>
      <c r="V37" s="137"/>
      <c r="W37" s="136" t="e">
        <f t="shared" si="10"/>
        <v>#DIV/0!</v>
      </c>
      <c r="X37" s="137"/>
      <c r="Y37" s="134"/>
      <c r="Z37" s="134"/>
      <c r="AA37" s="136" t="e">
        <f t="shared" si="11"/>
        <v>#DIV/0!</v>
      </c>
    </row>
    <row r="38" spans="1:27" s="43" customFormat="1" ht="60" customHeight="1" x14ac:dyDescent="0.2">
      <c r="A38" s="197" t="s">
        <v>143</v>
      </c>
      <c r="B38" s="187"/>
      <c r="C38" s="186" t="s">
        <v>254</v>
      </c>
      <c r="D38" s="166" t="s">
        <v>250</v>
      </c>
      <c r="E38" s="148" t="s">
        <v>38</v>
      </c>
      <c r="F38" s="165" t="s">
        <v>248</v>
      </c>
      <c r="G38" s="165" t="s">
        <v>75</v>
      </c>
      <c r="H38" s="23" t="s">
        <v>256</v>
      </c>
      <c r="I38" s="23" t="s">
        <v>255</v>
      </c>
      <c r="J38" s="165" t="s">
        <v>11</v>
      </c>
      <c r="K38" s="165" t="s">
        <v>246</v>
      </c>
      <c r="L38" s="149">
        <v>0.8871</v>
      </c>
      <c r="M38" s="149">
        <v>0.9677</v>
      </c>
      <c r="N38" s="149">
        <v>1.129</v>
      </c>
      <c r="O38" s="135">
        <f t="shared" si="8"/>
        <v>0.99460000000000004</v>
      </c>
      <c r="P38" s="149">
        <v>0.80649999999999999</v>
      </c>
      <c r="Q38" s="137"/>
      <c r="R38" s="137"/>
      <c r="S38" s="136">
        <f t="shared" si="9"/>
        <v>0.80649999999999999</v>
      </c>
      <c r="T38" s="137"/>
      <c r="U38" s="137"/>
      <c r="V38" s="137"/>
      <c r="W38" s="136" t="e">
        <f t="shared" si="10"/>
        <v>#DIV/0!</v>
      </c>
      <c r="X38" s="137"/>
      <c r="Y38" s="134"/>
      <c r="Z38" s="134"/>
      <c r="AA38" s="136" t="e">
        <f t="shared" si="11"/>
        <v>#DIV/0!</v>
      </c>
    </row>
    <row r="39" spans="1:27" s="43" customFormat="1" ht="39.950000000000003" customHeight="1" x14ac:dyDescent="0.2">
      <c r="A39" s="199"/>
      <c r="B39" s="188"/>
      <c r="C39" s="188"/>
      <c r="D39" s="166" t="s">
        <v>249</v>
      </c>
      <c r="E39" s="148" t="s">
        <v>41</v>
      </c>
      <c r="F39" s="165" t="s">
        <v>248</v>
      </c>
      <c r="G39" s="165" t="s">
        <v>75</v>
      </c>
      <c r="H39" s="14" t="s">
        <v>258</v>
      </c>
      <c r="I39" s="14" t="s">
        <v>257</v>
      </c>
      <c r="J39" s="165" t="s">
        <v>11</v>
      </c>
      <c r="K39" s="165" t="s">
        <v>246</v>
      </c>
      <c r="L39" s="149">
        <v>0.63300000000000001</v>
      </c>
      <c r="M39" s="149">
        <v>0.96330000000000005</v>
      </c>
      <c r="N39" s="149">
        <v>0.80730000000000002</v>
      </c>
      <c r="O39" s="152">
        <f t="shared" si="8"/>
        <v>0.80120000000000002</v>
      </c>
      <c r="P39" s="149"/>
      <c r="Q39" s="149"/>
      <c r="R39" s="149"/>
      <c r="S39" s="136" t="e">
        <f t="shared" si="9"/>
        <v>#DIV/0!</v>
      </c>
      <c r="T39" s="149"/>
      <c r="U39" s="149"/>
      <c r="V39" s="149"/>
      <c r="W39" s="136" t="e">
        <f t="shared" si="10"/>
        <v>#DIV/0!</v>
      </c>
      <c r="X39" s="149"/>
      <c r="Y39" s="151"/>
      <c r="Z39" s="151"/>
      <c r="AA39" s="136" t="e">
        <f t="shared" si="11"/>
        <v>#DIV/0!</v>
      </c>
    </row>
    <row r="40" spans="1:27" s="43" customFormat="1" ht="114.75" customHeight="1" x14ac:dyDescent="0.2">
      <c r="A40" s="197" t="s">
        <v>272</v>
      </c>
      <c r="B40" s="186" t="s">
        <v>110</v>
      </c>
      <c r="C40" s="173" t="s">
        <v>308</v>
      </c>
      <c r="D40" s="177" t="s">
        <v>43</v>
      </c>
      <c r="E40" s="165" t="s">
        <v>224</v>
      </c>
      <c r="F40" s="165" t="s">
        <v>17</v>
      </c>
      <c r="G40" s="165" t="s">
        <v>79</v>
      </c>
      <c r="H40" s="167">
        <v>0.8</v>
      </c>
      <c r="I40" s="167">
        <v>0.95</v>
      </c>
      <c r="J40" s="165" t="s">
        <v>306</v>
      </c>
      <c r="K40" s="165" t="s">
        <v>307</v>
      </c>
      <c r="L40" s="165"/>
      <c r="M40" s="165"/>
      <c r="N40" s="165"/>
      <c r="O40" s="152" t="e">
        <f t="shared" ref="O40:O41" si="12">AVERAGE(L40:N40)</f>
        <v>#DIV/0!</v>
      </c>
      <c r="P40" s="165"/>
      <c r="Q40" s="165"/>
      <c r="R40" s="166"/>
      <c r="S40" s="136" t="e">
        <f t="shared" si="9"/>
        <v>#DIV/0!</v>
      </c>
      <c r="T40" s="165"/>
      <c r="U40" s="165"/>
      <c r="V40" s="165"/>
      <c r="W40" s="136" t="e">
        <f t="shared" si="10"/>
        <v>#DIV/0!</v>
      </c>
      <c r="X40" s="165"/>
      <c r="Y40" s="165"/>
      <c r="Z40" s="166"/>
      <c r="AA40" s="136" t="e">
        <f t="shared" si="11"/>
        <v>#DIV/0!</v>
      </c>
    </row>
    <row r="41" spans="1:27" s="43" customFormat="1" ht="39.950000000000003" customHeight="1" x14ac:dyDescent="0.2">
      <c r="A41" s="199"/>
      <c r="B41" s="188"/>
      <c r="C41" s="168" t="s">
        <v>309</v>
      </c>
      <c r="D41" s="168" t="s">
        <v>44</v>
      </c>
      <c r="E41" s="165" t="s">
        <v>45</v>
      </c>
      <c r="F41" s="165" t="s">
        <v>17</v>
      </c>
      <c r="G41" s="165" t="s">
        <v>79</v>
      </c>
      <c r="H41" s="138">
        <v>8</v>
      </c>
      <c r="I41" s="138">
        <v>14</v>
      </c>
      <c r="J41" s="165" t="s">
        <v>81</v>
      </c>
      <c r="K41" s="165" t="s">
        <v>300</v>
      </c>
      <c r="L41" s="133"/>
      <c r="M41" s="133"/>
      <c r="N41" s="133"/>
      <c r="O41" s="152" t="e">
        <f t="shared" si="12"/>
        <v>#DIV/0!</v>
      </c>
      <c r="P41" s="133"/>
      <c r="Q41" s="133"/>
      <c r="R41" s="145"/>
      <c r="S41" s="136" t="e">
        <f t="shared" si="9"/>
        <v>#DIV/0!</v>
      </c>
      <c r="T41" s="133"/>
      <c r="U41" s="133"/>
      <c r="V41" s="133"/>
      <c r="W41" s="136" t="e">
        <f t="shared" si="10"/>
        <v>#DIV/0!</v>
      </c>
      <c r="X41" s="133"/>
      <c r="Y41" s="133"/>
      <c r="Z41" s="145"/>
      <c r="AA41" s="136" t="e">
        <f t="shared" si="11"/>
        <v>#DIV/0!</v>
      </c>
    </row>
    <row r="42" spans="1:27" s="43" customFormat="1" ht="39.950000000000003" customHeight="1" x14ac:dyDescent="0.2">
      <c r="A42" s="197" t="s">
        <v>273</v>
      </c>
      <c r="B42" s="189" t="s">
        <v>259</v>
      </c>
      <c r="C42" s="186" t="s">
        <v>299</v>
      </c>
      <c r="D42" s="174" t="s">
        <v>50</v>
      </c>
      <c r="E42" s="165" t="s">
        <v>51</v>
      </c>
      <c r="F42" s="165" t="s">
        <v>27</v>
      </c>
      <c r="G42" s="165" t="s">
        <v>91</v>
      </c>
      <c r="H42" s="161">
        <v>12</v>
      </c>
      <c r="I42" s="161">
        <v>6</v>
      </c>
      <c r="J42" s="165" t="s">
        <v>11</v>
      </c>
      <c r="K42" s="168" t="s">
        <v>253</v>
      </c>
      <c r="L42" s="141">
        <v>0.17</v>
      </c>
      <c r="M42" s="141">
        <v>0</v>
      </c>
      <c r="N42" s="134">
        <v>0.17</v>
      </c>
      <c r="O42" s="152">
        <f t="shared" ref="O42:O52" si="13">AVERAGE(L42:N42)</f>
        <v>0.11333333333333334</v>
      </c>
      <c r="P42" s="141">
        <v>0.17</v>
      </c>
      <c r="Q42" s="133"/>
      <c r="R42" s="134"/>
      <c r="S42" s="136">
        <f t="shared" ref="S42:S52" si="14">AVERAGE(P42:R42)</f>
        <v>0.17</v>
      </c>
      <c r="T42" s="133"/>
      <c r="U42" s="133"/>
      <c r="V42" s="134"/>
      <c r="W42" s="136" t="e">
        <f t="shared" ref="W42:W52" si="15">AVERAGE(T42:V42)</f>
        <v>#DIV/0!</v>
      </c>
      <c r="X42" s="133"/>
      <c r="Y42" s="133"/>
      <c r="Z42" s="145"/>
      <c r="AA42" s="136" t="e">
        <f t="shared" ref="AA42:AA52" si="16">AVERAGE(X42:Z42)</f>
        <v>#DIV/0!</v>
      </c>
    </row>
    <row r="43" spans="1:27" s="43" customFormat="1" ht="39.950000000000003" customHeight="1" x14ac:dyDescent="0.2">
      <c r="A43" s="198"/>
      <c r="B43" s="190"/>
      <c r="C43" s="187"/>
      <c r="D43" s="174" t="s">
        <v>48</v>
      </c>
      <c r="E43" s="165" t="s">
        <v>292</v>
      </c>
      <c r="F43" s="165" t="s">
        <v>27</v>
      </c>
      <c r="G43" s="165" t="s">
        <v>91</v>
      </c>
      <c r="H43" s="161">
        <v>12</v>
      </c>
      <c r="I43" s="161">
        <v>6</v>
      </c>
      <c r="J43" s="165" t="s">
        <v>11</v>
      </c>
      <c r="K43" s="168" t="s">
        <v>253</v>
      </c>
      <c r="L43" s="141">
        <v>0</v>
      </c>
      <c r="M43" s="141">
        <v>0</v>
      </c>
      <c r="N43" s="137">
        <v>0</v>
      </c>
      <c r="O43" s="152">
        <f t="shared" si="13"/>
        <v>0</v>
      </c>
      <c r="P43" s="144">
        <v>0</v>
      </c>
      <c r="Q43" s="133"/>
      <c r="R43" s="134"/>
      <c r="S43" s="136">
        <f t="shared" si="14"/>
        <v>0</v>
      </c>
      <c r="T43" s="133"/>
      <c r="U43" s="133"/>
      <c r="V43" s="134"/>
      <c r="W43" s="136" t="e">
        <f t="shared" si="15"/>
        <v>#DIV/0!</v>
      </c>
      <c r="X43" s="133"/>
      <c r="Y43" s="133"/>
      <c r="Z43" s="145"/>
      <c r="AA43" s="136" t="e">
        <f t="shared" si="16"/>
        <v>#DIV/0!</v>
      </c>
    </row>
    <row r="44" spans="1:27" s="43" customFormat="1" ht="45" customHeight="1" x14ac:dyDescent="0.2">
      <c r="A44" s="198"/>
      <c r="B44" s="190"/>
      <c r="C44" s="187"/>
      <c r="D44" s="174" t="s">
        <v>262</v>
      </c>
      <c r="E44" s="165" t="s">
        <v>296</v>
      </c>
      <c r="F44" s="165" t="s">
        <v>20</v>
      </c>
      <c r="G44" s="165" t="s">
        <v>91</v>
      </c>
      <c r="H44" s="164">
        <v>3</v>
      </c>
      <c r="I44" s="164">
        <v>2</v>
      </c>
      <c r="J44" s="168" t="s">
        <v>31</v>
      </c>
      <c r="K44" s="168" t="s">
        <v>253</v>
      </c>
      <c r="L44" s="141">
        <v>0.23</v>
      </c>
      <c r="M44" s="141">
        <v>0.23</v>
      </c>
      <c r="N44" s="141">
        <v>0.24</v>
      </c>
      <c r="O44" s="152">
        <f t="shared" si="13"/>
        <v>0.23333333333333331</v>
      </c>
      <c r="P44" s="141">
        <v>0.3</v>
      </c>
      <c r="Q44" s="141"/>
      <c r="R44" s="141"/>
      <c r="S44" s="136">
        <f t="shared" si="14"/>
        <v>0.3</v>
      </c>
      <c r="T44" s="141"/>
      <c r="U44" s="141"/>
      <c r="V44" s="141"/>
      <c r="W44" s="136" t="e">
        <f t="shared" si="15"/>
        <v>#DIV/0!</v>
      </c>
      <c r="X44" s="141"/>
      <c r="Y44" s="141"/>
      <c r="Z44" s="134"/>
      <c r="AA44" s="136" t="e">
        <f t="shared" si="16"/>
        <v>#DIV/0!</v>
      </c>
    </row>
    <row r="45" spans="1:27" s="43" customFormat="1" ht="45" customHeight="1" x14ac:dyDescent="0.2">
      <c r="A45" s="198"/>
      <c r="B45" s="190"/>
      <c r="C45" s="187"/>
      <c r="D45" s="174" t="s">
        <v>261</v>
      </c>
      <c r="E45" s="165" t="s">
        <v>260</v>
      </c>
      <c r="F45" s="165" t="s">
        <v>17</v>
      </c>
      <c r="G45" s="165" t="s">
        <v>75</v>
      </c>
      <c r="H45" s="168">
        <v>1</v>
      </c>
      <c r="I45" s="168">
        <v>0</v>
      </c>
      <c r="J45" s="168" t="s">
        <v>31</v>
      </c>
      <c r="K45" s="168" t="s">
        <v>253</v>
      </c>
      <c r="L45" s="141"/>
      <c r="M45" s="141"/>
      <c r="N45" s="141"/>
      <c r="O45" s="152" t="e">
        <f t="shared" si="13"/>
        <v>#DIV/0!</v>
      </c>
      <c r="P45" s="133"/>
      <c r="Q45" s="141"/>
      <c r="R45" s="134"/>
      <c r="S45" s="136" t="e">
        <f t="shared" si="14"/>
        <v>#DIV/0!</v>
      </c>
      <c r="T45" s="141"/>
      <c r="U45" s="141"/>
      <c r="V45" s="141"/>
      <c r="W45" s="136" t="e">
        <f t="shared" si="15"/>
        <v>#DIV/0!</v>
      </c>
      <c r="X45" s="141"/>
      <c r="Y45" s="141"/>
      <c r="Z45" s="134"/>
      <c r="AA45" s="136" t="e">
        <f t="shared" si="16"/>
        <v>#DIV/0!</v>
      </c>
    </row>
    <row r="46" spans="1:27" s="43" customFormat="1" ht="45" customHeight="1" x14ac:dyDescent="0.2">
      <c r="A46" s="198"/>
      <c r="B46" s="190"/>
      <c r="C46" s="187"/>
      <c r="D46" s="183" t="s">
        <v>291</v>
      </c>
      <c r="E46" s="165" t="s">
        <v>297</v>
      </c>
      <c r="F46" s="165" t="s">
        <v>27</v>
      </c>
      <c r="G46" s="165" t="s">
        <v>91</v>
      </c>
      <c r="H46" s="138">
        <v>3</v>
      </c>
      <c r="I46" s="138">
        <v>0</v>
      </c>
      <c r="J46" s="165" t="s">
        <v>11</v>
      </c>
      <c r="K46" s="168" t="s">
        <v>253</v>
      </c>
      <c r="L46" s="133">
        <v>0</v>
      </c>
      <c r="M46" s="133">
        <v>0</v>
      </c>
      <c r="N46" s="145">
        <v>0</v>
      </c>
      <c r="O46" s="152">
        <f t="shared" si="13"/>
        <v>0</v>
      </c>
      <c r="P46" s="133">
        <v>0</v>
      </c>
      <c r="Q46" s="133">
        <v>0</v>
      </c>
      <c r="R46" s="145"/>
      <c r="S46" s="136">
        <f t="shared" si="14"/>
        <v>0</v>
      </c>
      <c r="T46" s="133"/>
      <c r="U46" s="133"/>
      <c r="V46" s="145"/>
      <c r="W46" s="136" t="e">
        <f t="shared" si="15"/>
        <v>#DIV/0!</v>
      </c>
      <c r="X46" s="133"/>
      <c r="Y46" s="133"/>
      <c r="Z46" s="145"/>
      <c r="AA46" s="136" t="e">
        <f t="shared" si="16"/>
        <v>#DIV/0!</v>
      </c>
    </row>
    <row r="47" spans="1:27" s="43" customFormat="1" ht="38.25" x14ac:dyDescent="0.2">
      <c r="A47" s="198"/>
      <c r="B47" s="190"/>
      <c r="C47" s="187"/>
      <c r="D47" s="184"/>
      <c r="E47" s="165" t="s">
        <v>298</v>
      </c>
      <c r="F47" s="165" t="s">
        <v>27</v>
      </c>
      <c r="G47" s="165" t="s">
        <v>75</v>
      </c>
      <c r="H47" s="138">
        <v>3</v>
      </c>
      <c r="I47" s="138">
        <v>0</v>
      </c>
      <c r="J47" s="165" t="s">
        <v>11</v>
      </c>
      <c r="K47" s="168" t="s">
        <v>253</v>
      </c>
      <c r="L47" s="133">
        <v>0</v>
      </c>
      <c r="M47" s="133">
        <v>0</v>
      </c>
      <c r="N47" s="145">
        <v>0</v>
      </c>
      <c r="O47" s="152">
        <f t="shared" si="13"/>
        <v>0</v>
      </c>
      <c r="P47" s="133">
        <v>0</v>
      </c>
      <c r="Q47" s="133">
        <v>0</v>
      </c>
      <c r="R47" s="145"/>
      <c r="S47" s="136">
        <f t="shared" si="14"/>
        <v>0</v>
      </c>
      <c r="T47" s="133"/>
      <c r="U47" s="133"/>
      <c r="V47" s="145"/>
      <c r="W47" s="136" t="e">
        <f t="shared" si="15"/>
        <v>#DIV/0!</v>
      </c>
      <c r="X47" s="133"/>
      <c r="Y47" s="133"/>
      <c r="Z47" s="145"/>
      <c r="AA47" s="136" t="e">
        <f t="shared" si="16"/>
        <v>#DIV/0!</v>
      </c>
    </row>
    <row r="48" spans="1:27" s="43" customFormat="1" ht="38.25" x14ac:dyDescent="0.2">
      <c r="A48" s="198"/>
      <c r="B48" s="191"/>
      <c r="C48" s="188"/>
      <c r="D48" s="185"/>
      <c r="E48" s="165" t="s">
        <v>332</v>
      </c>
      <c r="F48" s="165" t="s">
        <v>27</v>
      </c>
      <c r="G48" s="165" t="s">
        <v>75</v>
      </c>
      <c r="H48" s="138">
        <v>3</v>
      </c>
      <c r="I48" s="138">
        <v>0</v>
      </c>
      <c r="J48" s="165" t="s">
        <v>11</v>
      </c>
      <c r="K48" s="168" t="s">
        <v>253</v>
      </c>
      <c r="L48" s="133">
        <v>0</v>
      </c>
      <c r="M48" s="133">
        <v>0</v>
      </c>
      <c r="N48" s="145">
        <v>0</v>
      </c>
      <c r="O48" s="152">
        <f t="shared" si="13"/>
        <v>0</v>
      </c>
      <c r="P48" s="133">
        <v>0</v>
      </c>
      <c r="Q48" s="133">
        <v>0</v>
      </c>
      <c r="R48" s="145"/>
      <c r="S48" s="136">
        <f t="shared" si="14"/>
        <v>0</v>
      </c>
      <c r="T48" s="133"/>
      <c r="U48" s="133"/>
      <c r="V48" s="145"/>
      <c r="W48" s="136" t="e">
        <f t="shared" si="15"/>
        <v>#DIV/0!</v>
      </c>
      <c r="X48" s="133"/>
      <c r="Y48" s="133"/>
      <c r="Z48" s="145"/>
      <c r="AA48" s="136" t="e">
        <f t="shared" si="16"/>
        <v>#DIV/0!</v>
      </c>
    </row>
    <row r="49" spans="1:30" s="43" customFormat="1" ht="38.25" x14ac:dyDescent="0.2">
      <c r="A49" s="198"/>
      <c r="B49" s="186" t="s">
        <v>114</v>
      </c>
      <c r="C49" s="186" t="s">
        <v>322</v>
      </c>
      <c r="D49" s="183" t="s">
        <v>323</v>
      </c>
      <c r="E49" s="168" t="s">
        <v>293</v>
      </c>
      <c r="F49" s="165" t="s">
        <v>27</v>
      </c>
      <c r="G49" s="165" t="s">
        <v>79</v>
      </c>
      <c r="H49" s="167">
        <v>0.85</v>
      </c>
      <c r="I49" s="14">
        <v>95</v>
      </c>
      <c r="J49" s="165" t="s">
        <v>11</v>
      </c>
      <c r="K49" s="168" t="s">
        <v>253</v>
      </c>
      <c r="L49" s="133"/>
      <c r="M49" s="133"/>
      <c r="N49" s="146"/>
      <c r="O49" s="152" t="e">
        <f t="shared" si="13"/>
        <v>#DIV/0!</v>
      </c>
      <c r="P49" s="133"/>
      <c r="Q49" s="133"/>
      <c r="R49" s="145"/>
      <c r="S49" s="136" t="e">
        <f t="shared" si="14"/>
        <v>#DIV/0!</v>
      </c>
      <c r="T49" s="133"/>
      <c r="U49" s="133"/>
      <c r="V49" s="133"/>
      <c r="W49" s="136" t="e">
        <f t="shared" si="15"/>
        <v>#DIV/0!</v>
      </c>
      <c r="X49" s="133"/>
      <c r="Y49" s="133"/>
      <c r="Z49" s="145"/>
      <c r="AA49" s="136" t="e">
        <f t="shared" si="16"/>
        <v>#DIV/0!</v>
      </c>
      <c r="AC49" s="124"/>
      <c r="AD49" s="124"/>
    </row>
    <row r="50" spans="1:30" s="43" customFormat="1" ht="51" x14ac:dyDescent="0.2">
      <c r="A50" s="198"/>
      <c r="B50" s="187"/>
      <c r="C50" s="187"/>
      <c r="D50" s="184"/>
      <c r="E50" s="153" t="s">
        <v>201</v>
      </c>
      <c r="F50" s="148" t="s">
        <v>27</v>
      </c>
      <c r="G50" s="165" t="s">
        <v>79</v>
      </c>
      <c r="H50" s="167">
        <v>0</v>
      </c>
      <c r="I50" s="148">
        <v>50</v>
      </c>
      <c r="J50" s="168" t="s">
        <v>86</v>
      </c>
      <c r="K50" s="168" t="s">
        <v>179</v>
      </c>
      <c r="L50" s="154"/>
      <c r="M50" s="133"/>
      <c r="N50" s="134"/>
      <c r="O50" s="152" t="e">
        <f t="shared" si="13"/>
        <v>#DIV/0!</v>
      </c>
      <c r="P50" s="133"/>
      <c r="Q50" s="133"/>
      <c r="R50" s="145"/>
      <c r="S50" s="136" t="e">
        <f t="shared" si="14"/>
        <v>#DIV/0!</v>
      </c>
      <c r="T50" s="133"/>
      <c r="U50" s="133"/>
      <c r="V50" s="145"/>
      <c r="W50" s="136" t="e">
        <f t="shared" si="15"/>
        <v>#DIV/0!</v>
      </c>
      <c r="X50" s="133"/>
      <c r="Y50" s="133"/>
      <c r="Z50" s="145"/>
      <c r="AA50" s="136" t="e">
        <f t="shared" si="16"/>
        <v>#DIV/0!</v>
      </c>
      <c r="AC50" s="124"/>
      <c r="AD50" s="124"/>
    </row>
    <row r="51" spans="1:30" s="43" customFormat="1" ht="51" x14ac:dyDescent="0.2">
      <c r="A51" s="198"/>
      <c r="B51" s="187"/>
      <c r="C51" s="188"/>
      <c r="D51" s="185"/>
      <c r="E51" s="153" t="s">
        <v>202</v>
      </c>
      <c r="F51" s="148" t="s">
        <v>27</v>
      </c>
      <c r="G51" s="165" t="s">
        <v>79</v>
      </c>
      <c r="H51" s="167">
        <v>0.85</v>
      </c>
      <c r="I51" s="148">
        <v>95</v>
      </c>
      <c r="J51" s="168" t="s">
        <v>86</v>
      </c>
      <c r="K51" s="168" t="s">
        <v>179</v>
      </c>
      <c r="L51" s="154"/>
      <c r="M51" s="133"/>
      <c r="N51" s="134"/>
      <c r="O51" s="152" t="e">
        <f t="shared" si="13"/>
        <v>#DIV/0!</v>
      </c>
      <c r="P51" s="133"/>
      <c r="Q51" s="133"/>
      <c r="R51" s="145"/>
      <c r="S51" s="136" t="e">
        <f t="shared" si="14"/>
        <v>#DIV/0!</v>
      </c>
      <c r="T51" s="133"/>
      <c r="U51" s="133"/>
      <c r="V51" s="145"/>
      <c r="W51" s="136" t="e">
        <f t="shared" si="15"/>
        <v>#DIV/0!</v>
      </c>
      <c r="X51" s="133"/>
      <c r="Y51" s="133"/>
      <c r="Z51" s="145"/>
      <c r="AA51" s="136" t="e">
        <f t="shared" si="16"/>
        <v>#DIV/0!</v>
      </c>
      <c r="AC51" s="124"/>
      <c r="AD51" s="124"/>
    </row>
    <row r="52" spans="1:30" s="43" customFormat="1" ht="76.5" x14ac:dyDescent="0.2">
      <c r="A52" s="199"/>
      <c r="B52" s="188"/>
      <c r="C52" s="168" t="s">
        <v>326</v>
      </c>
      <c r="D52" s="174" t="s">
        <v>324</v>
      </c>
      <c r="E52" s="168" t="s">
        <v>325</v>
      </c>
      <c r="F52" s="148" t="s">
        <v>27</v>
      </c>
      <c r="G52" s="165" t="s">
        <v>80</v>
      </c>
      <c r="H52" s="155">
        <v>0.25</v>
      </c>
      <c r="I52" s="156">
        <v>0.35</v>
      </c>
      <c r="J52" s="168" t="s">
        <v>86</v>
      </c>
      <c r="K52" s="168" t="s">
        <v>179</v>
      </c>
      <c r="L52" s="154"/>
      <c r="M52" s="133"/>
      <c r="N52" s="134"/>
      <c r="O52" s="152" t="e">
        <f t="shared" si="13"/>
        <v>#DIV/0!</v>
      </c>
      <c r="P52" s="133"/>
      <c r="Q52" s="133"/>
      <c r="R52" s="145"/>
      <c r="S52" s="136" t="e">
        <f t="shared" si="14"/>
        <v>#DIV/0!</v>
      </c>
      <c r="T52" s="133"/>
      <c r="U52" s="133"/>
      <c r="V52" s="145"/>
      <c r="W52" s="136" t="e">
        <f t="shared" si="15"/>
        <v>#DIV/0!</v>
      </c>
      <c r="X52" s="133"/>
      <c r="Y52" s="133"/>
      <c r="Z52" s="145"/>
      <c r="AA52" s="136" t="e">
        <f t="shared" si="16"/>
        <v>#DIV/0!</v>
      </c>
      <c r="AC52" s="124"/>
      <c r="AD52" s="124"/>
    </row>
    <row r="53" spans="1:30" s="43" customFormat="1" ht="25.5" x14ac:dyDescent="0.2">
      <c r="A53" s="33" t="s">
        <v>52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131" t="s">
        <v>203</v>
      </c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C53" s="124"/>
      <c r="AD53" s="124"/>
    </row>
    <row r="54" spans="1:30" ht="63.75" x14ac:dyDescent="0.25">
      <c r="A54" s="165" t="s">
        <v>53</v>
      </c>
      <c r="B54" s="165" t="s">
        <v>54</v>
      </c>
      <c r="C54" s="165"/>
      <c r="D54" s="158" t="s">
        <v>55</v>
      </c>
      <c r="E54" s="165" t="s">
        <v>56</v>
      </c>
      <c r="F54" s="165" t="s">
        <v>20</v>
      </c>
      <c r="G54" s="165" t="s">
        <v>83</v>
      </c>
      <c r="H54" s="165" t="s">
        <v>57</v>
      </c>
      <c r="I54" s="165"/>
      <c r="J54" s="165"/>
      <c r="K54" s="167" t="s">
        <v>58</v>
      </c>
      <c r="L54" s="159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C54" s="125"/>
      <c r="AD54" s="125"/>
    </row>
    <row r="55" spans="1:30" ht="63.75" x14ac:dyDescent="0.25">
      <c r="A55" s="165" t="s">
        <v>59</v>
      </c>
      <c r="B55" s="165" t="s">
        <v>60</v>
      </c>
      <c r="C55" s="165"/>
      <c r="D55" s="158" t="s">
        <v>61</v>
      </c>
      <c r="E55" s="165" t="s">
        <v>62</v>
      </c>
      <c r="F55" s="165" t="s">
        <v>20</v>
      </c>
      <c r="G55" s="165" t="s">
        <v>83</v>
      </c>
      <c r="H55" s="165" t="s">
        <v>57</v>
      </c>
      <c r="I55" s="165"/>
      <c r="J55" s="165"/>
      <c r="K55" s="167" t="s">
        <v>58</v>
      </c>
      <c r="L55" s="159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C55" s="125"/>
      <c r="AD55" s="125"/>
    </row>
    <row r="56" spans="1:30" ht="63.75" x14ac:dyDescent="0.25">
      <c r="A56" s="165" t="s">
        <v>63</v>
      </c>
      <c r="B56" s="165" t="s">
        <v>64</v>
      </c>
      <c r="C56" s="165"/>
      <c r="D56" s="158" t="s">
        <v>65</v>
      </c>
      <c r="E56" s="165" t="s">
        <v>66</v>
      </c>
      <c r="F56" s="165" t="s">
        <v>20</v>
      </c>
      <c r="G56" s="165" t="s">
        <v>83</v>
      </c>
      <c r="H56" s="165" t="s">
        <v>57</v>
      </c>
      <c r="I56" s="165"/>
      <c r="J56" s="165"/>
      <c r="K56" s="167" t="s">
        <v>28</v>
      </c>
      <c r="L56" s="159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C56" s="125"/>
      <c r="AD56" s="125"/>
    </row>
    <row r="57" spans="1:30" ht="63.75" x14ac:dyDescent="0.25">
      <c r="A57" s="165" t="s">
        <v>68</v>
      </c>
      <c r="B57" s="165" t="s">
        <v>69</v>
      </c>
      <c r="C57" s="165"/>
      <c r="D57" s="158" t="s">
        <v>65</v>
      </c>
      <c r="E57" s="165" t="s">
        <v>66</v>
      </c>
      <c r="F57" s="165" t="s">
        <v>20</v>
      </c>
      <c r="G57" s="165" t="s">
        <v>83</v>
      </c>
      <c r="H57" s="165" t="s">
        <v>57</v>
      </c>
      <c r="I57" s="165"/>
      <c r="J57" s="165"/>
      <c r="K57" s="167" t="s">
        <v>28</v>
      </c>
      <c r="L57" s="159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C57" s="125"/>
      <c r="AD57" s="125"/>
    </row>
    <row r="58" spans="1:30" x14ac:dyDescent="0.25">
      <c r="A58" s="5"/>
      <c r="D58" s="9"/>
      <c r="E58" s="9"/>
      <c r="F58" s="9"/>
      <c r="G58" s="9"/>
      <c r="H58" s="9"/>
      <c r="I58" s="9"/>
      <c r="J58" s="9"/>
      <c r="K58" s="10"/>
      <c r="AC58" s="125"/>
      <c r="AD58" s="125"/>
    </row>
    <row r="59" spans="1:30" x14ac:dyDescent="0.25">
      <c r="A59" s="5"/>
      <c r="B59" s="5"/>
      <c r="C59" s="5"/>
      <c r="D59" s="9"/>
      <c r="E59" s="9"/>
      <c r="F59" s="9"/>
      <c r="G59" s="9"/>
      <c r="H59" s="9"/>
      <c r="I59" s="9"/>
      <c r="J59" s="9"/>
      <c r="K59" s="10"/>
      <c r="AC59" s="125"/>
      <c r="AD59" s="125"/>
    </row>
    <row r="60" spans="1:30" x14ac:dyDescent="0.25">
      <c r="A60" s="6"/>
      <c r="B60" s="11"/>
      <c r="C60" s="11"/>
      <c r="D60" s="26"/>
      <c r="E60" s="6"/>
      <c r="F60" s="6"/>
      <c r="G60" s="6"/>
      <c r="H60" s="6"/>
      <c r="I60" s="6"/>
      <c r="J60" s="6"/>
      <c r="K60" s="6"/>
      <c r="AC60" s="125"/>
      <c r="AD60" s="125"/>
    </row>
    <row r="61" spans="1:30" x14ac:dyDescent="0.25">
      <c r="A61" s="6"/>
      <c r="B61" s="11"/>
      <c r="C61" s="11"/>
      <c r="D61" s="26"/>
      <c r="E61" s="6"/>
      <c r="F61" s="6"/>
      <c r="G61" s="6"/>
      <c r="H61" s="6"/>
      <c r="I61" s="6"/>
      <c r="J61" s="6"/>
      <c r="K61" s="6"/>
      <c r="AC61" s="125"/>
      <c r="AD61" s="125"/>
    </row>
    <row r="62" spans="1:30" x14ac:dyDescent="0.25">
      <c r="A62" s="6"/>
      <c r="B62" s="11"/>
      <c r="C62" s="11"/>
      <c r="D62" s="26"/>
      <c r="E62" s="6"/>
      <c r="F62" s="6"/>
      <c r="G62" s="6"/>
      <c r="H62" s="6"/>
      <c r="I62" s="6"/>
      <c r="J62" s="6"/>
      <c r="K62" s="6"/>
      <c r="AC62" s="125"/>
      <c r="AD62" s="125"/>
    </row>
    <row r="63" spans="1:30" x14ac:dyDescent="0.25">
      <c r="A63" s="6"/>
      <c r="B63" s="11"/>
      <c r="C63" s="11"/>
      <c r="D63" s="26"/>
      <c r="E63" s="6"/>
      <c r="F63" s="6"/>
      <c r="G63" s="6"/>
      <c r="H63" s="6"/>
      <c r="I63" s="6"/>
      <c r="J63" s="6"/>
      <c r="K63" s="6"/>
      <c r="AC63" s="125"/>
      <c r="AD63" s="125"/>
    </row>
    <row r="64" spans="1:30" x14ac:dyDescent="0.25">
      <c r="A64" s="6"/>
      <c r="B64" s="11"/>
      <c r="C64" s="11"/>
      <c r="D64" s="26"/>
      <c r="E64" s="6"/>
      <c r="F64" s="6"/>
      <c r="G64" s="6"/>
      <c r="H64" s="6"/>
      <c r="I64" s="6"/>
      <c r="J64" s="6"/>
      <c r="K64" s="6"/>
      <c r="AC64" s="125"/>
      <c r="AD64" s="125"/>
    </row>
    <row r="65" spans="1:30" x14ac:dyDescent="0.25">
      <c r="A65" s="6"/>
      <c r="B65" s="11"/>
      <c r="C65" s="11"/>
      <c r="D65" s="26"/>
      <c r="E65" s="6"/>
      <c r="F65" s="6"/>
      <c r="G65" s="6"/>
      <c r="H65" s="6"/>
      <c r="I65" s="6"/>
      <c r="J65" s="6"/>
      <c r="K65" s="6"/>
      <c r="AC65" s="125"/>
      <c r="AD65" s="125"/>
    </row>
    <row r="66" spans="1:30" x14ac:dyDescent="0.25">
      <c r="A66" s="6"/>
      <c r="B66" s="11"/>
      <c r="C66" s="11"/>
      <c r="D66" s="26"/>
      <c r="E66" s="6"/>
      <c r="F66" s="6"/>
      <c r="G66" s="6"/>
      <c r="H66" s="6"/>
      <c r="I66" s="6"/>
      <c r="J66" s="6"/>
      <c r="K66" s="6"/>
      <c r="AC66" s="125"/>
      <c r="AD66" s="125"/>
    </row>
    <row r="67" spans="1:30" x14ac:dyDescent="0.25">
      <c r="A67" s="6"/>
      <c r="B67" s="11"/>
      <c r="C67" s="11"/>
      <c r="D67" s="26"/>
      <c r="E67" s="6"/>
      <c r="F67" s="6"/>
      <c r="G67" s="6"/>
      <c r="H67" s="6"/>
      <c r="I67" s="6"/>
      <c r="J67" s="6"/>
      <c r="K67" s="6"/>
      <c r="AC67" s="125"/>
      <c r="AD67" s="125"/>
    </row>
    <row r="68" spans="1:30" x14ac:dyDescent="0.25">
      <c r="A68" s="6"/>
      <c r="B68" s="11"/>
      <c r="C68" s="11"/>
      <c r="D68" s="26"/>
      <c r="E68" s="6"/>
      <c r="F68" s="6"/>
      <c r="G68" s="6"/>
      <c r="H68" s="6"/>
      <c r="I68" s="6"/>
      <c r="J68" s="6"/>
      <c r="K68" s="6"/>
      <c r="AC68" s="125"/>
      <c r="AD68" s="125"/>
    </row>
    <row r="69" spans="1:30" x14ac:dyDescent="0.25">
      <c r="A69" s="6"/>
      <c r="B69" s="11"/>
      <c r="C69" s="11"/>
      <c r="D69" s="26"/>
      <c r="E69" s="6"/>
      <c r="F69" s="6"/>
      <c r="G69" s="6"/>
      <c r="H69" s="6"/>
      <c r="I69" s="6"/>
      <c r="J69" s="6"/>
      <c r="K69" s="6"/>
      <c r="AC69" s="125"/>
      <c r="AD69" s="125"/>
    </row>
    <row r="70" spans="1:30" x14ac:dyDescent="0.25">
      <c r="A70" s="12"/>
      <c r="B70" s="13"/>
      <c r="C70" s="13"/>
      <c r="D70" s="27"/>
      <c r="E70" s="12"/>
      <c r="F70" s="12"/>
      <c r="G70" s="12"/>
      <c r="H70" s="12"/>
      <c r="I70" s="12"/>
      <c r="J70" s="12"/>
      <c r="K70" s="12"/>
      <c r="AC70" s="125"/>
      <c r="AD70" s="125"/>
    </row>
    <row r="71" spans="1:30" x14ac:dyDescent="0.25">
      <c r="AC71" s="125"/>
      <c r="AD71" s="125"/>
    </row>
    <row r="72" spans="1:30" x14ac:dyDescent="0.25">
      <c r="AC72" s="125"/>
      <c r="AD72" s="125"/>
    </row>
    <row r="73" spans="1:30" x14ac:dyDescent="0.25">
      <c r="AC73" s="125"/>
      <c r="AD73" s="125"/>
    </row>
    <row r="74" spans="1:30" x14ac:dyDescent="0.25">
      <c r="AC74" s="125"/>
      <c r="AD74" s="125"/>
    </row>
    <row r="75" spans="1:30" x14ac:dyDescent="0.25">
      <c r="AC75" s="125"/>
      <c r="AD75" s="125"/>
    </row>
    <row r="76" spans="1:30" x14ac:dyDescent="0.25">
      <c r="AC76" s="125"/>
      <c r="AD76" s="125"/>
    </row>
    <row r="77" spans="1:30" x14ac:dyDescent="0.25">
      <c r="AC77" s="125"/>
      <c r="AD77" s="125"/>
    </row>
    <row r="78" spans="1:30" x14ac:dyDescent="0.25">
      <c r="AC78" s="125"/>
      <c r="AD78" s="125"/>
    </row>
    <row r="79" spans="1:30" x14ac:dyDescent="0.25">
      <c r="AC79" s="125"/>
      <c r="AD79" s="125"/>
    </row>
    <row r="80" spans="1:30" x14ac:dyDescent="0.25">
      <c r="AC80" s="125"/>
      <c r="AD80" s="125"/>
    </row>
    <row r="81" spans="29:30" x14ac:dyDescent="0.25">
      <c r="AC81" s="125"/>
      <c r="AD81" s="125"/>
    </row>
    <row r="82" spans="29:30" x14ac:dyDescent="0.25">
      <c r="AC82" s="125"/>
      <c r="AD82" s="125"/>
    </row>
    <row r="83" spans="29:30" x14ac:dyDescent="0.25">
      <c r="AC83" s="125"/>
      <c r="AD83" s="125"/>
    </row>
    <row r="84" spans="29:30" x14ac:dyDescent="0.25">
      <c r="AC84" s="125"/>
      <c r="AD84" s="125"/>
    </row>
    <row r="85" spans="29:30" x14ac:dyDescent="0.25">
      <c r="AC85" s="125"/>
      <c r="AD85" s="125"/>
    </row>
    <row r="86" spans="29:30" x14ac:dyDescent="0.25">
      <c r="AC86" s="125"/>
      <c r="AD86" s="125"/>
    </row>
    <row r="87" spans="29:30" x14ac:dyDescent="0.25">
      <c r="AC87" s="125"/>
      <c r="AD87" s="125"/>
    </row>
    <row r="88" spans="29:30" x14ac:dyDescent="0.25">
      <c r="AC88" s="125"/>
      <c r="AD88" s="125"/>
    </row>
    <row r="89" spans="29:30" x14ac:dyDescent="0.25">
      <c r="AC89" s="125"/>
      <c r="AD89" s="125"/>
    </row>
    <row r="90" spans="29:30" x14ac:dyDescent="0.25">
      <c r="AC90" s="125"/>
      <c r="AD90" s="125"/>
    </row>
    <row r="91" spans="29:30" x14ac:dyDescent="0.25">
      <c r="AC91" s="125"/>
      <c r="AD91" s="125"/>
    </row>
    <row r="92" spans="29:30" x14ac:dyDescent="0.25">
      <c r="AC92" s="125"/>
      <c r="AD92" s="125"/>
    </row>
    <row r="93" spans="29:30" x14ac:dyDescent="0.25">
      <c r="AC93" s="125"/>
      <c r="AD93" s="125"/>
    </row>
    <row r="94" spans="29:30" x14ac:dyDescent="0.25">
      <c r="AC94" s="125"/>
      <c r="AD94" s="125"/>
    </row>
    <row r="95" spans="29:30" x14ac:dyDescent="0.25">
      <c r="AC95" s="125"/>
      <c r="AD95" s="125"/>
    </row>
    <row r="96" spans="29:30" x14ac:dyDescent="0.25">
      <c r="AC96" s="125"/>
      <c r="AD96" s="125"/>
    </row>
    <row r="97" spans="29:30" x14ac:dyDescent="0.25">
      <c r="AC97" s="125"/>
      <c r="AD97" s="125"/>
    </row>
    <row r="98" spans="29:30" x14ac:dyDescent="0.25">
      <c r="AC98" s="125"/>
      <c r="AD98" s="125"/>
    </row>
    <row r="99" spans="29:30" x14ac:dyDescent="0.25">
      <c r="AC99" s="125"/>
      <c r="AD99" s="125"/>
    </row>
    <row r="100" spans="29:30" x14ac:dyDescent="0.25">
      <c r="AC100" s="125"/>
      <c r="AD100" s="125"/>
    </row>
    <row r="101" spans="29:30" x14ac:dyDescent="0.25">
      <c r="AC101" s="125"/>
      <c r="AD101" s="125"/>
    </row>
    <row r="102" spans="29:30" x14ac:dyDescent="0.25">
      <c r="AC102" s="125"/>
      <c r="AD102" s="125"/>
    </row>
    <row r="103" spans="29:30" x14ac:dyDescent="0.25">
      <c r="AC103" s="125"/>
      <c r="AD103" s="125"/>
    </row>
    <row r="104" spans="29:30" x14ac:dyDescent="0.25">
      <c r="AC104" s="125"/>
      <c r="AD104" s="125"/>
    </row>
    <row r="105" spans="29:30" x14ac:dyDescent="0.25">
      <c r="AC105" s="125"/>
      <c r="AD105" s="125"/>
    </row>
    <row r="106" spans="29:30" x14ac:dyDescent="0.25">
      <c r="AC106" s="125"/>
      <c r="AD106" s="125"/>
    </row>
    <row r="107" spans="29:30" x14ac:dyDescent="0.25">
      <c r="AC107" s="125"/>
      <c r="AD107" s="125"/>
    </row>
    <row r="108" spans="29:30" x14ac:dyDescent="0.25">
      <c r="AC108" s="125"/>
      <c r="AD108" s="125"/>
    </row>
    <row r="109" spans="29:30" x14ac:dyDescent="0.25">
      <c r="AC109" s="125"/>
      <c r="AD109" s="125"/>
    </row>
    <row r="110" spans="29:30" x14ac:dyDescent="0.25">
      <c r="AC110" s="125"/>
      <c r="AD110" s="125"/>
    </row>
    <row r="111" spans="29:30" x14ac:dyDescent="0.25">
      <c r="AC111" s="125"/>
      <c r="AD111" s="125"/>
    </row>
    <row r="112" spans="29:30" x14ac:dyDescent="0.25">
      <c r="AC112" s="125"/>
      <c r="AD112" s="125"/>
    </row>
    <row r="113" spans="29:30" x14ac:dyDescent="0.25">
      <c r="AC113" s="125"/>
      <c r="AD113" s="125"/>
    </row>
    <row r="114" spans="29:30" x14ac:dyDescent="0.25">
      <c r="AC114" s="125"/>
      <c r="AD114" s="125"/>
    </row>
    <row r="115" spans="29:30" x14ac:dyDescent="0.25">
      <c r="AC115" s="125"/>
      <c r="AD115" s="125"/>
    </row>
    <row r="116" spans="29:30" x14ac:dyDescent="0.25">
      <c r="AC116" s="125"/>
      <c r="AD116" s="125"/>
    </row>
    <row r="117" spans="29:30" x14ac:dyDescent="0.25">
      <c r="AC117" s="125"/>
      <c r="AD117" s="125"/>
    </row>
    <row r="118" spans="29:30" x14ac:dyDescent="0.25">
      <c r="AC118" s="125"/>
      <c r="AD118" s="125"/>
    </row>
    <row r="119" spans="29:30" x14ac:dyDescent="0.25">
      <c r="AC119" s="125"/>
      <c r="AD119" s="125"/>
    </row>
    <row r="120" spans="29:30" x14ac:dyDescent="0.25">
      <c r="AC120" s="125"/>
      <c r="AD120" s="125"/>
    </row>
    <row r="121" spans="29:30" x14ac:dyDescent="0.25">
      <c r="AC121" s="125"/>
      <c r="AD121" s="125"/>
    </row>
    <row r="122" spans="29:30" x14ac:dyDescent="0.25">
      <c r="AC122" s="125"/>
      <c r="AD122" s="125"/>
    </row>
    <row r="123" spans="29:30" x14ac:dyDescent="0.25">
      <c r="AC123" s="125"/>
      <c r="AD123" s="125"/>
    </row>
    <row r="124" spans="29:30" x14ac:dyDescent="0.25">
      <c r="AC124" s="125"/>
      <c r="AD124" s="125"/>
    </row>
    <row r="125" spans="29:30" x14ac:dyDescent="0.25">
      <c r="AC125" s="125"/>
      <c r="AD125" s="125"/>
    </row>
    <row r="126" spans="29:30" x14ac:dyDescent="0.25">
      <c r="AC126" s="125"/>
      <c r="AD126" s="125"/>
    </row>
    <row r="127" spans="29:30" x14ac:dyDescent="0.25">
      <c r="AC127" s="125"/>
      <c r="AD127" s="125"/>
    </row>
    <row r="128" spans="29:30" x14ac:dyDescent="0.25">
      <c r="AC128" s="125"/>
      <c r="AD128" s="125"/>
    </row>
    <row r="129" spans="29:30" x14ac:dyDescent="0.25">
      <c r="AC129" s="125"/>
      <c r="AD129" s="125"/>
    </row>
    <row r="130" spans="29:30" x14ac:dyDescent="0.25">
      <c r="AC130" s="125"/>
      <c r="AD130" s="125"/>
    </row>
    <row r="131" spans="29:30" x14ac:dyDescent="0.25">
      <c r="AC131" s="125"/>
      <c r="AD131" s="125"/>
    </row>
    <row r="132" spans="29:30" x14ac:dyDescent="0.25">
      <c r="AC132" s="125"/>
      <c r="AD132" s="125"/>
    </row>
    <row r="133" spans="29:30" x14ac:dyDescent="0.25">
      <c r="AC133" s="125"/>
      <c r="AD133" s="125"/>
    </row>
    <row r="134" spans="29:30" x14ac:dyDescent="0.25">
      <c r="AC134" s="125"/>
      <c r="AD134" s="125"/>
    </row>
    <row r="135" spans="29:30" x14ac:dyDescent="0.25">
      <c r="AC135" s="125"/>
      <c r="AD135" s="125"/>
    </row>
    <row r="136" spans="29:30" x14ac:dyDescent="0.25">
      <c r="AC136" s="125"/>
      <c r="AD136" s="125"/>
    </row>
    <row r="137" spans="29:30" x14ac:dyDescent="0.25">
      <c r="AC137" s="125"/>
      <c r="AD137" s="125"/>
    </row>
    <row r="138" spans="29:30" x14ac:dyDescent="0.25">
      <c r="AC138" s="125"/>
      <c r="AD138" s="125"/>
    </row>
    <row r="139" spans="29:30" x14ac:dyDescent="0.25">
      <c r="AC139" s="125"/>
      <c r="AD139" s="125"/>
    </row>
    <row r="140" spans="29:30" x14ac:dyDescent="0.25">
      <c r="AC140" s="125"/>
      <c r="AD140" s="125"/>
    </row>
    <row r="141" spans="29:30" x14ac:dyDescent="0.25">
      <c r="AC141" s="125"/>
      <c r="AD141" s="125"/>
    </row>
    <row r="142" spans="29:30" x14ac:dyDescent="0.25">
      <c r="AC142" s="125"/>
      <c r="AD142" s="125"/>
    </row>
    <row r="143" spans="29:30" x14ac:dyDescent="0.25">
      <c r="AC143" s="125"/>
      <c r="AD143" s="125"/>
    </row>
    <row r="144" spans="29:30" x14ac:dyDescent="0.25">
      <c r="AC144" s="125"/>
      <c r="AD144" s="125"/>
    </row>
    <row r="145" spans="29:30" x14ac:dyDescent="0.25">
      <c r="AC145" s="125"/>
      <c r="AD145" s="125"/>
    </row>
    <row r="146" spans="29:30" x14ac:dyDescent="0.25">
      <c r="AC146" s="125"/>
      <c r="AD146" s="125"/>
    </row>
    <row r="147" spans="29:30" x14ac:dyDescent="0.25">
      <c r="AC147" s="125"/>
      <c r="AD147" s="125"/>
    </row>
    <row r="148" spans="29:30" x14ac:dyDescent="0.25">
      <c r="AC148" s="125"/>
      <c r="AD148" s="125"/>
    </row>
    <row r="149" spans="29:30" x14ac:dyDescent="0.25">
      <c r="AC149" s="125"/>
      <c r="AD149" s="125"/>
    </row>
    <row r="150" spans="29:30" x14ac:dyDescent="0.25">
      <c r="AC150" s="125"/>
      <c r="AD150" s="125"/>
    </row>
    <row r="151" spans="29:30" x14ac:dyDescent="0.25">
      <c r="AC151" s="125"/>
      <c r="AD151" s="125"/>
    </row>
    <row r="152" spans="29:30" x14ac:dyDescent="0.25">
      <c r="AC152" s="125"/>
      <c r="AD152" s="125"/>
    </row>
    <row r="153" spans="29:30" x14ac:dyDescent="0.25">
      <c r="AC153" s="125"/>
      <c r="AD153" s="125"/>
    </row>
    <row r="154" spans="29:30" x14ac:dyDescent="0.25">
      <c r="AC154" s="125"/>
      <c r="AD154" s="125"/>
    </row>
    <row r="155" spans="29:30" x14ac:dyDescent="0.25">
      <c r="AC155" s="125"/>
      <c r="AD155" s="125"/>
    </row>
    <row r="156" spans="29:30" x14ac:dyDescent="0.25">
      <c r="AC156" s="125"/>
      <c r="AD156" s="125"/>
    </row>
    <row r="157" spans="29:30" x14ac:dyDescent="0.25">
      <c r="AC157" s="125"/>
      <c r="AD157" s="125"/>
    </row>
    <row r="158" spans="29:30" x14ac:dyDescent="0.25">
      <c r="AC158" s="125"/>
      <c r="AD158" s="125"/>
    </row>
    <row r="159" spans="29:30" x14ac:dyDescent="0.25">
      <c r="AC159" s="125"/>
      <c r="AD159" s="125"/>
    </row>
    <row r="160" spans="29:30" x14ac:dyDescent="0.25">
      <c r="AC160" s="125"/>
      <c r="AD160" s="125"/>
    </row>
    <row r="161" spans="29:30" x14ac:dyDescent="0.25">
      <c r="AC161" s="125"/>
      <c r="AD161" s="125"/>
    </row>
    <row r="162" spans="29:30" x14ac:dyDescent="0.25">
      <c r="AC162" s="125"/>
      <c r="AD162" s="125"/>
    </row>
    <row r="163" spans="29:30" x14ac:dyDescent="0.25">
      <c r="AC163" s="125"/>
      <c r="AD163" s="125"/>
    </row>
    <row r="164" spans="29:30" x14ac:dyDescent="0.25">
      <c r="AC164" s="125"/>
      <c r="AD164" s="125"/>
    </row>
    <row r="165" spans="29:30" x14ac:dyDescent="0.25">
      <c r="AC165" s="125"/>
      <c r="AD165" s="125"/>
    </row>
    <row r="166" spans="29:30" x14ac:dyDescent="0.25">
      <c r="AC166" s="125"/>
      <c r="AD166" s="125"/>
    </row>
    <row r="167" spans="29:30" x14ac:dyDescent="0.25">
      <c r="AC167" s="125"/>
      <c r="AD167" s="125"/>
    </row>
    <row r="168" spans="29:30" x14ac:dyDescent="0.25">
      <c r="AC168" s="125"/>
      <c r="AD168" s="125"/>
    </row>
    <row r="169" spans="29:30" x14ac:dyDescent="0.25">
      <c r="AC169" s="125"/>
      <c r="AD169" s="125"/>
    </row>
    <row r="170" spans="29:30" x14ac:dyDescent="0.25">
      <c r="AC170" s="125"/>
      <c r="AD170" s="125"/>
    </row>
    <row r="171" spans="29:30" x14ac:dyDescent="0.25">
      <c r="AC171" s="125"/>
      <c r="AD171" s="125"/>
    </row>
    <row r="172" spans="29:30" x14ac:dyDescent="0.25">
      <c r="AC172" s="125"/>
      <c r="AD172" s="125"/>
    </row>
    <row r="173" spans="29:30" x14ac:dyDescent="0.25">
      <c r="AC173" s="125"/>
      <c r="AD173" s="125"/>
    </row>
    <row r="174" spans="29:30" x14ac:dyDescent="0.25">
      <c r="AC174" s="125"/>
      <c r="AD174" s="125"/>
    </row>
    <row r="175" spans="29:30" x14ac:dyDescent="0.25">
      <c r="AC175" s="125"/>
      <c r="AD175" s="125"/>
    </row>
    <row r="176" spans="29:30" x14ac:dyDescent="0.25">
      <c r="AC176" s="125"/>
      <c r="AD176" s="125"/>
    </row>
    <row r="177" spans="29:30" x14ac:dyDescent="0.25">
      <c r="AC177" s="125"/>
      <c r="AD177" s="125"/>
    </row>
    <row r="178" spans="29:30" x14ac:dyDescent="0.25">
      <c r="AC178" s="125"/>
      <c r="AD178" s="125"/>
    </row>
    <row r="179" spans="29:30" x14ac:dyDescent="0.25">
      <c r="AC179" s="125"/>
      <c r="AD179" s="125"/>
    </row>
    <row r="180" spans="29:30" x14ac:dyDescent="0.25">
      <c r="AC180" s="125"/>
      <c r="AD180" s="125"/>
    </row>
    <row r="181" spans="29:30" x14ac:dyDescent="0.25">
      <c r="AC181" s="125"/>
      <c r="AD181" s="125"/>
    </row>
    <row r="182" spans="29:30" x14ac:dyDescent="0.25">
      <c r="AC182" s="125"/>
      <c r="AD182" s="125"/>
    </row>
    <row r="183" spans="29:30" x14ac:dyDescent="0.25">
      <c r="AC183" s="125"/>
      <c r="AD183" s="125"/>
    </row>
    <row r="184" spans="29:30" x14ac:dyDescent="0.25">
      <c r="AC184" s="125"/>
      <c r="AD184" s="125"/>
    </row>
    <row r="185" spans="29:30" x14ac:dyDescent="0.25">
      <c r="AC185" s="125"/>
      <c r="AD185" s="125"/>
    </row>
    <row r="186" spans="29:30" x14ac:dyDescent="0.25">
      <c r="AC186" s="125"/>
      <c r="AD186" s="125"/>
    </row>
    <row r="187" spans="29:30" x14ac:dyDescent="0.25">
      <c r="AC187" s="125"/>
      <c r="AD187" s="125"/>
    </row>
    <row r="188" spans="29:30" x14ac:dyDescent="0.25">
      <c r="AC188" s="125"/>
      <c r="AD188" s="125"/>
    </row>
    <row r="189" spans="29:30" x14ac:dyDescent="0.25">
      <c r="AC189" s="125"/>
      <c r="AD189" s="125"/>
    </row>
    <row r="190" spans="29:30" x14ac:dyDescent="0.25">
      <c r="AC190" s="125"/>
      <c r="AD190" s="125"/>
    </row>
    <row r="191" spans="29:30" x14ac:dyDescent="0.25">
      <c r="AC191" s="125"/>
      <c r="AD191" s="125"/>
    </row>
    <row r="192" spans="29:30" x14ac:dyDescent="0.25">
      <c r="AC192" s="125"/>
      <c r="AD192" s="125"/>
    </row>
    <row r="193" spans="29:30" x14ac:dyDescent="0.25">
      <c r="AC193" s="125"/>
      <c r="AD193" s="125"/>
    </row>
    <row r="194" spans="29:30" x14ac:dyDescent="0.25">
      <c r="AC194" s="125"/>
      <c r="AD194" s="125"/>
    </row>
    <row r="195" spans="29:30" x14ac:dyDescent="0.25">
      <c r="AC195" s="125"/>
      <c r="AD195" s="125"/>
    </row>
    <row r="196" spans="29:30" x14ac:dyDescent="0.25">
      <c r="AC196" s="125"/>
      <c r="AD196" s="125"/>
    </row>
    <row r="197" spans="29:30" x14ac:dyDescent="0.25">
      <c r="AC197" s="125"/>
      <c r="AD197" s="125"/>
    </row>
    <row r="198" spans="29:30" x14ac:dyDescent="0.25">
      <c r="AC198" s="125"/>
      <c r="AD198" s="125"/>
    </row>
    <row r="199" spans="29:30" x14ac:dyDescent="0.25">
      <c r="AC199" s="125"/>
      <c r="AD199" s="125"/>
    </row>
    <row r="200" spans="29:30" x14ac:dyDescent="0.25">
      <c r="AC200" s="125"/>
      <c r="AD200" s="125"/>
    </row>
    <row r="201" spans="29:30" x14ac:dyDescent="0.25">
      <c r="AC201" s="125"/>
      <c r="AD201" s="125"/>
    </row>
    <row r="202" spans="29:30" x14ac:dyDescent="0.25">
      <c r="AC202" s="125"/>
      <c r="AD202" s="125"/>
    </row>
    <row r="203" spans="29:30" x14ac:dyDescent="0.25">
      <c r="AC203" s="125"/>
      <c r="AD203" s="125"/>
    </row>
    <row r="204" spans="29:30" x14ac:dyDescent="0.25">
      <c r="AC204" s="125"/>
      <c r="AD204" s="125"/>
    </row>
    <row r="205" spans="29:30" x14ac:dyDescent="0.25">
      <c r="AC205" s="125"/>
      <c r="AD205" s="125"/>
    </row>
    <row r="206" spans="29:30" x14ac:dyDescent="0.25">
      <c r="AC206" s="125"/>
      <c r="AD206" s="125"/>
    </row>
    <row r="207" spans="29:30" x14ac:dyDescent="0.25">
      <c r="AC207" s="125"/>
      <c r="AD207" s="125"/>
    </row>
    <row r="208" spans="29:30" x14ac:dyDescent="0.25">
      <c r="AC208" s="125"/>
      <c r="AD208" s="125"/>
    </row>
    <row r="209" spans="29:30" x14ac:dyDescent="0.25">
      <c r="AC209" s="125"/>
      <c r="AD209" s="125"/>
    </row>
    <row r="210" spans="29:30" x14ac:dyDescent="0.25">
      <c r="AC210" s="125"/>
      <c r="AD210" s="125"/>
    </row>
    <row r="211" spans="29:30" x14ac:dyDescent="0.25">
      <c r="AC211" s="125"/>
      <c r="AD211" s="125"/>
    </row>
    <row r="212" spans="29:30" x14ac:dyDescent="0.25">
      <c r="AC212" s="125"/>
      <c r="AD212" s="125"/>
    </row>
    <row r="213" spans="29:30" x14ac:dyDescent="0.25">
      <c r="AC213" s="125"/>
      <c r="AD213" s="125"/>
    </row>
    <row r="214" spans="29:30" x14ac:dyDescent="0.25">
      <c r="AC214" s="125"/>
      <c r="AD214" s="125"/>
    </row>
    <row r="215" spans="29:30" x14ac:dyDescent="0.25">
      <c r="AC215" s="125"/>
      <c r="AD215" s="125"/>
    </row>
    <row r="216" spans="29:30" x14ac:dyDescent="0.25">
      <c r="AC216" s="125"/>
      <c r="AD216" s="125"/>
    </row>
    <row r="217" spans="29:30" x14ac:dyDescent="0.25">
      <c r="AC217" s="125"/>
      <c r="AD217" s="125"/>
    </row>
    <row r="218" spans="29:30" x14ac:dyDescent="0.25">
      <c r="AC218" s="125"/>
      <c r="AD218" s="125"/>
    </row>
    <row r="219" spans="29:30" x14ac:dyDescent="0.25">
      <c r="AC219" s="125"/>
      <c r="AD219" s="125"/>
    </row>
    <row r="220" spans="29:30" x14ac:dyDescent="0.25">
      <c r="AC220" s="125"/>
      <c r="AD220" s="125"/>
    </row>
    <row r="221" spans="29:30" x14ac:dyDescent="0.25">
      <c r="AC221" s="125"/>
      <c r="AD221" s="125"/>
    </row>
    <row r="222" spans="29:30" x14ac:dyDescent="0.25">
      <c r="AC222" s="125"/>
      <c r="AD222" s="125"/>
    </row>
    <row r="223" spans="29:30" x14ac:dyDescent="0.25">
      <c r="AC223" s="125"/>
      <c r="AD223" s="125"/>
    </row>
    <row r="224" spans="29:30" x14ac:dyDescent="0.25">
      <c r="AC224" s="125"/>
      <c r="AD224" s="125"/>
    </row>
    <row r="225" spans="29:30" x14ac:dyDescent="0.25">
      <c r="AC225" s="125"/>
      <c r="AD225" s="125"/>
    </row>
    <row r="226" spans="29:30" x14ac:dyDescent="0.25">
      <c r="AC226" s="125"/>
      <c r="AD226" s="125"/>
    </row>
    <row r="227" spans="29:30" x14ac:dyDescent="0.25">
      <c r="AC227" s="125"/>
      <c r="AD227" s="125"/>
    </row>
    <row r="228" spans="29:30" x14ac:dyDescent="0.25">
      <c r="AC228" s="125"/>
      <c r="AD228" s="125"/>
    </row>
    <row r="229" spans="29:30" x14ac:dyDescent="0.25">
      <c r="AC229" s="125"/>
      <c r="AD229" s="125"/>
    </row>
    <row r="230" spans="29:30" x14ac:dyDescent="0.25">
      <c r="AC230" s="125"/>
      <c r="AD230" s="125"/>
    </row>
    <row r="231" spans="29:30" x14ac:dyDescent="0.25">
      <c r="AC231" s="125"/>
      <c r="AD231" s="125"/>
    </row>
    <row r="232" spans="29:30" x14ac:dyDescent="0.25">
      <c r="AC232" s="125"/>
      <c r="AD232" s="125"/>
    </row>
    <row r="233" spans="29:30" x14ac:dyDescent="0.25">
      <c r="AC233" s="125"/>
      <c r="AD233" s="125"/>
    </row>
    <row r="234" spans="29:30" x14ac:dyDescent="0.25">
      <c r="AC234" s="125"/>
      <c r="AD234" s="125"/>
    </row>
    <row r="1048560" spans="27:27" x14ac:dyDescent="0.25">
      <c r="AA1048560" s="31"/>
    </row>
    <row r="1048561" spans="27:27" x14ac:dyDescent="0.25">
      <c r="AA1048561" s="29"/>
    </row>
    <row r="1048562" spans="27:27" x14ac:dyDescent="0.25">
      <c r="AA1048562" s="29"/>
    </row>
    <row r="1048563" spans="27:27" x14ac:dyDescent="0.25">
      <c r="AA1048563" s="29"/>
    </row>
    <row r="1048564" spans="27:27" x14ac:dyDescent="0.25">
      <c r="AA1048564" s="29"/>
    </row>
    <row r="1048565" spans="27:27" x14ac:dyDescent="0.25">
      <c r="AA1048565" s="29"/>
    </row>
    <row r="1048566" spans="27:27" x14ac:dyDescent="0.25">
      <c r="AA1048566" s="29"/>
    </row>
    <row r="1048567" spans="27:27" x14ac:dyDescent="0.25">
      <c r="AA1048567" s="29"/>
    </row>
    <row r="1048568" spans="27:27" x14ac:dyDescent="0.25">
      <c r="AA1048568" s="29"/>
    </row>
    <row r="1048569" spans="27:27" x14ac:dyDescent="0.25">
      <c r="AA1048569" s="29"/>
    </row>
    <row r="1048570" spans="27:27" x14ac:dyDescent="0.25">
      <c r="AA1048570" s="28"/>
    </row>
    <row r="1048571" spans="27:27" x14ac:dyDescent="0.25">
      <c r="AA1048571" s="29"/>
    </row>
    <row r="1048572" spans="27:27" x14ac:dyDescent="0.25">
      <c r="AA1048572" s="30"/>
    </row>
    <row r="1048573" spans="27:27" x14ac:dyDescent="0.25">
      <c r="AA1048573" s="29"/>
    </row>
    <row r="1048574" spans="27:27" x14ac:dyDescent="0.25">
      <c r="AA1048574" s="29"/>
    </row>
    <row r="1048575" spans="27:27" x14ac:dyDescent="0.25">
      <c r="AA1048575" s="29"/>
    </row>
  </sheetData>
  <mergeCells count="30">
    <mergeCell ref="A40:A41"/>
    <mergeCell ref="A27:A28"/>
    <mergeCell ref="A42:A52"/>
    <mergeCell ref="A36:A37"/>
    <mergeCell ref="C38:C39"/>
    <mergeCell ref="B36:B39"/>
    <mergeCell ref="A38:A39"/>
    <mergeCell ref="C49:C51"/>
    <mergeCell ref="B40:B41"/>
    <mergeCell ref="A14:A15"/>
    <mergeCell ref="B14:B15"/>
    <mergeCell ref="C14:C15"/>
    <mergeCell ref="C10:C11"/>
    <mergeCell ref="B9:B12"/>
    <mergeCell ref="A8:A12"/>
    <mergeCell ref="B16:B19"/>
    <mergeCell ref="A16:A19"/>
    <mergeCell ref="B21:B22"/>
    <mergeCell ref="A20:A26"/>
    <mergeCell ref="A30:A32"/>
    <mergeCell ref="W1:AA1"/>
    <mergeCell ref="Z2:AA2"/>
    <mergeCell ref="Y3:AA3"/>
    <mergeCell ref="A6:K6"/>
    <mergeCell ref="G7:H7"/>
    <mergeCell ref="D49:D51"/>
    <mergeCell ref="B49:B52"/>
    <mergeCell ref="B42:B48"/>
    <mergeCell ref="C42:C48"/>
    <mergeCell ref="D46:D4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048574"/>
  <sheetViews>
    <sheetView topLeftCell="D2" zoomScale="80" zoomScaleNormal="80" workbookViewId="0">
      <pane xSplit="2" ySplit="7" topLeftCell="F9" activePane="bottomRight" state="frozen"/>
      <selection activeCell="D2" sqref="D2"/>
      <selection pane="topRight" activeCell="F2" sqref="F2"/>
      <selection pane="bottomLeft" activeCell="D8" sqref="D8"/>
      <selection pane="bottomRight" activeCell="G4" sqref="G4"/>
    </sheetView>
  </sheetViews>
  <sheetFormatPr baseColWidth="10" defaultRowHeight="15" x14ac:dyDescent="0.25"/>
  <cols>
    <col min="1" max="1" width="26.28515625" customWidth="1"/>
    <col min="2" max="2" width="27" customWidth="1"/>
    <col min="3" max="3" width="15.140625" customWidth="1"/>
    <col min="4" max="4" width="16.42578125" customWidth="1"/>
    <col min="5" max="5" width="38.5703125" bestFit="1" customWidth="1"/>
    <col min="6" max="6" width="14.140625" customWidth="1"/>
    <col min="7" max="7" width="11.7109375" bestFit="1" customWidth="1"/>
    <col min="8" max="8" width="12" bestFit="1" customWidth="1"/>
    <col min="9" max="9" width="9.140625" customWidth="1"/>
    <col min="10" max="10" width="18.140625" customWidth="1"/>
    <col min="11" max="11" width="23.85546875" customWidth="1"/>
    <col min="12" max="12" width="6.7109375" bestFit="1" customWidth="1"/>
    <col min="13" max="13" width="8.42578125" bestFit="1" customWidth="1"/>
    <col min="14" max="14" width="7.140625" customWidth="1"/>
    <col min="15" max="15" width="15.7109375" customWidth="1"/>
    <col min="16" max="16" width="9" customWidth="1"/>
    <col min="17" max="17" width="7.5703125" customWidth="1"/>
    <col min="18" max="18" width="9.5703125" customWidth="1"/>
    <col min="19" max="19" width="12.7109375" customWidth="1"/>
    <col min="20" max="20" width="7" customWidth="1"/>
    <col min="21" max="21" width="7.85546875" customWidth="1"/>
    <col min="22" max="22" width="11.140625" customWidth="1"/>
    <col min="24" max="24" width="8.7109375" customWidth="1"/>
    <col min="25" max="25" width="11" customWidth="1"/>
    <col min="26" max="26" width="10" customWidth="1"/>
    <col min="27" max="27" width="12.28515625" bestFit="1" customWidth="1"/>
  </cols>
  <sheetData>
    <row r="1" spans="1:27" x14ac:dyDescent="0.25">
      <c r="G1" s="205" t="s">
        <v>228</v>
      </c>
      <c r="H1" s="205"/>
      <c r="I1" s="205"/>
      <c r="J1" s="205"/>
      <c r="K1" s="205"/>
    </row>
    <row r="2" spans="1:27" x14ac:dyDescent="0.25">
      <c r="G2" s="179"/>
      <c r="H2" s="179"/>
      <c r="I2" s="179"/>
      <c r="J2" s="179"/>
      <c r="K2" s="179"/>
      <c r="W2" s="192" t="s">
        <v>228</v>
      </c>
      <c r="X2" s="192"/>
      <c r="Y2" s="192"/>
      <c r="Z2" s="192"/>
      <c r="AA2" s="192"/>
    </row>
    <row r="3" spans="1:27" x14ac:dyDescent="0.25">
      <c r="G3" s="116"/>
      <c r="H3" s="116"/>
      <c r="I3" s="116"/>
      <c r="K3" s="179"/>
      <c r="W3" s="115"/>
      <c r="X3" s="115"/>
      <c r="Y3" s="115"/>
      <c r="Z3" s="192" t="s">
        <v>0</v>
      </c>
      <c r="AA3" s="192"/>
    </row>
    <row r="4" spans="1:27" x14ac:dyDescent="0.25">
      <c r="G4" s="115"/>
      <c r="H4" s="115"/>
      <c r="I4" s="181"/>
      <c r="J4" s="181"/>
      <c r="K4" s="180"/>
      <c r="W4" s="115"/>
      <c r="X4" s="115"/>
      <c r="Y4" s="192" t="s">
        <v>340</v>
      </c>
      <c r="Z4" s="192"/>
      <c r="AA4" s="192"/>
    </row>
    <row r="5" spans="1:27" x14ac:dyDescent="0.25">
      <c r="K5" s="1"/>
    </row>
    <row r="6" spans="1:27" x14ac:dyDescent="0.25">
      <c r="K6" s="1"/>
    </row>
    <row r="7" spans="1:27" s="43" customFormat="1" ht="12.75" x14ac:dyDescent="0.2">
      <c r="A7" s="216" t="s">
        <v>92</v>
      </c>
      <c r="B7" s="217"/>
      <c r="C7" s="217"/>
      <c r="D7" s="217"/>
      <c r="E7" s="217"/>
      <c r="F7" s="217"/>
      <c r="G7" s="217"/>
      <c r="H7" s="217"/>
      <c r="I7" s="217"/>
      <c r="J7" s="217"/>
      <c r="K7" s="218"/>
    </row>
    <row r="8" spans="1:27" s="43" customFormat="1" ht="25.5" x14ac:dyDescent="0.2">
      <c r="A8" s="2" t="s">
        <v>70</v>
      </c>
      <c r="B8" s="2" t="s">
        <v>1</v>
      </c>
      <c r="C8" s="2" t="s">
        <v>97</v>
      </c>
      <c r="D8" s="2" t="s">
        <v>2</v>
      </c>
      <c r="E8" s="2" t="s">
        <v>3</v>
      </c>
      <c r="F8" s="2" t="s">
        <v>4</v>
      </c>
      <c r="G8" s="234" t="s">
        <v>7</v>
      </c>
      <c r="H8" s="235"/>
      <c r="I8" s="2" t="s">
        <v>8</v>
      </c>
      <c r="J8" s="2" t="s">
        <v>5</v>
      </c>
      <c r="K8" s="2" t="s">
        <v>6</v>
      </c>
      <c r="L8" s="44" t="s">
        <v>94</v>
      </c>
      <c r="M8" s="44" t="s">
        <v>95</v>
      </c>
      <c r="N8" s="44" t="s">
        <v>96</v>
      </c>
      <c r="O8" s="44" t="s">
        <v>203</v>
      </c>
      <c r="P8" s="44" t="s">
        <v>163</v>
      </c>
      <c r="Q8" s="44" t="s">
        <v>164</v>
      </c>
      <c r="R8" s="44" t="s">
        <v>165</v>
      </c>
      <c r="S8" s="44" t="s">
        <v>203</v>
      </c>
      <c r="T8" s="44" t="s">
        <v>166</v>
      </c>
      <c r="U8" s="44" t="s">
        <v>167</v>
      </c>
      <c r="V8" s="44" t="s">
        <v>168</v>
      </c>
      <c r="W8" s="44" t="s">
        <v>203</v>
      </c>
      <c r="X8" s="44" t="s">
        <v>169</v>
      </c>
      <c r="Y8" s="44" t="s">
        <v>170</v>
      </c>
      <c r="Z8" s="44" t="s">
        <v>171</v>
      </c>
      <c r="AA8" s="44" t="s">
        <v>203</v>
      </c>
    </row>
    <row r="9" spans="1:27" s="43" customFormat="1" ht="72" customHeight="1" x14ac:dyDescent="0.2">
      <c r="A9" s="204" t="s">
        <v>9</v>
      </c>
      <c r="B9" s="39" t="s">
        <v>98</v>
      </c>
      <c r="C9" s="39" t="s">
        <v>115</v>
      </c>
      <c r="D9" s="34" t="s">
        <v>180</v>
      </c>
      <c r="E9" s="35" t="s">
        <v>181</v>
      </c>
      <c r="F9" s="35" t="s">
        <v>27</v>
      </c>
      <c r="G9" s="63" t="s">
        <v>80</v>
      </c>
      <c r="H9" s="45">
        <v>0.3</v>
      </c>
      <c r="I9" s="36">
        <v>0.6</v>
      </c>
      <c r="J9" s="46" t="s">
        <v>31</v>
      </c>
      <c r="K9" s="101" t="s">
        <v>82</v>
      </c>
      <c r="L9" s="47"/>
      <c r="M9" s="47"/>
      <c r="N9" s="48">
        <f>23/35</f>
        <v>0.65714285714285714</v>
      </c>
      <c r="O9" s="48">
        <v>0.66</v>
      </c>
      <c r="P9" s="47"/>
      <c r="Q9" s="47"/>
      <c r="R9" s="48">
        <f>47/65</f>
        <v>0.72307692307692306</v>
      </c>
      <c r="S9" s="107">
        <v>0.72</v>
      </c>
      <c r="T9" s="47"/>
      <c r="U9" s="47"/>
      <c r="V9" s="48">
        <f>60/90</f>
        <v>0.66666666666666663</v>
      </c>
      <c r="W9" s="121">
        <f>60/90</f>
        <v>0.66666666666666663</v>
      </c>
      <c r="X9" s="47"/>
      <c r="Y9" s="47"/>
      <c r="Z9" s="122">
        <v>1</v>
      </c>
      <c r="AA9" s="122">
        <f>SUM(Z9+W9+S9+O9)/4</f>
        <v>0.76166666666666671</v>
      </c>
    </row>
    <row r="10" spans="1:27" s="43" customFormat="1" ht="72" customHeight="1" x14ac:dyDescent="0.2">
      <c r="A10" s="204"/>
      <c r="B10" s="222" t="s">
        <v>99</v>
      </c>
      <c r="C10" s="39" t="s">
        <v>117</v>
      </c>
      <c r="D10" s="34" t="s">
        <v>12</v>
      </c>
      <c r="E10" s="32" t="s">
        <v>74</v>
      </c>
      <c r="F10" s="32" t="s">
        <v>10</v>
      </c>
      <c r="G10" s="32" t="s">
        <v>75</v>
      </c>
      <c r="H10" s="32">
        <v>13</v>
      </c>
      <c r="I10" s="14">
        <v>11</v>
      </c>
      <c r="J10" s="46" t="s">
        <v>31</v>
      </c>
      <c r="K10" s="32" t="s">
        <v>82</v>
      </c>
      <c r="L10" s="102">
        <f>+(1*200000/51336)</f>
        <v>3.8959015116097864</v>
      </c>
      <c r="M10" s="102">
        <f>+(2*200000/46992)</f>
        <v>8.5120871637725575</v>
      </c>
      <c r="N10" s="102">
        <f>+(2*200000/51048)</f>
        <v>7.8357624196834355</v>
      </c>
      <c r="O10" s="102">
        <f>AVERAGE(L10:N10)</f>
        <v>6.7479170316885932</v>
      </c>
      <c r="P10" s="102">
        <f>+(3*200000/50600)</f>
        <v>11.857707509881424</v>
      </c>
      <c r="Q10" s="102">
        <f>+(3*200000/(248*8*25))</f>
        <v>12.096774193548388</v>
      </c>
      <c r="R10" s="102">
        <f>+(2*200000/(250*8*25))</f>
        <v>8</v>
      </c>
      <c r="S10" s="108">
        <f>SUM(L10+M10+N10+P10+Q10+R10)/6</f>
        <v>8.6997054664159332</v>
      </c>
      <c r="T10" s="102">
        <f>+(1*200000/(244*8*25))</f>
        <v>4.0983606557377046</v>
      </c>
      <c r="U10" s="102">
        <f>+(1*200000/(252*8*25))</f>
        <v>3.9682539682539684</v>
      </c>
      <c r="V10" s="102">
        <f>+(2*200000/(256*8*25))</f>
        <v>7.8125</v>
      </c>
      <c r="W10" s="108">
        <f>SUM(L10+M10+N10+P10+Q10+R10+T10+U10+V10)/9</f>
        <v>7.5641497136096962</v>
      </c>
      <c r="X10" s="102">
        <f>+(0*200000/(258*8*25))</f>
        <v>0</v>
      </c>
      <c r="Y10" s="102">
        <f>(3*200000)/(8*24*254)</f>
        <v>12.303149606299213</v>
      </c>
      <c r="Z10" s="102">
        <f>+(0*200000/(258*8*25))</f>
        <v>0</v>
      </c>
      <c r="AA10" s="109">
        <f>SUM(L10+M10+N10+P10+Q10+R10+T10+U10+V10+X10+Y10+Z10)/12</f>
        <v>6.6983747523988733</v>
      </c>
    </row>
    <row r="11" spans="1:27" s="43" customFormat="1" ht="38.25" x14ac:dyDescent="0.2">
      <c r="A11" s="204"/>
      <c r="B11" s="222"/>
      <c r="C11" s="212" t="s">
        <v>116</v>
      </c>
      <c r="D11" s="34" t="s">
        <v>155</v>
      </c>
      <c r="E11" s="32" t="s">
        <v>73</v>
      </c>
      <c r="F11" s="32" t="s">
        <v>10</v>
      </c>
      <c r="G11" s="32" t="s">
        <v>75</v>
      </c>
      <c r="H11" s="32">
        <v>10</v>
      </c>
      <c r="I11" s="14">
        <v>6</v>
      </c>
      <c r="J11" s="46" t="s">
        <v>31</v>
      </c>
      <c r="K11" s="32" t="s">
        <v>82</v>
      </c>
      <c r="L11" s="102">
        <f>+(0*200000/51336)</f>
        <v>0</v>
      </c>
      <c r="M11" s="102">
        <f>+(1*200000/46992)</f>
        <v>4.2560435818862787</v>
      </c>
      <c r="N11" s="102">
        <f>+(1*200000/51408)</f>
        <v>3.8904450669156549</v>
      </c>
      <c r="O11" s="102">
        <f>AVERAGE(L11:N11)</f>
        <v>2.7154962162673115</v>
      </c>
      <c r="P11" s="102">
        <f>+(0*200000/50600)</f>
        <v>0</v>
      </c>
      <c r="Q11" s="102">
        <f>+(0*200000/(248*8*25))</f>
        <v>0</v>
      </c>
      <c r="R11" s="102">
        <f>+(2*200000/(250*8*25))</f>
        <v>8</v>
      </c>
      <c r="S11" s="109">
        <f>SUM(L11+M11+N11+P11+Q11+R11)/6</f>
        <v>2.6910814414669892</v>
      </c>
      <c r="T11" s="102">
        <f>+(1*200000/(244*8*25))</f>
        <v>4.0983606557377046</v>
      </c>
      <c r="U11" s="102">
        <f>+(1*200000/(252*8*25))</f>
        <v>3.9682539682539684</v>
      </c>
      <c r="V11" s="102">
        <f>+(1*200000/(256*8*25))</f>
        <v>3.90625</v>
      </c>
      <c r="W11" s="109">
        <f>SUM(L11+M11+N11+P11+Q11+R11+T11+U11+V11)/9</f>
        <v>3.1243725858659563</v>
      </c>
      <c r="X11" s="102">
        <f>+(1*200000/(256*8*25))</f>
        <v>3.90625</v>
      </c>
      <c r="Y11" s="102">
        <f>(1*200000)/(8*24*254)</f>
        <v>4.1010498687664043</v>
      </c>
      <c r="Z11" s="102">
        <f>+(0*200000/(258*8*25))</f>
        <v>0</v>
      </c>
      <c r="AA11" s="109">
        <f>SUM(L11+M11+N11+P11+Q11+R11+T11+U11+V11+X11+Y11+Z11)/12</f>
        <v>3.0105544284633337</v>
      </c>
    </row>
    <row r="12" spans="1:27" s="43" customFormat="1" ht="68.25" customHeight="1" x14ac:dyDescent="0.2">
      <c r="A12" s="204"/>
      <c r="B12" s="222"/>
      <c r="C12" s="221"/>
      <c r="D12" s="25" t="s">
        <v>14</v>
      </c>
      <c r="E12" s="32" t="s">
        <v>93</v>
      </c>
      <c r="F12" s="32" t="s">
        <v>20</v>
      </c>
      <c r="G12" s="32" t="s">
        <v>79</v>
      </c>
      <c r="H12" s="32">
        <v>-17</v>
      </c>
      <c r="I12" s="23">
        <v>-0.2</v>
      </c>
      <c r="J12" s="46" t="s">
        <v>31</v>
      </c>
      <c r="K12" s="32" t="s">
        <v>82</v>
      </c>
      <c r="L12" s="48">
        <f>(1-2)/2</f>
        <v>-0.5</v>
      </c>
      <c r="M12" s="48">
        <f>(1-1)/1</f>
        <v>0</v>
      </c>
      <c r="N12" s="48">
        <f>(1-2)/2</f>
        <v>-0.5</v>
      </c>
      <c r="O12" s="49">
        <f>AVERAGE(L12:N12)</f>
        <v>-0.33333333333333331</v>
      </c>
      <c r="P12" s="47">
        <v>0</v>
      </c>
      <c r="Q12" s="48">
        <f>(1-3)/3</f>
        <v>-0.66666666666666663</v>
      </c>
      <c r="R12" s="48">
        <f>(2-2)/2</f>
        <v>0</v>
      </c>
      <c r="S12" s="109">
        <f>AVERAGE(L12+M12+N12+P12+Q12+R12)</f>
        <v>-1.6666666666666665</v>
      </c>
      <c r="T12" s="48">
        <f>(1-4)/4</f>
        <v>-0.75</v>
      </c>
      <c r="U12" s="48">
        <f>(1-1)/1</f>
        <v>0</v>
      </c>
      <c r="V12" s="48">
        <f>(1-0)/1</f>
        <v>1</v>
      </c>
      <c r="W12" s="109">
        <f>AVERAGE(L12+M12+N12+P12+Q12+R12+T12+U12+V12)</f>
        <v>-1.4166666666666665</v>
      </c>
      <c r="X12" s="48">
        <f>(1-0)/1</f>
        <v>1</v>
      </c>
      <c r="Y12" s="48">
        <f>(1-5)/5</f>
        <v>-0.8</v>
      </c>
      <c r="Z12" s="48">
        <f>(1-1)/1</f>
        <v>0</v>
      </c>
      <c r="AA12" s="109">
        <f>AVERAGE(L12+M12+N12+P12+Q12+R12+T12+U12+V12+X12+Y12+Z12)</f>
        <v>-1.2166666666666666</v>
      </c>
    </row>
    <row r="13" spans="1:27" s="43" customFormat="1" ht="38.25" customHeight="1" x14ac:dyDescent="0.2">
      <c r="A13" s="3" t="s">
        <v>217</v>
      </c>
      <c r="B13" s="222"/>
      <c r="C13" s="213"/>
      <c r="D13" s="223" t="s">
        <v>13</v>
      </c>
      <c r="E13" s="208" t="s">
        <v>72</v>
      </c>
      <c r="F13" s="208" t="s">
        <v>10</v>
      </c>
      <c r="G13" s="208" t="s">
        <v>75</v>
      </c>
      <c r="H13" s="208">
        <v>51</v>
      </c>
      <c r="I13" s="210">
        <v>41</v>
      </c>
      <c r="J13" s="212" t="s">
        <v>31</v>
      </c>
      <c r="K13" s="208" t="s">
        <v>82</v>
      </c>
      <c r="L13" s="214">
        <f>(0*200000)/51336</f>
        <v>0</v>
      </c>
      <c r="M13" s="206">
        <f>(28*200000)/46992</f>
        <v>119.16922029281579</v>
      </c>
      <c r="N13" s="206">
        <f>(5*200000)/51408</f>
        <v>19.452225334578277</v>
      </c>
      <c r="O13" s="206">
        <f>AVERAGE(L13:N13)</f>
        <v>46.207148542464694</v>
      </c>
      <c r="P13" s="206">
        <f>+(0*200000/50600)</f>
        <v>0</v>
      </c>
      <c r="Q13" s="206">
        <f>+(0*200000/(248*8*25))</f>
        <v>0</v>
      </c>
      <c r="R13" s="206">
        <f>+(0*200000/(250*8*25))</f>
        <v>0</v>
      </c>
      <c r="S13" s="219">
        <f>SUM(L13+M13+N13+P13+Q13+R13)/6</f>
        <v>23.103574271232347</v>
      </c>
      <c r="T13" s="206">
        <f>+(0*200000/(244*8*25))</f>
        <v>0</v>
      </c>
      <c r="U13" s="206">
        <f>+(0*200000/(252*8*25))</f>
        <v>0</v>
      </c>
      <c r="V13" s="206">
        <f>(4*200000)/(256*8*25)</f>
        <v>15.625</v>
      </c>
      <c r="W13" s="219">
        <f>(L13+M13+N13+P13+Q13+R13+T13+U13+V13)/9</f>
        <v>17.138493958599341</v>
      </c>
      <c r="X13" s="206">
        <f>(7*200000)/(256*8*25)</f>
        <v>27.34375</v>
      </c>
      <c r="Y13" s="206">
        <f>(0*200000)/(8*24*254)</f>
        <v>0</v>
      </c>
      <c r="Z13" s="206">
        <v>0</v>
      </c>
      <c r="AA13" s="219">
        <f>(L13+M13+N13+P13+Q13+R13+T13+U13+V13+X13+Y13+Z13)/12</f>
        <v>15.13251630228284</v>
      </c>
    </row>
    <row r="14" spans="1:27" s="43" customFormat="1" ht="76.5" customHeight="1" x14ac:dyDescent="0.2">
      <c r="A14" s="65" t="s">
        <v>150</v>
      </c>
      <c r="B14" s="64" t="s">
        <v>113</v>
      </c>
      <c r="C14" s="63" t="s">
        <v>177</v>
      </c>
      <c r="D14" s="224"/>
      <c r="E14" s="209"/>
      <c r="F14" s="209"/>
      <c r="G14" s="209"/>
      <c r="H14" s="209"/>
      <c r="I14" s="211"/>
      <c r="J14" s="213"/>
      <c r="K14" s="209"/>
      <c r="L14" s="215"/>
      <c r="M14" s="215"/>
      <c r="N14" s="207"/>
      <c r="O14" s="207"/>
      <c r="P14" s="207"/>
      <c r="Q14" s="207"/>
      <c r="R14" s="207"/>
      <c r="S14" s="220"/>
      <c r="T14" s="207"/>
      <c r="U14" s="207"/>
      <c r="V14" s="207"/>
      <c r="W14" s="220"/>
      <c r="X14" s="207"/>
      <c r="Y14" s="207"/>
      <c r="Z14" s="207"/>
      <c r="AA14" s="220"/>
    </row>
    <row r="15" spans="1:27" s="43" customFormat="1" ht="127.5" x14ac:dyDescent="0.2">
      <c r="A15" s="21" t="s">
        <v>118</v>
      </c>
      <c r="B15" s="39" t="s">
        <v>100</v>
      </c>
      <c r="C15" s="39" t="s">
        <v>119</v>
      </c>
      <c r="D15" s="34" t="s">
        <v>15</v>
      </c>
      <c r="E15" s="32" t="s">
        <v>16</v>
      </c>
      <c r="F15" s="32" t="s">
        <v>17</v>
      </c>
      <c r="G15" s="32" t="s">
        <v>79</v>
      </c>
      <c r="H15" s="40">
        <v>0.85</v>
      </c>
      <c r="I15" s="23">
        <v>1</v>
      </c>
      <c r="J15" s="32" t="s">
        <v>31</v>
      </c>
      <c r="K15" s="32" t="s">
        <v>83</v>
      </c>
      <c r="L15" s="47"/>
      <c r="M15" s="47"/>
      <c r="N15" s="47"/>
      <c r="O15" s="47"/>
      <c r="P15" s="47"/>
      <c r="Q15" s="47"/>
      <c r="R15" s="59">
        <v>0.85</v>
      </c>
      <c r="S15" s="107">
        <v>0.85</v>
      </c>
      <c r="T15" s="47"/>
      <c r="U15" s="47"/>
      <c r="V15" s="62">
        <v>0.85</v>
      </c>
      <c r="W15" s="107">
        <v>0.85</v>
      </c>
      <c r="X15" s="47"/>
      <c r="Y15" s="47"/>
      <c r="Z15" s="48">
        <v>1</v>
      </c>
      <c r="AA15" s="112">
        <v>1</v>
      </c>
    </row>
    <row r="16" spans="1:27" s="43" customFormat="1" ht="102" customHeight="1" x14ac:dyDescent="0.2">
      <c r="A16" s="208" t="s">
        <v>18</v>
      </c>
      <c r="B16" s="212" t="s">
        <v>101</v>
      </c>
      <c r="C16" s="212" t="s">
        <v>120</v>
      </c>
      <c r="D16" s="34" t="s">
        <v>19</v>
      </c>
      <c r="E16" s="32" t="s">
        <v>158</v>
      </c>
      <c r="F16" s="32" t="s">
        <v>20</v>
      </c>
      <c r="G16" s="32" t="s">
        <v>79</v>
      </c>
      <c r="H16" s="40">
        <v>0.5</v>
      </c>
      <c r="I16" s="23">
        <v>0.7</v>
      </c>
      <c r="J16" s="32" t="s">
        <v>81</v>
      </c>
      <c r="K16" s="32" t="s">
        <v>84</v>
      </c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s="43" customFormat="1" ht="38.25" x14ac:dyDescent="0.2">
      <c r="A17" s="209"/>
      <c r="B17" s="213"/>
      <c r="C17" s="213"/>
      <c r="D17" s="25" t="s">
        <v>156</v>
      </c>
      <c r="E17" s="32" t="s">
        <v>157</v>
      </c>
      <c r="F17" s="32" t="s">
        <v>17</v>
      </c>
      <c r="G17" s="32" t="s">
        <v>79</v>
      </c>
      <c r="H17" s="50">
        <v>0.5</v>
      </c>
      <c r="I17" s="50">
        <v>0.6</v>
      </c>
      <c r="J17" s="32" t="s">
        <v>81</v>
      </c>
      <c r="K17" s="32" t="s">
        <v>84</v>
      </c>
      <c r="L17" s="47"/>
      <c r="M17" s="47"/>
      <c r="N17" s="47"/>
      <c r="O17" s="47"/>
      <c r="P17" s="47"/>
      <c r="Q17" s="47"/>
      <c r="R17" s="48">
        <f>19/40</f>
        <v>0.47499999999999998</v>
      </c>
      <c r="S17" s="110">
        <f>19/40</f>
        <v>0.47499999999999998</v>
      </c>
      <c r="T17" s="47"/>
      <c r="U17" s="47"/>
      <c r="V17" s="47"/>
      <c r="W17" s="47"/>
      <c r="X17" s="47"/>
      <c r="Y17" s="47"/>
      <c r="Z17" s="47"/>
      <c r="AA17" s="47"/>
    </row>
    <row r="18" spans="1:27" s="43" customFormat="1" ht="102" customHeight="1" x14ac:dyDescent="0.2">
      <c r="A18" s="208" t="s">
        <v>121</v>
      </c>
      <c r="B18" s="226" t="s">
        <v>102</v>
      </c>
      <c r="C18" s="37" t="s">
        <v>122</v>
      </c>
      <c r="D18" s="34" t="s">
        <v>182</v>
      </c>
      <c r="E18" s="32" t="s">
        <v>184</v>
      </c>
      <c r="F18" s="32" t="s">
        <v>20</v>
      </c>
      <c r="G18" s="32" t="s">
        <v>79</v>
      </c>
      <c r="H18" s="40">
        <v>0.8</v>
      </c>
      <c r="I18" s="23">
        <v>0.98</v>
      </c>
      <c r="J18" s="32" t="s">
        <v>86</v>
      </c>
      <c r="K18" s="32" t="s">
        <v>183</v>
      </c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62">
        <v>0.98</v>
      </c>
      <c r="AA18" s="122">
        <v>0.98</v>
      </c>
    </row>
    <row r="19" spans="1:27" s="43" customFormat="1" ht="25.5" x14ac:dyDescent="0.2">
      <c r="A19" s="225"/>
      <c r="B19" s="227"/>
      <c r="C19" s="37" t="s">
        <v>123</v>
      </c>
      <c r="D19" s="34" t="s">
        <v>185</v>
      </c>
      <c r="E19" s="32" t="s">
        <v>186</v>
      </c>
      <c r="F19" s="32" t="s">
        <v>17</v>
      </c>
      <c r="G19" s="32" t="s">
        <v>79</v>
      </c>
      <c r="H19" s="40">
        <v>0.9</v>
      </c>
      <c r="I19" s="23">
        <v>0.98</v>
      </c>
      <c r="J19" s="32" t="s">
        <v>86</v>
      </c>
      <c r="K19" s="32" t="s">
        <v>183</v>
      </c>
      <c r="L19" s="49"/>
      <c r="M19" s="49"/>
      <c r="N19" s="49"/>
      <c r="O19" s="49"/>
      <c r="P19" s="47"/>
      <c r="Q19" s="47"/>
      <c r="R19" s="47"/>
      <c r="S19" s="47">
        <v>0</v>
      </c>
      <c r="T19" s="47"/>
      <c r="U19" s="47"/>
      <c r="V19" s="47"/>
      <c r="W19" s="47"/>
      <c r="X19" s="47"/>
      <c r="Y19" s="47"/>
      <c r="Z19" s="121">
        <f>1/71</f>
        <v>1.4084507042253521E-2</v>
      </c>
      <c r="AA19" s="121">
        <f>1/71</f>
        <v>1.4084507042253521E-2</v>
      </c>
    </row>
    <row r="20" spans="1:27" s="43" customFormat="1" ht="25.5" x14ac:dyDescent="0.2">
      <c r="A20" s="209"/>
      <c r="B20" s="228"/>
      <c r="C20" s="37" t="s">
        <v>124</v>
      </c>
      <c r="D20" s="34" t="s">
        <v>188</v>
      </c>
      <c r="E20" s="32" t="s">
        <v>187</v>
      </c>
      <c r="F20" s="32" t="s">
        <v>17</v>
      </c>
      <c r="G20" s="32" t="s">
        <v>79</v>
      </c>
      <c r="H20" s="40">
        <v>0.9</v>
      </c>
      <c r="I20" s="23">
        <v>0.98</v>
      </c>
      <c r="J20" s="32" t="s">
        <v>86</v>
      </c>
      <c r="K20" s="32" t="s">
        <v>183</v>
      </c>
      <c r="L20" s="47"/>
      <c r="M20" s="47"/>
      <c r="N20" s="47"/>
      <c r="O20" s="47"/>
      <c r="P20" s="47"/>
      <c r="Q20" s="47"/>
      <c r="R20" s="47"/>
      <c r="S20" s="47">
        <v>0</v>
      </c>
      <c r="T20" s="47"/>
      <c r="U20" s="47"/>
      <c r="V20" s="47"/>
      <c r="W20" s="47"/>
      <c r="X20" s="47"/>
      <c r="Y20" s="47"/>
      <c r="Z20" s="47"/>
      <c r="AA20" s="47"/>
    </row>
    <row r="21" spans="1:27" s="43" customFormat="1" ht="76.5" customHeight="1" x14ac:dyDescent="0.2">
      <c r="A21" s="229" t="s">
        <v>125</v>
      </c>
      <c r="B21" s="39" t="s">
        <v>103</v>
      </c>
      <c r="C21" s="39" t="s">
        <v>190</v>
      </c>
      <c r="D21" s="34" t="s">
        <v>191</v>
      </c>
      <c r="E21" s="32" t="s">
        <v>189</v>
      </c>
      <c r="F21" s="32" t="s">
        <v>17</v>
      </c>
      <c r="G21" s="32" t="s">
        <v>79</v>
      </c>
      <c r="H21" s="40">
        <v>0.5</v>
      </c>
      <c r="I21" s="23">
        <v>0.7</v>
      </c>
      <c r="J21" s="3" t="s">
        <v>81</v>
      </c>
      <c r="K21" s="32" t="s">
        <v>85</v>
      </c>
      <c r="L21" s="47"/>
      <c r="M21" s="47"/>
      <c r="N21" s="47"/>
      <c r="O21" s="47"/>
      <c r="P21" s="47"/>
      <c r="Q21" s="47"/>
      <c r="R21" s="47"/>
      <c r="S21" s="47">
        <v>50</v>
      </c>
      <c r="T21" s="47"/>
      <c r="U21" s="47"/>
      <c r="V21" s="47">
        <v>0</v>
      </c>
      <c r="W21" s="47">
        <v>0</v>
      </c>
      <c r="X21" s="47"/>
      <c r="Y21" s="47"/>
      <c r="Z21" s="47"/>
      <c r="AA21" s="48"/>
    </row>
    <row r="22" spans="1:27" s="43" customFormat="1" ht="38.25" x14ac:dyDescent="0.2">
      <c r="A22" s="230"/>
      <c r="B22" s="39" t="s">
        <v>104</v>
      </c>
      <c r="C22" s="39" t="s">
        <v>126</v>
      </c>
      <c r="D22" s="25" t="s">
        <v>172</v>
      </c>
      <c r="E22" s="32" t="s">
        <v>173</v>
      </c>
      <c r="F22" s="32" t="s">
        <v>17</v>
      </c>
      <c r="G22" s="32" t="s">
        <v>75</v>
      </c>
      <c r="H22" s="4">
        <v>1</v>
      </c>
      <c r="I22" s="4">
        <v>0</v>
      </c>
      <c r="J22" s="32" t="s">
        <v>31</v>
      </c>
      <c r="K22" s="32" t="s">
        <v>83</v>
      </c>
      <c r="L22" s="47"/>
      <c r="M22" s="47"/>
      <c r="N22" s="47"/>
      <c r="O22" s="47"/>
      <c r="P22" s="47"/>
      <c r="Q22" s="47"/>
      <c r="R22" s="47">
        <v>0</v>
      </c>
      <c r="S22" s="111">
        <v>0</v>
      </c>
      <c r="T22" s="47"/>
      <c r="U22" s="47"/>
      <c r="V22" s="47">
        <v>0</v>
      </c>
      <c r="W22" s="47">
        <v>0</v>
      </c>
      <c r="X22" s="47"/>
      <c r="Y22" s="47"/>
      <c r="Z22" s="47"/>
      <c r="AA22" s="47"/>
    </row>
    <row r="23" spans="1:27" s="43" customFormat="1" ht="63.75" x14ac:dyDescent="0.2">
      <c r="A23" s="230"/>
      <c r="B23" s="39" t="s">
        <v>98</v>
      </c>
      <c r="C23" s="39" t="s">
        <v>128</v>
      </c>
      <c r="D23" s="39" t="s">
        <v>180</v>
      </c>
      <c r="E23" s="35" t="s">
        <v>162</v>
      </c>
      <c r="F23" s="35" t="s">
        <v>27</v>
      </c>
      <c r="G23" s="63" t="s">
        <v>80</v>
      </c>
      <c r="H23" s="63">
        <v>30</v>
      </c>
      <c r="I23" s="35">
        <v>60</v>
      </c>
      <c r="J23" s="34" t="s">
        <v>31</v>
      </c>
      <c r="K23" s="104" t="s">
        <v>82</v>
      </c>
      <c r="L23" s="47"/>
      <c r="M23" s="47"/>
      <c r="N23" s="48">
        <f>23/35</f>
        <v>0.65714285714285714</v>
      </c>
      <c r="O23" s="48"/>
      <c r="P23" s="47"/>
      <c r="Q23" s="47"/>
      <c r="R23" s="62">
        <v>0.72</v>
      </c>
      <c r="S23" s="107">
        <v>0.72</v>
      </c>
      <c r="T23" s="47"/>
      <c r="U23" s="47"/>
      <c r="V23" s="62">
        <v>0.67</v>
      </c>
      <c r="W23" s="62">
        <v>0.67</v>
      </c>
      <c r="X23" s="47"/>
      <c r="Y23" s="47"/>
      <c r="Z23" s="47"/>
      <c r="AA23" s="52"/>
    </row>
    <row r="24" spans="1:27" s="43" customFormat="1" ht="63.75" customHeight="1" x14ac:dyDescent="0.2">
      <c r="A24" s="231"/>
      <c r="B24" s="39" t="s">
        <v>226</v>
      </c>
      <c r="C24" s="39" t="s">
        <v>127</v>
      </c>
      <c r="D24" s="39" t="s">
        <v>192</v>
      </c>
      <c r="E24" s="32" t="s">
        <v>225</v>
      </c>
      <c r="F24" s="32" t="s">
        <v>10</v>
      </c>
      <c r="G24" s="32" t="s">
        <v>79</v>
      </c>
      <c r="H24" s="23">
        <v>0.01</v>
      </c>
      <c r="I24" s="23">
        <v>0.04</v>
      </c>
      <c r="J24" s="34" t="s">
        <v>31</v>
      </c>
      <c r="K24" s="104" t="s">
        <v>82</v>
      </c>
      <c r="L24" s="106">
        <f>311/51336</f>
        <v>6.0581268505532178E-3</v>
      </c>
      <c r="M24" s="106">
        <f>482/46992</f>
        <v>1.0257065032345931E-2</v>
      </c>
      <c r="N24" s="106">
        <f>355/51168</f>
        <v>6.9379299562226391E-3</v>
      </c>
      <c r="O24" s="106">
        <f>AVERAGE(L24:N24)</f>
        <v>7.7510406130405956E-3</v>
      </c>
      <c r="P24" s="106">
        <f>204/50600</f>
        <v>4.0316205533596841E-3</v>
      </c>
      <c r="Q24" s="106">
        <f>206/49689</f>
        <v>4.1457867938577957E-3</v>
      </c>
      <c r="R24" s="106">
        <f>223/50000</f>
        <v>4.4600000000000004E-3</v>
      </c>
      <c r="S24" s="112">
        <f>+(L24+M24+N24+P24+Q24+R24)/6</f>
        <v>5.981754864389878E-3</v>
      </c>
      <c r="T24" s="106">
        <f>305/51168</f>
        <v>5.9607567229518453E-3</v>
      </c>
      <c r="U24" s="106">
        <f>218/53664</f>
        <v>4.0623136553369112E-3</v>
      </c>
      <c r="V24" s="106">
        <f>170/53248</f>
        <v>3.192608173076923E-3</v>
      </c>
      <c r="W24" s="112">
        <f>+(L24+M24+N24+P24+Q24+R24+T24+U24+V24)/9</f>
        <v>5.4562453041894386E-3</v>
      </c>
      <c r="X24" s="47"/>
      <c r="Y24" s="47"/>
      <c r="Z24" s="47"/>
      <c r="AA24" s="52"/>
    </row>
    <row r="25" spans="1:27" s="43" customFormat="1" ht="51" x14ac:dyDescent="0.2">
      <c r="A25" s="21" t="s">
        <v>129</v>
      </c>
      <c r="B25" s="39" t="s">
        <v>105</v>
      </c>
      <c r="C25" s="39" t="s">
        <v>130</v>
      </c>
      <c r="D25" s="39" t="s">
        <v>21</v>
      </c>
      <c r="E25" s="32" t="s">
        <v>22</v>
      </c>
      <c r="F25" s="32" t="s">
        <v>17</v>
      </c>
      <c r="G25" s="32" t="s">
        <v>89</v>
      </c>
      <c r="H25" s="40">
        <v>0.3</v>
      </c>
      <c r="I25" s="22">
        <v>0.2</v>
      </c>
      <c r="J25" s="32" t="s">
        <v>31</v>
      </c>
      <c r="K25" s="32" t="s">
        <v>82</v>
      </c>
      <c r="L25" s="51"/>
      <c r="M25" s="51"/>
      <c r="N25" s="51"/>
      <c r="O25" s="51"/>
      <c r="P25" s="51"/>
      <c r="Q25" s="51"/>
      <c r="R25" s="105">
        <f>3/10</f>
        <v>0.3</v>
      </c>
      <c r="S25" s="113">
        <f>3/10</f>
        <v>0.3</v>
      </c>
      <c r="T25" s="51"/>
      <c r="U25" s="51"/>
      <c r="V25" s="105">
        <f>4/12</f>
        <v>0.33333333333333331</v>
      </c>
      <c r="W25" s="105">
        <f>4/12</f>
        <v>0.33333333333333331</v>
      </c>
      <c r="X25" s="51"/>
      <c r="Y25" s="51"/>
      <c r="Z25" s="51"/>
      <c r="AA25" s="47"/>
    </row>
    <row r="26" spans="1:27" s="43" customFormat="1" ht="89.25" customHeight="1" x14ac:dyDescent="0.2">
      <c r="A26" s="21" t="s">
        <v>23</v>
      </c>
      <c r="B26" s="39" t="s">
        <v>131</v>
      </c>
      <c r="C26" s="39" t="s">
        <v>132</v>
      </c>
      <c r="D26" s="34" t="s">
        <v>24</v>
      </c>
      <c r="E26" s="32" t="s">
        <v>90</v>
      </c>
      <c r="F26" s="32" t="s">
        <v>20</v>
      </c>
      <c r="G26" s="32" t="s">
        <v>79</v>
      </c>
      <c r="H26" s="23">
        <v>0.25</v>
      </c>
      <c r="I26" s="23">
        <v>0.6</v>
      </c>
      <c r="J26" s="32" t="s">
        <v>81</v>
      </c>
      <c r="K26" s="32" t="s">
        <v>85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s="43" customFormat="1" ht="102" customHeight="1" x14ac:dyDescent="0.2">
      <c r="A27" s="212" t="s">
        <v>133</v>
      </c>
      <c r="B27" s="39" t="s">
        <v>106</v>
      </c>
      <c r="C27" s="39" t="s">
        <v>135</v>
      </c>
      <c r="D27" s="34" t="s">
        <v>25</v>
      </c>
      <c r="E27" s="32" t="s">
        <v>26</v>
      </c>
      <c r="F27" s="32" t="s">
        <v>17</v>
      </c>
      <c r="G27" s="32" t="s">
        <v>80</v>
      </c>
      <c r="H27" s="23">
        <v>0.9</v>
      </c>
      <c r="I27" s="23">
        <v>1</v>
      </c>
      <c r="J27" s="32" t="s">
        <v>86</v>
      </c>
      <c r="K27" s="32" t="s">
        <v>87</v>
      </c>
      <c r="L27" s="51" t="s">
        <v>200</v>
      </c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47"/>
    </row>
    <row r="28" spans="1:27" s="43" customFormat="1" ht="51" x14ac:dyDescent="0.2">
      <c r="A28" s="213"/>
      <c r="B28" s="39" t="s">
        <v>134</v>
      </c>
      <c r="C28" s="39" t="s">
        <v>136</v>
      </c>
      <c r="D28" s="39" t="s">
        <v>136</v>
      </c>
      <c r="E28" s="32" t="s">
        <v>199</v>
      </c>
      <c r="F28" s="32" t="s">
        <v>27</v>
      </c>
      <c r="G28" s="32" t="s">
        <v>79</v>
      </c>
      <c r="H28" s="40">
        <v>0.9</v>
      </c>
      <c r="I28" s="23">
        <v>1</v>
      </c>
      <c r="J28" s="3" t="s">
        <v>161</v>
      </c>
      <c r="K28" s="3" t="s">
        <v>161</v>
      </c>
      <c r="L28" s="47"/>
      <c r="M28" s="47"/>
      <c r="N28" s="47">
        <v>80</v>
      </c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 s="43" customFormat="1" ht="102" x14ac:dyDescent="0.2">
      <c r="A29" s="21" t="s">
        <v>137</v>
      </c>
      <c r="B29" s="37" t="s">
        <v>102</v>
      </c>
      <c r="C29" s="39" t="s">
        <v>138</v>
      </c>
      <c r="D29" s="3" t="s">
        <v>159</v>
      </c>
      <c r="E29" s="32" t="s">
        <v>160</v>
      </c>
      <c r="F29" s="100" t="s">
        <v>10</v>
      </c>
      <c r="G29" s="32" t="s">
        <v>79</v>
      </c>
      <c r="H29" s="40">
        <v>0.6</v>
      </c>
      <c r="I29" s="23">
        <v>0.7</v>
      </c>
      <c r="J29" s="32" t="s">
        <v>161</v>
      </c>
      <c r="K29" s="32" t="s">
        <v>161</v>
      </c>
      <c r="L29" s="58">
        <v>0.65</v>
      </c>
      <c r="M29" s="58">
        <v>0.65</v>
      </c>
      <c r="N29" s="58">
        <v>0.65</v>
      </c>
      <c r="O29" s="58">
        <f>AVERAGE(L29:N29)</f>
        <v>0.65</v>
      </c>
      <c r="P29" s="58">
        <v>0.71399999999999997</v>
      </c>
      <c r="Q29" s="58">
        <v>0.71</v>
      </c>
      <c r="R29" s="58">
        <v>0.68</v>
      </c>
      <c r="S29" s="112">
        <v>0.68</v>
      </c>
      <c r="T29" s="48"/>
      <c r="U29" s="48"/>
      <c r="V29" s="48"/>
      <c r="W29" s="48"/>
      <c r="X29" s="48"/>
      <c r="Y29" s="48"/>
      <c r="Z29" s="48"/>
      <c r="AA29" s="47"/>
    </row>
    <row r="30" spans="1:27" s="43" customFormat="1" ht="76.5" customHeight="1" x14ac:dyDescent="0.2">
      <c r="A30" s="21" t="s">
        <v>139</v>
      </c>
      <c r="B30" s="39" t="s">
        <v>107</v>
      </c>
      <c r="C30" s="39" t="s">
        <v>140</v>
      </c>
      <c r="D30" s="34" t="s">
        <v>193</v>
      </c>
      <c r="E30" s="53" t="s">
        <v>194</v>
      </c>
      <c r="F30" s="53" t="s">
        <v>20</v>
      </c>
      <c r="G30" s="51" t="s">
        <v>79</v>
      </c>
      <c r="H30" s="53">
        <v>8</v>
      </c>
      <c r="I30" s="53">
        <v>12</v>
      </c>
      <c r="J30" s="3" t="s">
        <v>161</v>
      </c>
      <c r="K30" s="3" t="s">
        <v>161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s="43" customFormat="1" ht="63.75" customHeight="1" x14ac:dyDescent="0.2">
      <c r="A31" s="21" t="s">
        <v>141</v>
      </c>
      <c r="B31" s="39" t="s">
        <v>108</v>
      </c>
      <c r="C31" s="39" t="s">
        <v>142</v>
      </c>
      <c r="D31" s="34" t="s">
        <v>29</v>
      </c>
      <c r="E31" s="32" t="s">
        <v>30</v>
      </c>
      <c r="F31" s="32" t="s">
        <v>20</v>
      </c>
      <c r="G31" s="32" t="s">
        <v>79</v>
      </c>
      <c r="H31" s="32">
        <v>4</v>
      </c>
      <c r="I31" s="38">
        <v>6</v>
      </c>
      <c r="J31" s="32" t="s">
        <v>11</v>
      </c>
      <c r="K31" s="32" t="s">
        <v>82</v>
      </c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s="43" customFormat="1" ht="127.5" customHeight="1" x14ac:dyDescent="0.2">
      <c r="A32" s="208" t="s">
        <v>32</v>
      </c>
      <c r="B32" s="212" t="s">
        <v>109</v>
      </c>
      <c r="C32" s="39" t="s">
        <v>144</v>
      </c>
      <c r="D32" s="34" t="s">
        <v>33</v>
      </c>
      <c r="E32" s="32" t="s">
        <v>34</v>
      </c>
      <c r="F32" s="32" t="s">
        <v>27</v>
      </c>
      <c r="G32" s="32" t="s">
        <v>79</v>
      </c>
      <c r="H32" s="40">
        <v>0.8</v>
      </c>
      <c r="I32" s="23">
        <v>1</v>
      </c>
      <c r="J32" s="65" t="s">
        <v>11</v>
      </c>
      <c r="K32" s="32" t="s">
        <v>88</v>
      </c>
      <c r="L32" s="117">
        <v>1</v>
      </c>
      <c r="M32" s="117">
        <v>0.9</v>
      </c>
      <c r="N32" s="59">
        <v>0.85</v>
      </c>
      <c r="O32" s="118"/>
      <c r="P32" s="59">
        <v>0.91</v>
      </c>
      <c r="Q32" s="59">
        <v>0.94</v>
      </c>
      <c r="R32" s="59">
        <v>1</v>
      </c>
      <c r="S32" s="53"/>
      <c r="T32" s="59">
        <v>1</v>
      </c>
      <c r="U32" s="59">
        <v>0.89</v>
      </c>
      <c r="V32" s="59">
        <v>0.89</v>
      </c>
      <c r="W32" s="53"/>
      <c r="X32" s="59">
        <v>1</v>
      </c>
      <c r="Y32" s="58">
        <v>0.88</v>
      </c>
      <c r="Z32" s="58">
        <v>1</v>
      </c>
      <c r="AA32" s="54"/>
    </row>
    <row r="33" spans="1:26" s="43" customFormat="1" ht="38.25" x14ac:dyDescent="0.2">
      <c r="A33" s="209"/>
      <c r="B33" s="221"/>
      <c r="C33" s="39" t="s">
        <v>145</v>
      </c>
      <c r="D33" s="34" t="s">
        <v>35</v>
      </c>
      <c r="E33" s="32" t="s">
        <v>36</v>
      </c>
      <c r="F33" s="32" t="s">
        <v>27</v>
      </c>
      <c r="G33" s="32"/>
      <c r="H33" s="32"/>
      <c r="I33" s="23">
        <v>0.28999999999999998</v>
      </c>
      <c r="J33" s="65" t="s">
        <v>11</v>
      </c>
      <c r="K33" s="32" t="s">
        <v>88</v>
      </c>
      <c r="L33" s="119">
        <v>0.622</v>
      </c>
      <c r="M33" s="119">
        <v>0.25900000000000001</v>
      </c>
      <c r="N33" s="119">
        <v>0.36099999999999999</v>
      </c>
      <c r="O33" s="120"/>
      <c r="P33" s="119">
        <v>0.48499999999999999</v>
      </c>
      <c r="Q33" s="119">
        <v>0.66700000000000004</v>
      </c>
      <c r="R33" s="119">
        <v>0.16200000000000001</v>
      </c>
      <c r="S33" s="119"/>
      <c r="T33" s="119">
        <v>0.13700000000000001</v>
      </c>
      <c r="U33" s="119">
        <v>0.67500000000000004</v>
      </c>
      <c r="V33" s="119">
        <v>0.30399999999999999</v>
      </c>
      <c r="W33" s="119"/>
      <c r="X33" s="119">
        <v>0.23499999999999999</v>
      </c>
      <c r="Y33" s="106">
        <v>0.35799999999999998</v>
      </c>
      <c r="Z33" s="106">
        <v>0.34100000000000003</v>
      </c>
    </row>
    <row r="34" spans="1:26" s="43" customFormat="1" ht="63.75" customHeight="1" x14ac:dyDescent="0.2">
      <c r="A34" s="208" t="s">
        <v>143</v>
      </c>
      <c r="B34" s="221"/>
      <c r="C34" s="212" t="s">
        <v>146</v>
      </c>
      <c r="D34" s="34" t="s">
        <v>37</v>
      </c>
      <c r="E34" s="53" t="s">
        <v>38</v>
      </c>
      <c r="F34" s="32" t="s">
        <v>27</v>
      </c>
      <c r="G34" s="32"/>
      <c r="H34" s="32"/>
      <c r="I34" s="23" t="s">
        <v>39</v>
      </c>
      <c r="J34" s="65" t="s">
        <v>11</v>
      </c>
      <c r="K34" s="32" t="s">
        <v>88</v>
      </c>
      <c r="L34" s="59">
        <v>0.46</v>
      </c>
      <c r="M34" s="59">
        <v>0.62</v>
      </c>
      <c r="N34" s="59">
        <v>0.69</v>
      </c>
      <c r="O34" s="59"/>
      <c r="P34" s="59">
        <v>0.62</v>
      </c>
      <c r="Q34" s="59">
        <v>0.85</v>
      </c>
      <c r="R34" s="59">
        <v>0.69</v>
      </c>
      <c r="S34" s="53"/>
      <c r="T34" s="59">
        <v>0.62</v>
      </c>
      <c r="U34" s="59">
        <v>0.62</v>
      </c>
      <c r="V34" s="59">
        <v>0.69</v>
      </c>
      <c r="W34" s="53"/>
      <c r="X34" s="59">
        <v>0.46</v>
      </c>
      <c r="Y34" s="58">
        <v>0.69</v>
      </c>
      <c r="Z34" s="58">
        <v>1</v>
      </c>
    </row>
    <row r="35" spans="1:26" s="43" customFormat="1" ht="25.5" x14ac:dyDescent="0.2">
      <c r="A35" s="209"/>
      <c r="B35" s="213"/>
      <c r="C35" s="213"/>
      <c r="D35" s="34" t="s">
        <v>40</v>
      </c>
      <c r="E35" s="53" t="s">
        <v>41</v>
      </c>
      <c r="F35" s="32" t="s">
        <v>27</v>
      </c>
      <c r="G35" s="32"/>
      <c r="H35" s="32"/>
      <c r="I35" s="14" t="s">
        <v>42</v>
      </c>
      <c r="J35" s="65" t="s">
        <v>11</v>
      </c>
      <c r="K35" s="32" t="s">
        <v>88</v>
      </c>
      <c r="L35" s="59">
        <v>0.75</v>
      </c>
      <c r="M35" s="59">
        <v>0.95</v>
      </c>
      <c r="N35" s="59">
        <v>0.61</v>
      </c>
      <c r="O35" s="59"/>
      <c r="P35" s="59">
        <v>0.74</v>
      </c>
      <c r="Q35" s="59">
        <v>0.79</v>
      </c>
      <c r="R35" s="59">
        <v>0.79</v>
      </c>
      <c r="S35" s="53"/>
      <c r="T35" s="59">
        <v>0.8</v>
      </c>
      <c r="U35" s="59">
        <v>0.79</v>
      </c>
      <c r="V35" s="59">
        <v>0.68</v>
      </c>
      <c r="W35" s="53"/>
      <c r="X35" s="59">
        <v>0.79</v>
      </c>
      <c r="Y35" s="58">
        <v>0.82</v>
      </c>
      <c r="Z35" s="58">
        <v>0.83</v>
      </c>
    </row>
    <row r="36" spans="1:26" s="43" customFormat="1" ht="114.75" customHeight="1" x14ac:dyDescent="0.2">
      <c r="A36" s="208" t="s">
        <v>147</v>
      </c>
      <c r="B36" s="212" t="s">
        <v>110</v>
      </c>
      <c r="C36" s="39" t="s">
        <v>148</v>
      </c>
      <c r="D36" s="212" t="s">
        <v>43</v>
      </c>
      <c r="E36" s="208" t="s">
        <v>224</v>
      </c>
      <c r="F36" s="208" t="s">
        <v>17</v>
      </c>
      <c r="G36" s="208" t="s">
        <v>79</v>
      </c>
      <c r="H36" s="232">
        <v>0.7</v>
      </c>
      <c r="I36" s="232">
        <v>0.9</v>
      </c>
      <c r="J36" s="208" t="s">
        <v>195</v>
      </c>
      <c r="K36" s="208" t="s">
        <v>196</v>
      </c>
      <c r="L36" s="208"/>
      <c r="M36" s="208"/>
      <c r="N36" s="208"/>
      <c r="O36" s="208"/>
      <c r="P36" s="208"/>
      <c r="Q36" s="208"/>
      <c r="R36" s="208"/>
      <c r="S36" s="232">
        <v>0.8</v>
      </c>
      <c r="T36" s="208"/>
      <c r="U36" s="208"/>
      <c r="V36" s="208"/>
      <c r="W36" s="208"/>
      <c r="X36" s="208"/>
      <c r="Y36" s="208"/>
      <c r="Z36" s="208"/>
    </row>
    <row r="37" spans="1:26" s="43" customFormat="1" ht="25.5" customHeight="1" x14ac:dyDescent="0.2">
      <c r="A37" s="225"/>
      <c r="B37" s="221"/>
      <c r="C37" s="39" t="s">
        <v>149</v>
      </c>
      <c r="D37" s="213"/>
      <c r="E37" s="209"/>
      <c r="F37" s="209"/>
      <c r="G37" s="209"/>
      <c r="H37" s="233"/>
      <c r="I37" s="233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</row>
    <row r="38" spans="1:26" s="43" customFormat="1" ht="25.5" x14ac:dyDescent="0.2">
      <c r="A38" s="209"/>
      <c r="B38" s="213"/>
      <c r="C38" s="39" t="s">
        <v>44</v>
      </c>
      <c r="D38" s="34" t="s">
        <v>44</v>
      </c>
      <c r="E38" s="32" t="s">
        <v>45</v>
      </c>
      <c r="F38" s="32" t="s">
        <v>17</v>
      </c>
      <c r="G38" s="32" t="s">
        <v>79</v>
      </c>
      <c r="H38" s="32">
        <v>6</v>
      </c>
      <c r="I38" s="14">
        <v>12</v>
      </c>
      <c r="J38" s="32" t="s">
        <v>81</v>
      </c>
      <c r="K38" s="32" t="s">
        <v>84</v>
      </c>
      <c r="L38" s="52"/>
      <c r="M38" s="52"/>
      <c r="N38" s="52"/>
      <c r="O38" s="52"/>
      <c r="P38" s="52"/>
      <c r="Q38" s="52"/>
      <c r="R38" s="52"/>
      <c r="S38" s="52">
        <v>3</v>
      </c>
      <c r="T38" s="52"/>
      <c r="U38" s="52"/>
      <c r="V38" s="52"/>
      <c r="W38" s="52"/>
      <c r="X38" s="52"/>
      <c r="Y38" s="52"/>
      <c r="Z38" s="52"/>
    </row>
    <row r="39" spans="1:26" s="43" customFormat="1" ht="63.75" customHeight="1" x14ac:dyDescent="0.2">
      <c r="A39" s="212" t="s">
        <v>150</v>
      </c>
      <c r="B39" s="212" t="s">
        <v>111</v>
      </c>
      <c r="C39" s="212" t="s">
        <v>151</v>
      </c>
      <c r="D39" s="34" t="s">
        <v>46</v>
      </c>
      <c r="E39" s="32" t="s">
        <v>47</v>
      </c>
      <c r="F39" s="32" t="s">
        <v>27</v>
      </c>
      <c r="G39" s="32" t="s">
        <v>75</v>
      </c>
      <c r="H39" s="23">
        <v>0.25</v>
      </c>
      <c r="I39" s="23">
        <v>0.2</v>
      </c>
      <c r="J39" s="32" t="s">
        <v>31</v>
      </c>
      <c r="K39" s="32" t="s">
        <v>82</v>
      </c>
      <c r="L39" s="47"/>
      <c r="M39" s="47"/>
      <c r="N39" s="47">
        <f>(0/3)*100</f>
        <v>0</v>
      </c>
      <c r="O39" s="47"/>
      <c r="P39" s="47"/>
      <c r="Q39" s="47"/>
      <c r="R39" s="47">
        <v>0</v>
      </c>
      <c r="S39" s="111">
        <v>0</v>
      </c>
      <c r="T39" s="52"/>
      <c r="U39" s="52"/>
      <c r="V39" s="52">
        <v>0</v>
      </c>
      <c r="W39" s="52">
        <v>0</v>
      </c>
      <c r="X39" s="52"/>
      <c r="Y39" s="52"/>
      <c r="Z39" s="52"/>
    </row>
    <row r="40" spans="1:26" s="43" customFormat="1" ht="38.25" x14ac:dyDescent="0.2">
      <c r="A40" s="221"/>
      <c r="B40" s="221"/>
      <c r="C40" s="221"/>
      <c r="D40" s="34" t="s">
        <v>48</v>
      </c>
      <c r="E40" s="32" t="s">
        <v>49</v>
      </c>
      <c r="F40" s="32" t="s">
        <v>27</v>
      </c>
      <c r="G40" s="32" t="s">
        <v>91</v>
      </c>
      <c r="H40" s="23">
        <v>0.25</v>
      </c>
      <c r="I40" s="23">
        <v>0.2</v>
      </c>
      <c r="J40" s="32" t="s">
        <v>31</v>
      </c>
      <c r="K40" s="32" t="s">
        <v>82</v>
      </c>
      <c r="L40" s="47"/>
      <c r="M40" s="47"/>
      <c r="N40" s="47">
        <f>(0/3)*100</f>
        <v>0</v>
      </c>
      <c r="O40" s="47"/>
      <c r="P40" s="47"/>
      <c r="Q40" s="47"/>
      <c r="R40" s="47">
        <v>0</v>
      </c>
      <c r="S40" s="111">
        <v>0</v>
      </c>
      <c r="T40" s="52"/>
      <c r="U40" s="52"/>
      <c r="V40" s="52">
        <v>0</v>
      </c>
      <c r="W40" s="52">
        <v>0</v>
      </c>
      <c r="X40" s="52"/>
      <c r="Y40" s="52"/>
      <c r="Z40" s="52"/>
    </row>
    <row r="41" spans="1:26" s="43" customFormat="1" ht="25.5" x14ac:dyDescent="0.2">
      <c r="A41" s="221"/>
      <c r="B41" s="213"/>
      <c r="C41" s="213"/>
      <c r="D41" s="34" t="s">
        <v>50</v>
      </c>
      <c r="E41" s="32" t="s">
        <v>51</v>
      </c>
      <c r="F41" s="32" t="s">
        <v>27</v>
      </c>
      <c r="G41" s="32" t="s">
        <v>91</v>
      </c>
      <c r="H41" s="23">
        <v>0.35</v>
      </c>
      <c r="I41" s="23">
        <v>0.3</v>
      </c>
      <c r="J41" s="32" t="s">
        <v>11</v>
      </c>
      <c r="K41" s="32" t="s">
        <v>82</v>
      </c>
      <c r="L41" s="47"/>
      <c r="M41" s="47"/>
      <c r="N41" s="47">
        <f>(3/3)*100</f>
        <v>100</v>
      </c>
      <c r="O41" s="47"/>
      <c r="P41" s="47"/>
      <c r="Q41" s="47"/>
      <c r="R41" s="48">
        <f>(1/1)</f>
        <v>1</v>
      </c>
      <c r="S41" s="112">
        <v>1</v>
      </c>
      <c r="T41" s="47"/>
      <c r="U41" s="47"/>
      <c r="V41" s="48">
        <f>2/8</f>
        <v>0.25</v>
      </c>
      <c r="W41" s="48">
        <f>7/8</f>
        <v>0.875</v>
      </c>
      <c r="X41" s="47"/>
      <c r="Y41" s="47"/>
      <c r="Z41" s="47"/>
    </row>
    <row r="42" spans="1:26" s="43" customFormat="1" ht="51" customHeight="1" x14ac:dyDescent="0.2">
      <c r="A42" s="221"/>
      <c r="B42" s="212" t="s">
        <v>112</v>
      </c>
      <c r="C42" s="212" t="s">
        <v>152</v>
      </c>
      <c r="D42" s="212" t="s">
        <v>176</v>
      </c>
      <c r="E42" s="32" t="s">
        <v>174</v>
      </c>
      <c r="F42" s="32" t="s">
        <v>27</v>
      </c>
      <c r="G42" s="32" t="s">
        <v>75</v>
      </c>
      <c r="H42" s="32">
        <v>30</v>
      </c>
      <c r="I42" s="24">
        <v>40</v>
      </c>
      <c r="J42" s="32" t="s">
        <v>11</v>
      </c>
      <c r="K42" s="32" t="s">
        <v>82</v>
      </c>
      <c r="L42" s="47"/>
      <c r="M42" s="47"/>
      <c r="N42" s="47">
        <v>28</v>
      </c>
      <c r="O42" s="47"/>
      <c r="P42" s="47"/>
      <c r="Q42" s="47"/>
      <c r="R42" s="47"/>
      <c r="S42" s="114">
        <f>73+5+28</f>
        <v>106</v>
      </c>
      <c r="T42" s="47"/>
      <c r="U42" s="47"/>
      <c r="V42" s="47"/>
      <c r="W42" s="47"/>
      <c r="X42" s="47"/>
      <c r="Y42" s="47"/>
      <c r="Z42" s="47"/>
    </row>
    <row r="43" spans="1:26" s="43" customFormat="1" ht="25.5" x14ac:dyDescent="0.2">
      <c r="A43" s="221"/>
      <c r="B43" s="213"/>
      <c r="C43" s="213"/>
      <c r="D43" s="213"/>
      <c r="E43" s="32" t="s">
        <v>175</v>
      </c>
      <c r="F43" s="32" t="s">
        <v>27</v>
      </c>
      <c r="G43" s="32" t="s">
        <v>75</v>
      </c>
      <c r="H43" s="32">
        <v>10</v>
      </c>
      <c r="I43" s="24">
        <v>20</v>
      </c>
      <c r="J43" s="32"/>
      <c r="K43" s="32" t="s">
        <v>82</v>
      </c>
      <c r="L43" s="47"/>
      <c r="M43" s="47"/>
      <c r="N43" s="47">
        <v>0</v>
      </c>
      <c r="O43" s="47"/>
      <c r="P43" s="47"/>
      <c r="Q43" s="47"/>
      <c r="R43" s="47">
        <v>0</v>
      </c>
      <c r="S43" s="111">
        <v>0</v>
      </c>
      <c r="T43" s="47"/>
      <c r="U43" s="47"/>
      <c r="V43" s="47">
        <v>0</v>
      </c>
      <c r="W43" s="47">
        <v>0</v>
      </c>
      <c r="X43" s="47"/>
      <c r="Y43" s="47"/>
      <c r="Z43" s="47"/>
    </row>
    <row r="44" spans="1:26" s="43" customFormat="1" ht="38.25" x14ac:dyDescent="0.2">
      <c r="A44" s="221"/>
      <c r="B44" s="212" t="s">
        <v>114</v>
      </c>
      <c r="C44" s="212" t="s">
        <v>153</v>
      </c>
      <c r="D44" s="212" t="s">
        <v>197</v>
      </c>
      <c r="E44" s="35" t="s">
        <v>204</v>
      </c>
      <c r="F44" s="65" t="s">
        <v>17</v>
      </c>
      <c r="G44" s="65" t="s">
        <v>79</v>
      </c>
      <c r="H44" s="56">
        <v>0.85</v>
      </c>
      <c r="I44" s="41">
        <v>95</v>
      </c>
      <c r="J44" s="32" t="s">
        <v>11</v>
      </c>
      <c r="K44" s="32" t="s">
        <v>82</v>
      </c>
      <c r="L44" s="55"/>
      <c r="M44" s="55"/>
      <c r="N44" s="49"/>
      <c r="O44" s="49"/>
      <c r="P44" s="47"/>
      <c r="Q44" s="47"/>
      <c r="R44" s="47">
        <v>100</v>
      </c>
      <c r="S44" s="111">
        <v>100</v>
      </c>
      <c r="T44" s="47"/>
      <c r="U44" s="47"/>
      <c r="V44" s="47">
        <v>100</v>
      </c>
      <c r="W44" s="111">
        <v>100</v>
      </c>
      <c r="X44" s="47"/>
      <c r="Y44" s="47"/>
      <c r="Z44" s="47"/>
    </row>
    <row r="45" spans="1:26" s="43" customFormat="1" ht="51" x14ac:dyDescent="0.2">
      <c r="A45" s="221"/>
      <c r="B45" s="221"/>
      <c r="C45" s="221"/>
      <c r="D45" s="221"/>
      <c r="E45" s="42" t="s">
        <v>201</v>
      </c>
      <c r="F45" s="53" t="s">
        <v>27</v>
      </c>
      <c r="G45" s="32" t="s">
        <v>79</v>
      </c>
      <c r="H45" s="40">
        <v>0</v>
      </c>
      <c r="I45" s="53">
        <v>50</v>
      </c>
      <c r="J45" s="35" t="s">
        <v>86</v>
      </c>
      <c r="K45" s="35" t="s">
        <v>179</v>
      </c>
      <c r="L45" s="57"/>
      <c r="M45" s="47"/>
      <c r="N45" s="58">
        <f>(0/1)*100%</f>
        <v>0</v>
      </c>
      <c r="O45" s="58"/>
      <c r="P45" s="47"/>
      <c r="Q45" s="47"/>
      <c r="R45" s="47">
        <v>100</v>
      </c>
      <c r="S45" s="111">
        <v>100</v>
      </c>
      <c r="T45" s="47"/>
      <c r="U45" s="47"/>
      <c r="V45" s="47"/>
      <c r="W45" s="47"/>
      <c r="X45" s="47"/>
      <c r="Y45" s="47"/>
      <c r="Z45" s="47"/>
    </row>
    <row r="46" spans="1:26" s="43" customFormat="1" ht="51" x14ac:dyDescent="0.2">
      <c r="A46" s="221"/>
      <c r="B46" s="221"/>
      <c r="C46" s="213"/>
      <c r="D46" s="213"/>
      <c r="E46" s="42" t="s">
        <v>202</v>
      </c>
      <c r="F46" s="53" t="s">
        <v>27</v>
      </c>
      <c r="G46" s="32" t="s">
        <v>79</v>
      </c>
      <c r="H46" s="40">
        <v>0.85</v>
      </c>
      <c r="I46" s="53">
        <v>95</v>
      </c>
      <c r="J46" s="35" t="s">
        <v>86</v>
      </c>
      <c r="K46" s="35" t="s">
        <v>179</v>
      </c>
      <c r="L46" s="57"/>
      <c r="M46" s="47"/>
      <c r="N46" s="58">
        <f>+(1)*100%</f>
        <v>1</v>
      </c>
      <c r="O46" s="58"/>
      <c r="P46" s="47"/>
      <c r="Q46" s="47"/>
      <c r="R46" s="47">
        <v>100</v>
      </c>
      <c r="S46" s="111">
        <v>100</v>
      </c>
      <c r="T46" s="47"/>
      <c r="U46" s="47"/>
      <c r="V46" s="47"/>
      <c r="W46" s="47"/>
      <c r="X46" s="47"/>
      <c r="Y46" s="47"/>
      <c r="Z46" s="47"/>
    </row>
    <row r="47" spans="1:26" s="43" customFormat="1" ht="38.25" x14ac:dyDescent="0.2">
      <c r="A47" s="213"/>
      <c r="B47" s="213"/>
      <c r="C47" s="39" t="s">
        <v>154</v>
      </c>
      <c r="D47" s="39" t="s">
        <v>198</v>
      </c>
      <c r="E47" s="35" t="s">
        <v>178</v>
      </c>
      <c r="F47" s="53" t="s">
        <v>27</v>
      </c>
      <c r="G47" s="32" t="s">
        <v>80</v>
      </c>
      <c r="H47" s="58">
        <v>0.3</v>
      </c>
      <c r="I47" s="59">
        <v>0.4</v>
      </c>
      <c r="J47" s="35" t="s">
        <v>86</v>
      </c>
      <c r="K47" s="35" t="s">
        <v>179</v>
      </c>
      <c r="L47" s="57"/>
      <c r="M47" s="47"/>
      <c r="N47" s="58">
        <f>138/407</f>
        <v>0.33906633906633904</v>
      </c>
      <c r="O47" s="58"/>
      <c r="P47" s="47"/>
      <c r="Q47" s="47"/>
      <c r="R47" s="47"/>
      <c r="S47" s="112">
        <f>(179+64)/747</f>
        <v>0.3253012048192771</v>
      </c>
      <c r="T47" s="47"/>
      <c r="U47" s="47"/>
      <c r="V47" s="47"/>
      <c r="W47" s="47"/>
      <c r="X47" s="47"/>
      <c r="Y47" s="47"/>
      <c r="Z47" s="47"/>
    </row>
    <row r="48" spans="1:26" s="43" customFormat="1" ht="25.5" x14ac:dyDescent="0.2">
      <c r="A48" s="33" t="s">
        <v>52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11" s="43" customFormat="1" ht="51" x14ac:dyDescent="0.2">
      <c r="A49" s="3" t="s">
        <v>53</v>
      </c>
      <c r="B49" s="3" t="s">
        <v>54</v>
      </c>
      <c r="C49" s="3"/>
      <c r="D49" s="60" t="s">
        <v>55</v>
      </c>
      <c r="E49" s="32" t="s">
        <v>56</v>
      </c>
      <c r="F49" s="32" t="s">
        <v>20</v>
      </c>
      <c r="G49" s="32" t="s">
        <v>11</v>
      </c>
      <c r="H49" s="32" t="s">
        <v>57</v>
      </c>
      <c r="I49" s="32"/>
      <c r="J49" s="32"/>
      <c r="K49" s="40" t="s">
        <v>58</v>
      </c>
    </row>
    <row r="50" spans="1:11" s="43" customFormat="1" ht="51" x14ac:dyDescent="0.2">
      <c r="A50" s="3" t="s">
        <v>59</v>
      </c>
      <c r="B50" s="3" t="s">
        <v>60</v>
      </c>
      <c r="C50" s="3"/>
      <c r="D50" s="60" t="s">
        <v>61</v>
      </c>
      <c r="E50" s="32" t="s">
        <v>62</v>
      </c>
      <c r="F50" s="32" t="s">
        <v>20</v>
      </c>
      <c r="G50" s="32"/>
      <c r="H50" s="32" t="s">
        <v>57</v>
      </c>
      <c r="I50" s="32"/>
      <c r="J50" s="32"/>
      <c r="K50" s="40" t="s">
        <v>58</v>
      </c>
    </row>
    <row r="51" spans="1:11" s="43" customFormat="1" ht="51" x14ac:dyDescent="0.2">
      <c r="A51" s="3" t="s">
        <v>63</v>
      </c>
      <c r="B51" s="3" t="s">
        <v>64</v>
      </c>
      <c r="C51" s="3"/>
      <c r="D51" s="60" t="s">
        <v>65</v>
      </c>
      <c r="E51" s="32" t="s">
        <v>66</v>
      </c>
      <c r="F51" s="32" t="s">
        <v>20</v>
      </c>
      <c r="G51" s="61" t="s">
        <v>67</v>
      </c>
      <c r="H51" s="32" t="s">
        <v>57</v>
      </c>
      <c r="I51" s="32"/>
      <c r="J51" s="32"/>
      <c r="K51" s="40" t="s">
        <v>28</v>
      </c>
    </row>
    <row r="52" spans="1:11" s="43" customFormat="1" ht="51" x14ac:dyDescent="0.2">
      <c r="A52" s="3" t="s">
        <v>68</v>
      </c>
      <c r="B52" s="3" t="s">
        <v>69</v>
      </c>
      <c r="C52" s="3"/>
      <c r="D52" s="60" t="s">
        <v>65</v>
      </c>
      <c r="E52" s="32" t="s">
        <v>66</v>
      </c>
      <c r="F52" s="32" t="s">
        <v>20</v>
      </c>
      <c r="G52" s="61" t="s">
        <v>11</v>
      </c>
      <c r="H52" s="32" t="s">
        <v>57</v>
      </c>
      <c r="I52" s="32"/>
      <c r="J52" s="32"/>
      <c r="K52" s="40" t="s">
        <v>28</v>
      </c>
    </row>
    <row r="53" spans="1:11" x14ac:dyDescent="0.25">
      <c r="A53" s="5"/>
      <c r="B53" s="5"/>
      <c r="C53" s="5"/>
      <c r="D53" s="26"/>
      <c r="E53" s="6"/>
      <c r="F53" s="6"/>
      <c r="G53" s="6"/>
      <c r="H53" s="6"/>
      <c r="I53" s="6"/>
      <c r="J53" s="6"/>
      <c r="K53" s="7"/>
    </row>
    <row r="54" spans="1:11" x14ac:dyDescent="0.25">
      <c r="A54" s="8"/>
      <c r="D54" s="8"/>
      <c r="E54" s="8"/>
      <c r="F54" s="8"/>
      <c r="G54" s="8"/>
      <c r="H54" s="8"/>
      <c r="I54" s="8"/>
      <c r="J54" s="8"/>
      <c r="K54" s="8"/>
    </row>
    <row r="55" spans="1:11" x14ac:dyDescent="0.25">
      <c r="A55" s="5"/>
      <c r="D55" s="9"/>
      <c r="E55" s="9"/>
      <c r="F55" s="9"/>
      <c r="G55" s="9"/>
      <c r="H55" s="9"/>
      <c r="I55" s="9"/>
      <c r="J55" s="9"/>
      <c r="K55" s="10"/>
    </row>
    <row r="56" spans="1:11" x14ac:dyDescent="0.25">
      <c r="A56" s="5"/>
      <c r="D56" s="9"/>
      <c r="E56" s="9"/>
      <c r="F56" s="9"/>
      <c r="G56" s="9"/>
      <c r="H56" s="9"/>
      <c r="I56" s="9"/>
      <c r="J56" s="9"/>
      <c r="K56" s="10"/>
    </row>
    <row r="57" spans="1:11" x14ac:dyDescent="0.25">
      <c r="A57" s="5"/>
      <c r="D57" s="9"/>
      <c r="E57" s="9"/>
      <c r="F57" s="9"/>
      <c r="G57" s="9"/>
      <c r="H57" s="9"/>
      <c r="I57" s="9"/>
      <c r="J57" s="9"/>
      <c r="K57" s="10"/>
    </row>
    <row r="58" spans="1:11" x14ac:dyDescent="0.25">
      <c r="A58" s="5"/>
      <c r="B58" s="5"/>
      <c r="C58" s="5"/>
      <c r="D58" s="9"/>
      <c r="E58" s="9"/>
      <c r="F58" s="9"/>
      <c r="G58" s="9"/>
      <c r="H58" s="9"/>
      <c r="I58" s="9"/>
      <c r="J58" s="9"/>
      <c r="K58" s="10"/>
    </row>
    <row r="59" spans="1:11" x14ac:dyDescent="0.25">
      <c r="A59" s="6"/>
      <c r="B59" s="11"/>
      <c r="C59" s="11"/>
      <c r="D59" s="26"/>
      <c r="E59" s="6"/>
      <c r="F59" s="6"/>
      <c r="G59" s="6"/>
      <c r="H59" s="6"/>
      <c r="I59" s="6"/>
      <c r="J59" s="6"/>
      <c r="K59" s="6"/>
    </row>
    <row r="60" spans="1:11" x14ac:dyDescent="0.25">
      <c r="A60" s="6"/>
      <c r="B60" s="11"/>
      <c r="C60" s="11"/>
      <c r="D60" s="26"/>
      <c r="E60" s="6"/>
      <c r="F60" s="6"/>
      <c r="G60" s="6"/>
      <c r="H60" s="6"/>
      <c r="I60" s="6"/>
      <c r="J60" s="6"/>
      <c r="K60" s="6"/>
    </row>
    <row r="61" spans="1:11" x14ac:dyDescent="0.25">
      <c r="A61" s="6"/>
      <c r="B61" s="11"/>
      <c r="C61" s="11"/>
      <c r="D61" s="26"/>
      <c r="E61" s="6"/>
      <c r="F61" s="6"/>
      <c r="G61" s="6"/>
      <c r="H61" s="6"/>
      <c r="I61" s="6"/>
      <c r="J61" s="6"/>
      <c r="K61" s="6"/>
    </row>
    <row r="62" spans="1:11" x14ac:dyDescent="0.25">
      <c r="A62" s="6"/>
      <c r="B62" s="11"/>
      <c r="C62" s="11"/>
      <c r="D62" s="26"/>
      <c r="E62" s="6"/>
      <c r="F62" s="6"/>
      <c r="G62" s="6"/>
      <c r="H62" s="6"/>
      <c r="I62" s="6"/>
      <c r="J62" s="6"/>
      <c r="K62" s="6"/>
    </row>
    <row r="63" spans="1:11" x14ac:dyDescent="0.25">
      <c r="A63" s="6"/>
      <c r="B63" s="11"/>
      <c r="C63" s="11"/>
      <c r="D63" s="26"/>
      <c r="E63" s="6"/>
      <c r="F63" s="6"/>
      <c r="G63" s="6"/>
      <c r="H63" s="6"/>
      <c r="I63" s="6"/>
      <c r="J63" s="6"/>
      <c r="K63" s="6"/>
    </row>
    <row r="64" spans="1:11" x14ac:dyDescent="0.25">
      <c r="A64" s="6"/>
      <c r="B64" s="11"/>
      <c r="C64" s="11"/>
      <c r="D64" s="26"/>
      <c r="E64" s="6"/>
      <c r="F64" s="6"/>
      <c r="G64" s="6"/>
      <c r="H64" s="6"/>
      <c r="I64" s="6"/>
      <c r="J64" s="6"/>
      <c r="K64" s="6"/>
    </row>
    <row r="65" spans="1:11" x14ac:dyDescent="0.25">
      <c r="A65" s="6"/>
      <c r="B65" s="11"/>
      <c r="C65" s="11"/>
      <c r="D65" s="26"/>
      <c r="E65" s="6"/>
      <c r="F65" s="6"/>
      <c r="G65" s="6"/>
      <c r="H65" s="6"/>
      <c r="I65" s="6"/>
      <c r="J65" s="6"/>
      <c r="K65" s="6"/>
    </row>
    <row r="66" spans="1:11" x14ac:dyDescent="0.25">
      <c r="A66" s="6"/>
      <c r="B66" s="11"/>
      <c r="C66" s="11"/>
      <c r="D66" s="26"/>
      <c r="E66" s="6"/>
      <c r="F66" s="6"/>
      <c r="G66" s="6"/>
      <c r="H66" s="6"/>
      <c r="I66" s="6"/>
      <c r="J66" s="6"/>
      <c r="K66" s="6"/>
    </row>
    <row r="67" spans="1:11" x14ac:dyDescent="0.25">
      <c r="A67" s="6"/>
      <c r="B67" s="11"/>
      <c r="C67" s="11"/>
      <c r="D67" s="26"/>
      <c r="E67" s="6"/>
      <c r="F67" s="6"/>
      <c r="G67" s="6"/>
      <c r="H67" s="6"/>
      <c r="I67" s="6"/>
      <c r="J67" s="6"/>
      <c r="K67" s="6"/>
    </row>
    <row r="68" spans="1:11" x14ac:dyDescent="0.25">
      <c r="A68" s="6"/>
      <c r="B68" s="11"/>
      <c r="C68" s="11"/>
      <c r="D68" s="26"/>
      <c r="E68" s="6"/>
      <c r="F68" s="6"/>
      <c r="G68" s="6"/>
      <c r="H68" s="6"/>
      <c r="I68" s="6"/>
      <c r="J68" s="6"/>
      <c r="K68" s="6"/>
    </row>
    <row r="69" spans="1:11" x14ac:dyDescent="0.25">
      <c r="A69" s="12"/>
      <c r="B69" s="13"/>
      <c r="C69" s="13"/>
      <c r="D69" s="27"/>
      <c r="E69" s="12"/>
      <c r="F69" s="12"/>
      <c r="G69" s="12"/>
      <c r="H69" s="12"/>
      <c r="I69" s="12"/>
      <c r="J69" s="12"/>
      <c r="K69" s="12"/>
    </row>
    <row r="1048559" spans="27:27" x14ac:dyDescent="0.25">
      <c r="AA1048559" s="31"/>
    </row>
    <row r="1048560" spans="27:27" x14ac:dyDescent="0.25">
      <c r="AA1048560" s="29"/>
    </row>
    <row r="1048561" spans="27:27" x14ac:dyDescent="0.25">
      <c r="AA1048561" s="29"/>
    </row>
    <row r="1048562" spans="27:27" x14ac:dyDescent="0.25">
      <c r="AA1048562" s="29"/>
    </row>
    <row r="1048563" spans="27:27" x14ac:dyDescent="0.25">
      <c r="AA1048563" s="29"/>
    </row>
    <row r="1048564" spans="27:27" x14ac:dyDescent="0.25">
      <c r="AA1048564" s="29"/>
    </row>
    <row r="1048565" spans="27:27" x14ac:dyDescent="0.25">
      <c r="AA1048565" s="29"/>
    </row>
    <row r="1048566" spans="27:27" x14ac:dyDescent="0.25">
      <c r="AA1048566" s="29"/>
    </row>
    <row r="1048567" spans="27:27" x14ac:dyDescent="0.25">
      <c r="AA1048567" s="29"/>
    </row>
    <row r="1048568" spans="27:27" x14ac:dyDescent="0.25">
      <c r="AA1048568" s="29"/>
    </row>
    <row r="1048569" spans="27:27" x14ac:dyDescent="0.25">
      <c r="AA1048569" s="28"/>
    </row>
    <row r="1048570" spans="27:27" x14ac:dyDescent="0.25">
      <c r="AA1048570" s="29"/>
    </row>
    <row r="1048571" spans="27:27" x14ac:dyDescent="0.25">
      <c r="AA1048571" s="30"/>
    </row>
    <row r="1048572" spans="27:27" x14ac:dyDescent="0.25">
      <c r="AA1048572" s="29"/>
    </row>
    <row r="1048573" spans="27:27" x14ac:dyDescent="0.25">
      <c r="AA1048573" s="29"/>
    </row>
    <row r="1048574" spans="27:27" x14ac:dyDescent="0.25">
      <c r="AA1048574" s="29"/>
    </row>
  </sheetData>
  <mergeCells count="78">
    <mergeCell ref="C34:C35"/>
    <mergeCell ref="A32:A33"/>
    <mergeCell ref="G8:H8"/>
    <mergeCell ref="C11:C13"/>
    <mergeCell ref="A16:A17"/>
    <mergeCell ref="B16:B17"/>
    <mergeCell ref="C16:C17"/>
    <mergeCell ref="E13:E14"/>
    <mergeCell ref="F13:F14"/>
    <mergeCell ref="Z36:Z37"/>
    <mergeCell ref="A39:A47"/>
    <mergeCell ref="B39:B41"/>
    <mergeCell ref="C39:C41"/>
    <mergeCell ref="B42:B43"/>
    <mergeCell ref="C42:C43"/>
    <mergeCell ref="D42:D43"/>
    <mergeCell ref="B44:B47"/>
    <mergeCell ref="C44:C46"/>
    <mergeCell ref="S36:S37"/>
    <mergeCell ref="T36:T37"/>
    <mergeCell ref="U36:U37"/>
    <mergeCell ref="V36:V37"/>
    <mergeCell ref="W36:W37"/>
    <mergeCell ref="X36:X37"/>
    <mergeCell ref="M36:M37"/>
    <mergeCell ref="Y36:Y37"/>
    <mergeCell ref="N36:N37"/>
    <mergeCell ref="O36:O37"/>
    <mergeCell ref="P36:P37"/>
    <mergeCell ref="Q36:Q37"/>
    <mergeCell ref="R36:R37"/>
    <mergeCell ref="H36:H37"/>
    <mergeCell ref="I36:I37"/>
    <mergeCell ref="J36:J37"/>
    <mergeCell ref="K36:K37"/>
    <mergeCell ref="L36:L37"/>
    <mergeCell ref="D44:D46"/>
    <mergeCell ref="A9:A12"/>
    <mergeCell ref="B10:B13"/>
    <mergeCell ref="D13:D14"/>
    <mergeCell ref="G36:G37"/>
    <mergeCell ref="D36:D37"/>
    <mergeCell ref="E36:E37"/>
    <mergeCell ref="F36:F37"/>
    <mergeCell ref="A18:A20"/>
    <mergeCell ref="B18:B20"/>
    <mergeCell ref="A36:A38"/>
    <mergeCell ref="B36:B38"/>
    <mergeCell ref="A21:A24"/>
    <mergeCell ref="A27:A28"/>
    <mergeCell ref="B32:B35"/>
    <mergeCell ref="A34:A35"/>
    <mergeCell ref="P13:P14"/>
    <mergeCell ref="Q13:Q14"/>
    <mergeCell ref="A7:K7"/>
    <mergeCell ref="AA13:AA14"/>
    <mergeCell ref="S13:S14"/>
    <mergeCell ref="T13:T14"/>
    <mergeCell ref="U13:U14"/>
    <mergeCell ref="V13:V14"/>
    <mergeCell ref="W13:W14"/>
    <mergeCell ref="X13:X14"/>
    <mergeCell ref="W2:AA2"/>
    <mergeCell ref="Z3:AA3"/>
    <mergeCell ref="Y4:AA4"/>
    <mergeCell ref="G1:K1"/>
    <mergeCell ref="Y13:Y14"/>
    <mergeCell ref="Z13:Z14"/>
    <mergeCell ref="R13:R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</mergeCells>
  <pageMargins left="0.7" right="0.7" top="0.75" bottom="0.75" header="0.3" footer="0.3"/>
  <pageSetup orientation="portrait" r:id="rId1"/>
  <ignoredErrors>
    <ignoredError sqref="M12 Q12 W11 Y1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19"/>
  <sheetViews>
    <sheetView workbookViewId="0">
      <selection activeCell="D3" sqref="D3"/>
    </sheetView>
  </sheetViews>
  <sheetFormatPr baseColWidth="10" defaultRowHeight="15" x14ac:dyDescent="0.25"/>
  <cols>
    <col min="2" max="3" width="19.42578125" bestFit="1" customWidth="1"/>
    <col min="4" max="5" width="27.85546875" bestFit="1" customWidth="1"/>
    <col min="6" max="7" width="15.28515625" bestFit="1" customWidth="1"/>
  </cols>
  <sheetData>
    <row r="1" spans="1:9" x14ac:dyDescent="0.25">
      <c r="E1" s="192" t="s">
        <v>228</v>
      </c>
      <c r="F1" s="192"/>
      <c r="G1" s="192"/>
      <c r="H1" s="192"/>
      <c r="I1" s="192"/>
    </row>
    <row r="2" spans="1:9" x14ac:dyDescent="0.25">
      <c r="E2" s="115"/>
      <c r="F2" s="115"/>
      <c r="G2" s="115"/>
      <c r="H2" s="192" t="s">
        <v>0</v>
      </c>
      <c r="I2" s="192"/>
    </row>
    <row r="3" spans="1:9" x14ac:dyDescent="0.25">
      <c r="E3" s="115"/>
      <c r="F3" s="115"/>
      <c r="G3" s="192" t="s">
        <v>340</v>
      </c>
      <c r="H3" s="192"/>
      <c r="I3" s="192"/>
    </row>
    <row r="6" spans="1:9" ht="15.75" thickBot="1" x14ac:dyDescent="0.3"/>
    <row r="7" spans="1:9" ht="15.75" thickBot="1" x14ac:dyDescent="0.3">
      <c r="B7" s="19" t="s">
        <v>218</v>
      </c>
      <c r="C7" s="19" t="s">
        <v>219</v>
      </c>
      <c r="D7" s="19" t="s">
        <v>220</v>
      </c>
      <c r="E7" s="19" t="s">
        <v>221</v>
      </c>
      <c r="F7" s="94" t="s">
        <v>222</v>
      </c>
      <c r="G7" s="94" t="s">
        <v>223</v>
      </c>
    </row>
    <row r="8" spans="1:9" ht="15.75" thickBot="1" x14ac:dyDescent="0.3">
      <c r="A8" s="85" t="s">
        <v>94</v>
      </c>
      <c r="B8" s="96">
        <v>10.218679746576742</v>
      </c>
      <c r="C8" s="49">
        <v>3.8959015116097864</v>
      </c>
      <c r="D8" s="96">
        <v>5.1093398732883708</v>
      </c>
      <c r="E8" s="49">
        <v>3.8959015116097864</v>
      </c>
      <c r="F8" s="96">
        <v>40.874718986306966</v>
      </c>
      <c r="G8" s="95">
        <v>0</v>
      </c>
    </row>
    <row r="9" spans="1:9" ht="15.75" thickBot="1" x14ac:dyDescent="0.3">
      <c r="A9" s="85" t="s">
        <v>95</v>
      </c>
      <c r="B9" s="98">
        <v>4.6763935652824538</v>
      </c>
      <c r="C9" s="87">
        <v>8.5120871637725575</v>
      </c>
      <c r="D9" s="98">
        <v>9.3527871305649075</v>
      </c>
      <c r="E9" s="87">
        <v>8.5120871637725575</v>
      </c>
      <c r="F9" s="98">
        <v>14.029180695847362</v>
      </c>
      <c r="G9" s="97">
        <v>119.16922029281579</v>
      </c>
    </row>
    <row r="10" spans="1:9" ht="15.75" thickBot="1" x14ac:dyDescent="0.3">
      <c r="A10" s="85" t="s">
        <v>96</v>
      </c>
      <c r="B10" s="98">
        <v>8.5382513661202193</v>
      </c>
      <c r="C10" s="87">
        <v>7.8357624196834355</v>
      </c>
      <c r="D10" s="98">
        <v>21.345628415300546</v>
      </c>
      <c r="E10" s="87">
        <v>7.8357624196834355</v>
      </c>
      <c r="F10" s="98">
        <v>34.153005464480877</v>
      </c>
      <c r="G10" s="97">
        <v>19.452225334578277</v>
      </c>
    </row>
    <row r="11" spans="1:9" ht="15.75" thickBot="1" x14ac:dyDescent="0.3">
      <c r="A11" s="85" t="s">
        <v>163</v>
      </c>
      <c r="B11" s="99">
        <v>0</v>
      </c>
      <c r="C11" s="87">
        <v>11.857707509881424</v>
      </c>
      <c r="D11" s="98">
        <v>13.095861707700367</v>
      </c>
      <c r="E11" s="87">
        <v>11.857707509881424</v>
      </c>
      <c r="F11" s="98">
        <v>0</v>
      </c>
      <c r="G11" s="97">
        <v>0</v>
      </c>
    </row>
    <row r="12" spans="1:9" ht="15.75" thickBot="1" x14ac:dyDescent="0.3">
      <c r="A12" s="85" t="s">
        <v>164</v>
      </c>
      <c r="B12" s="98">
        <v>11.837121212121213</v>
      </c>
      <c r="C12" s="88">
        <v>0</v>
      </c>
      <c r="D12" s="98">
        <v>7.891414141414141</v>
      </c>
      <c r="E12" s="88">
        <v>12.1</v>
      </c>
      <c r="F12" s="98">
        <v>90.75126262626263</v>
      </c>
      <c r="G12" s="88">
        <v>0</v>
      </c>
    </row>
    <row r="13" spans="1:9" ht="15.75" thickBot="1" x14ac:dyDescent="0.3">
      <c r="A13" s="85" t="s">
        <v>165</v>
      </c>
      <c r="B13" s="98">
        <v>8.1726054266100032</v>
      </c>
      <c r="C13" s="89">
        <v>8.1</v>
      </c>
      <c r="D13" s="98">
        <v>8.1726054266100032</v>
      </c>
      <c r="E13" s="89">
        <v>8.1</v>
      </c>
      <c r="F13" s="98">
        <v>73.553448839490031</v>
      </c>
      <c r="G13" s="89">
        <v>0</v>
      </c>
    </row>
    <row r="14" spans="1:9" ht="15.75" thickBot="1" x14ac:dyDescent="0.3">
      <c r="A14" s="85" t="s">
        <v>166</v>
      </c>
      <c r="B14" s="98">
        <v>15.09433962264151</v>
      </c>
      <c r="C14" s="89">
        <v>4</v>
      </c>
      <c r="D14" s="98">
        <v>15.09433962264151</v>
      </c>
      <c r="E14" s="89">
        <v>4</v>
      </c>
      <c r="F14" s="98">
        <v>101.88679245283019</v>
      </c>
      <c r="G14" s="89">
        <v>0</v>
      </c>
    </row>
    <row r="15" spans="1:9" ht="15.75" thickBot="1" x14ac:dyDescent="0.3">
      <c r="A15" s="85" t="s">
        <v>167</v>
      </c>
      <c r="B15" s="98">
        <v>4.055807916937054</v>
      </c>
      <c r="C15" s="89">
        <v>4.0999999999999996</v>
      </c>
      <c r="D15" s="98">
        <v>8.111615833874108</v>
      </c>
      <c r="E15" s="89">
        <v>4.0999999999999996</v>
      </c>
      <c r="F15" s="98">
        <v>12.167423750811162</v>
      </c>
      <c r="G15" s="89">
        <v>0</v>
      </c>
    </row>
    <row r="16" spans="1:9" ht="15.75" thickBot="1" x14ac:dyDescent="0.3">
      <c r="A16" s="85" t="s">
        <v>168</v>
      </c>
      <c r="B16" s="98">
        <v>0</v>
      </c>
      <c r="C16" s="89">
        <v>0</v>
      </c>
      <c r="D16" s="98">
        <v>3.5430839002267573</v>
      </c>
      <c r="E16" s="89">
        <v>0</v>
      </c>
      <c r="F16" s="98">
        <v>0</v>
      </c>
      <c r="G16" s="89">
        <v>0</v>
      </c>
    </row>
    <row r="17" spans="1:7" ht="15.75" thickBot="1" x14ac:dyDescent="0.3">
      <c r="A17" s="85" t="s">
        <v>169</v>
      </c>
      <c r="B17" s="98">
        <v>0</v>
      </c>
      <c r="C17" s="89">
        <v>0</v>
      </c>
      <c r="D17" s="98">
        <v>6.5359477124183005</v>
      </c>
      <c r="E17" s="89">
        <v>0</v>
      </c>
      <c r="F17" s="98">
        <v>0</v>
      </c>
      <c r="G17" s="89">
        <v>0</v>
      </c>
    </row>
    <row r="18" spans="1:7" ht="15.75" thickBot="1" x14ac:dyDescent="0.3">
      <c r="A18" s="85" t="s">
        <v>170</v>
      </c>
      <c r="B18" s="89">
        <v>18.055756175068613</v>
      </c>
      <c r="C18" s="89">
        <v>0</v>
      </c>
      <c r="D18" s="89">
        <v>32.500361115123503</v>
      </c>
      <c r="E18" s="89">
        <v>0</v>
      </c>
      <c r="F18" s="89">
        <v>404.4489383215369</v>
      </c>
      <c r="G18" s="89">
        <v>0</v>
      </c>
    </row>
    <row r="19" spans="1:7" ht="15.75" thickBot="1" x14ac:dyDescent="0.3">
      <c r="A19" s="85" t="s">
        <v>171</v>
      </c>
      <c r="B19" s="103">
        <v>0</v>
      </c>
      <c r="C19" s="89">
        <v>0</v>
      </c>
      <c r="D19" s="103">
        <v>3.93</v>
      </c>
      <c r="E19" s="89">
        <v>0</v>
      </c>
      <c r="F19" s="103">
        <v>220.2</v>
      </c>
      <c r="G19" s="89">
        <v>0</v>
      </c>
    </row>
  </sheetData>
  <mergeCells count="3">
    <mergeCell ref="E1:I1"/>
    <mergeCell ref="H2:I2"/>
    <mergeCell ref="G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R34"/>
  <sheetViews>
    <sheetView zoomScale="70" zoomScaleNormal="70" workbookViewId="0">
      <selection activeCell="D3" sqref="D3"/>
    </sheetView>
  </sheetViews>
  <sheetFormatPr baseColWidth="10" defaultRowHeight="15" x14ac:dyDescent="0.25"/>
  <cols>
    <col min="1" max="1" width="11.7109375" bestFit="1" customWidth="1"/>
    <col min="2" max="2" width="20.28515625" bestFit="1" customWidth="1"/>
    <col min="3" max="3" width="8.140625" bestFit="1" customWidth="1"/>
    <col min="4" max="4" width="31.140625" bestFit="1" customWidth="1"/>
    <col min="5" max="5" width="8.140625" bestFit="1" customWidth="1"/>
    <col min="6" max="6" width="15" bestFit="1" customWidth="1"/>
  </cols>
  <sheetData>
    <row r="1" spans="1:18" x14ac:dyDescent="0.25">
      <c r="N1" s="192" t="s">
        <v>228</v>
      </c>
      <c r="O1" s="192"/>
      <c r="P1" s="192"/>
      <c r="Q1" s="192"/>
      <c r="R1" s="192"/>
    </row>
    <row r="2" spans="1:18" x14ac:dyDescent="0.25">
      <c r="N2" s="115"/>
      <c r="O2" s="115"/>
      <c r="P2" s="115"/>
      <c r="Q2" s="192" t="s">
        <v>0</v>
      </c>
      <c r="R2" s="192"/>
    </row>
    <row r="3" spans="1:18" x14ac:dyDescent="0.25">
      <c r="N3" s="115"/>
      <c r="O3" s="115"/>
      <c r="P3" s="192" t="s">
        <v>340</v>
      </c>
      <c r="Q3" s="192"/>
      <c r="R3" s="192"/>
    </row>
    <row r="6" spans="1:18" ht="15.75" thickBot="1" x14ac:dyDescent="0.3"/>
    <row r="7" spans="1:18" ht="15.75" thickBot="1" x14ac:dyDescent="0.3">
      <c r="A7" s="18" t="s">
        <v>71</v>
      </c>
      <c r="B7" s="19" t="s">
        <v>78</v>
      </c>
      <c r="C7" s="19" t="s">
        <v>8</v>
      </c>
      <c r="D7" s="19" t="s">
        <v>77</v>
      </c>
      <c r="E7" s="19" t="s">
        <v>8</v>
      </c>
      <c r="F7" s="19" t="s">
        <v>76</v>
      </c>
      <c r="G7" s="84" t="s">
        <v>8</v>
      </c>
    </row>
    <row r="8" spans="1:18" ht="15.75" thickBot="1" x14ac:dyDescent="0.3">
      <c r="A8" s="86" t="s">
        <v>94</v>
      </c>
      <c r="B8" s="49">
        <f>+(1*200000/51336)</f>
        <v>3.8959015116097864</v>
      </c>
      <c r="C8" s="20">
        <v>9</v>
      </c>
      <c r="D8" s="49">
        <f>+(1*200000/51336)</f>
        <v>3.8959015116097864</v>
      </c>
      <c r="E8" s="20">
        <v>11</v>
      </c>
      <c r="F8" s="81">
        <f>(0*200000)/(8*22*289)</f>
        <v>0</v>
      </c>
      <c r="G8" s="82">
        <v>41</v>
      </c>
    </row>
    <row r="9" spans="1:18" ht="15.75" thickBot="1" x14ac:dyDescent="0.3">
      <c r="A9" s="85" t="s">
        <v>95</v>
      </c>
      <c r="B9" s="87">
        <f>+(1*200000/46992)</f>
        <v>4.2560435818862787</v>
      </c>
      <c r="C9" s="90">
        <v>9</v>
      </c>
      <c r="D9" s="87">
        <f>+(2*200000/46992)</f>
        <v>8.5120871637725575</v>
      </c>
      <c r="E9" s="90">
        <v>11</v>
      </c>
      <c r="F9" s="93">
        <f>(28*200000)/46992</f>
        <v>119.16922029281579</v>
      </c>
      <c r="G9" s="83">
        <v>41</v>
      </c>
    </row>
    <row r="10" spans="1:18" ht="15.75" thickBot="1" x14ac:dyDescent="0.3">
      <c r="A10" s="85" t="s">
        <v>96</v>
      </c>
      <c r="B10" s="87">
        <f>+(1*200000/51408)</f>
        <v>3.8904450669156549</v>
      </c>
      <c r="C10" s="91">
        <v>9</v>
      </c>
      <c r="D10" s="87">
        <f>+(2*200000/51048)</f>
        <v>7.8357624196834355</v>
      </c>
      <c r="E10" s="91">
        <v>11</v>
      </c>
      <c r="F10" s="78">
        <f>(5*200000)/51408</f>
        <v>19.452225334578277</v>
      </c>
      <c r="G10" s="80">
        <v>41</v>
      </c>
    </row>
    <row r="11" spans="1:18" ht="15.75" thickBot="1" x14ac:dyDescent="0.3">
      <c r="A11" s="86" t="s">
        <v>163</v>
      </c>
      <c r="B11" s="87">
        <f>+(0*200000/50600)</f>
        <v>0</v>
      </c>
      <c r="C11" s="91">
        <v>9</v>
      </c>
      <c r="D11" s="87">
        <f>+(3*200000/50600)</f>
        <v>11.857707509881424</v>
      </c>
      <c r="E11" s="91">
        <v>11</v>
      </c>
      <c r="F11" s="78">
        <f>+(0*200000/50600)</f>
        <v>0</v>
      </c>
      <c r="G11" s="80">
        <v>41</v>
      </c>
    </row>
    <row r="12" spans="1:18" ht="15.75" thickBot="1" x14ac:dyDescent="0.3">
      <c r="A12" s="85" t="s">
        <v>164</v>
      </c>
      <c r="B12" s="88">
        <v>0</v>
      </c>
      <c r="C12" s="91">
        <v>9</v>
      </c>
      <c r="D12" s="88">
        <v>12.1</v>
      </c>
      <c r="E12" s="91">
        <v>11</v>
      </c>
      <c r="F12" s="77">
        <v>0</v>
      </c>
      <c r="G12" s="80">
        <v>41</v>
      </c>
    </row>
    <row r="13" spans="1:18" ht="15.75" thickBot="1" x14ac:dyDescent="0.3">
      <c r="A13" s="85" t="s">
        <v>165</v>
      </c>
      <c r="B13" s="89">
        <v>8.1</v>
      </c>
      <c r="C13" s="91">
        <v>9</v>
      </c>
      <c r="D13" s="89">
        <v>8.1</v>
      </c>
      <c r="E13" s="91">
        <v>11</v>
      </c>
      <c r="F13" s="79">
        <v>0</v>
      </c>
      <c r="G13" s="80">
        <v>41</v>
      </c>
    </row>
    <row r="14" spans="1:18" ht="15.75" thickBot="1" x14ac:dyDescent="0.3">
      <c r="A14" s="86" t="s">
        <v>166</v>
      </c>
      <c r="B14" s="89">
        <v>4</v>
      </c>
      <c r="C14" s="91">
        <v>9</v>
      </c>
      <c r="D14" s="89">
        <v>4</v>
      </c>
      <c r="E14" s="91">
        <v>11</v>
      </c>
      <c r="F14" s="79">
        <v>0</v>
      </c>
      <c r="G14" s="80">
        <v>41</v>
      </c>
    </row>
    <row r="15" spans="1:18" ht="15.75" thickBot="1" x14ac:dyDescent="0.3">
      <c r="A15" s="85" t="s">
        <v>167</v>
      </c>
      <c r="B15" s="89">
        <v>4.0999999999999996</v>
      </c>
      <c r="C15" s="91">
        <v>9</v>
      </c>
      <c r="D15" s="89">
        <v>4.0999999999999996</v>
      </c>
      <c r="E15" s="91">
        <v>11</v>
      </c>
      <c r="F15" s="79">
        <v>0</v>
      </c>
      <c r="G15" s="80">
        <v>41</v>
      </c>
    </row>
    <row r="16" spans="1:18" ht="15.75" thickBot="1" x14ac:dyDescent="0.3">
      <c r="A16" s="85" t="s">
        <v>168</v>
      </c>
      <c r="B16" s="89">
        <v>0</v>
      </c>
      <c r="C16" s="91">
        <v>9</v>
      </c>
      <c r="D16" s="89">
        <v>0</v>
      </c>
      <c r="E16" s="91">
        <v>11</v>
      </c>
      <c r="F16" s="79">
        <v>0</v>
      </c>
      <c r="G16" s="80">
        <v>41</v>
      </c>
    </row>
    <row r="17" spans="1:8" ht="15.75" thickBot="1" x14ac:dyDescent="0.3">
      <c r="A17" s="86" t="s">
        <v>169</v>
      </c>
      <c r="B17" s="89">
        <v>0</v>
      </c>
      <c r="C17" s="91">
        <v>9</v>
      </c>
      <c r="D17" s="89">
        <v>0</v>
      </c>
      <c r="E17" s="91">
        <v>11</v>
      </c>
      <c r="F17" s="79">
        <v>0</v>
      </c>
      <c r="G17" s="80">
        <v>41</v>
      </c>
    </row>
    <row r="18" spans="1:8" ht="15.75" thickBot="1" x14ac:dyDescent="0.3">
      <c r="A18" s="85" t="s">
        <v>170</v>
      </c>
      <c r="B18" s="89">
        <v>0</v>
      </c>
      <c r="C18" s="91">
        <v>9</v>
      </c>
      <c r="D18" s="89">
        <v>0</v>
      </c>
      <c r="E18" s="91">
        <v>11</v>
      </c>
      <c r="F18" s="79">
        <v>0</v>
      </c>
      <c r="G18" s="80">
        <v>41</v>
      </c>
    </row>
    <row r="19" spans="1:8" ht="15.75" thickBot="1" x14ac:dyDescent="0.3">
      <c r="A19" s="85" t="s">
        <v>171</v>
      </c>
      <c r="B19" s="89">
        <v>0</v>
      </c>
      <c r="C19" s="91">
        <v>9</v>
      </c>
      <c r="D19" s="89">
        <v>0</v>
      </c>
      <c r="E19" s="91">
        <v>11</v>
      </c>
      <c r="F19" s="79">
        <v>0</v>
      </c>
      <c r="G19" s="80">
        <v>41</v>
      </c>
    </row>
    <row r="22" spans="1:8" x14ac:dyDescent="0.25">
      <c r="A22" s="16"/>
      <c r="B22" s="15"/>
      <c r="C22" s="17"/>
      <c r="D22" s="16"/>
      <c r="E22" s="17"/>
      <c r="F22" s="17"/>
    </row>
    <row r="23" spans="1:8" x14ac:dyDescent="0.25">
      <c r="A23" s="16"/>
      <c r="B23" s="15"/>
      <c r="C23" s="17"/>
      <c r="D23" s="16"/>
      <c r="E23" s="17"/>
      <c r="F23" s="17"/>
    </row>
    <row r="24" spans="1:8" x14ac:dyDescent="0.25">
      <c r="A24" s="16"/>
      <c r="B24" s="15"/>
      <c r="C24" s="17"/>
      <c r="D24" s="16"/>
      <c r="E24" s="17"/>
      <c r="F24" s="17"/>
    </row>
    <row r="25" spans="1:8" x14ac:dyDescent="0.25">
      <c r="A25" s="16"/>
      <c r="B25" s="17"/>
      <c r="C25" s="17"/>
      <c r="D25" s="16"/>
      <c r="E25" s="17"/>
      <c r="F25" s="17"/>
    </row>
    <row r="26" spans="1:8" x14ac:dyDescent="0.25">
      <c r="A26" s="16"/>
      <c r="B26" s="15"/>
      <c r="C26" s="17"/>
      <c r="D26" s="16"/>
      <c r="E26" s="17"/>
      <c r="F26" s="17"/>
    </row>
    <row r="27" spans="1:8" x14ac:dyDescent="0.25">
      <c r="A27" s="16"/>
      <c r="B27" s="15"/>
      <c r="C27" s="17"/>
      <c r="D27" s="16"/>
      <c r="E27" s="17"/>
      <c r="F27" s="17"/>
    </row>
    <row r="28" spans="1:8" x14ac:dyDescent="0.25">
      <c r="A28" s="16"/>
      <c r="B28" s="15"/>
      <c r="C28" s="17"/>
      <c r="D28" s="16"/>
      <c r="E28" s="17"/>
      <c r="F28" s="17"/>
    </row>
    <row r="29" spans="1:8" x14ac:dyDescent="0.25">
      <c r="A29" s="16"/>
      <c r="B29" s="15"/>
      <c r="C29" s="17"/>
      <c r="D29" s="16"/>
      <c r="E29" s="17"/>
      <c r="F29" s="17"/>
    </row>
    <row r="30" spans="1:8" x14ac:dyDescent="0.25">
      <c r="A30" s="16"/>
      <c r="B30" s="17"/>
      <c r="C30" s="17"/>
      <c r="D30" s="16"/>
      <c r="E30" s="17"/>
      <c r="F30" s="17"/>
    </row>
    <row r="31" spans="1:8" x14ac:dyDescent="0.25">
      <c r="A31" s="16"/>
      <c r="B31" s="17"/>
      <c r="C31" s="17"/>
      <c r="D31" s="16"/>
      <c r="E31" s="17"/>
      <c r="F31" s="17"/>
    </row>
    <row r="32" spans="1:8" x14ac:dyDescent="0.25">
      <c r="A32" s="16"/>
      <c r="B32" s="15"/>
      <c r="C32" s="17"/>
      <c r="D32" s="16"/>
      <c r="E32" s="17"/>
      <c r="F32" s="17"/>
      <c r="H32" s="92"/>
    </row>
    <row r="33" spans="1:6" x14ac:dyDescent="0.25">
      <c r="A33" s="16"/>
      <c r="B33" s="17"/>
      <c r="C33" s="17"/>
      <c r="D33" s="16"/>
      <c r="E33" s="17"/>
      <c r="F33" s="17"/>
    </row>
    <row r="34" spans="1:6" x14ac:dyDescent="0.25">
      <c r="A34" s="16"/>
      <c r="B34" s="17"/>
      <c r="C34" s="17"/>
      <c r="D34" s="16"/>
      <c r="E34" s="17"/>
      <c r="F34" s="17"/>
    </row>
  </sheetData>
  <mergeCells count="3">
    <mergeCell ref="N1:R1"/>
    <mergeCell ref="Q2:R2"/>
    <mergeCell ref="P3:R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M21"/>
  <sheetViews>
    <sheetView workbookViewId="0">
      <selection activeCell="D2" sqref="D2"/>
    </sheetView>
  </sheetViews>
  <sheetFormatPr baseColWidth="10" defaultRowHeight="15" x14ac:dyDescent="0.25"/>
  <cols>
    <col min="2" max="2" width="9.85546875" customWidth="1"/>
    <col min="3" max="3" width="16.42578125" customWidth="1"/>
    <col min="4" max="4" width="15.5703125" customWidth="1"/>
    <col min="6" max="6" width="14.140625" customWidth="1"/>
  </cols>
  <sheetData>
    <row r="1" spans="2:13" x14ac:dyDescent="0.25">
      <c r="M1" s="178" t="s">
        <v>227</v>
      </c>
    </row>
    <row r="2" spans="2:13" x14ac:dyDescent="0.25">
      <c r="M2" s="178" t="s">
        <v>0</v>
      </c>
    </row>
    <row r="3" spans="2:13" x14ac:dyDescent="0.25">
      <c r="M3" s="178" t="s">
        <v>340</v>
      </c>
    </row>
    <row r="7" spans="2:13" x14ac:dyDescent="0.25">
      <c r="B7" s="236" t="s">
        <v>205</v>
      </c>
      <c r="C7" s="237"/>
      <c r="D7" s="237"/>
      <c r="E7" s="238"/>
    </row>
    <row r="8" spans="2:13" x14ac:dyDescent="0.25">
      <c r="B8" s="68" t="s">
        <v>206</v>
      </c>
      <c r="C8" s="68" t="s">
        <v>207</v>
      </c>
      <c r="D8" s="69" t="s">
        <v>208</v>
      </c>
      <c r="E8" s="69" t="s">
        <v>209</v>
      </c>
    </row>
    <row r="9" spans="2:13" x14ac:dyDescent="0.25">
      <c r="B9" s="70">
        <v>0.31</v>
      </c>
      <c r="C9" s="70">
        <v>0.2</v>
      </c>
      <c r="D9" s="70">
        <v>0.23</v>
      </c>
      <c r="E9" s="70">
        <v>0.26</v>
      </c>
    </row>
    <row r="10" spans="2:13" x14ac:dyDescent="0.25">
      <c r="B10" s="239" t="s">
        <v>210</v>
      </c>
      <c r="C10" s="239"/>
      <c r="D10" s="239"/>
      <c r="E10" s="239"/>
    </row>
    <row r="11" spans="2:13" x14ac:dyDescent="0.25">
      <c r="B11" s="68" t="s">
        <v>206</v>
      </c>
      <c r="C11" s="68" t="s">
        <v>207</v>
      </c>
      <c r="D11" s="69" t="s">
        <v>208</v>
      </c>
      <c r="E11" s="69" t="s">
        <v>209</v>
      </c>
    </row>
    <row r="12" spans="2:13" x14ac:dyDescent="0.25">
      <c r="B12" s="70">
        <v>0.08</v>
      </c>
      <c r="C12" s="70">
        <v>0.1</v>
      </c>
      <c r="D12" s="70">
        <v>0.15</v>
      </c>
      <c r="E12" s="70">
        <v>0.19</v>
      </c>
    </row>
    <row r="13" spans="2:13" x14ac:dyDescent="0.25">
      <c r="B13" s="239" t="s">
        <v>211</v>
      </c>
      <c r="C13" s="239"/>
      <c r="D13" s="239"/>
      <c r="E13" s="239"/>
    </row>
    <row r="14" spans="2:13" x14ac:dyDescent="0.25">
      <c r="B14" s="68" t="s">
        <v>206</v>
      </c>
      <c r="C14" s="68" t="s">
        <v>207</v>
      </c>
      <c r="D14" s="69" t="s">
        <v>208</v>
      </c>
      <c r="E14" s="69" t="s">
        <v>209</v>
      </c>
    </row>
    <row r="15" spans="2:13" x14ac:dyDescent="0.25">
      <c r="B15" s="70">
        <v>0.28000000000000003</v>
      </c>
      <c r="C15" s="70">
        <v>0</v>
      </c>
      <c r="D15" s="70">
        <v>0</v>
      </c>
      <c r="E15" s="70">
        <v>0</v>
      </c>
    </row>
    <row r="18" spans="2:6" x14ac:dyDescent="0.25">
      <c r="B18" s="72" t="s">
        <v>212</v>
      </c>
      <c r="C18" s="72" t="s">
        <v>213</v>
      </c>
      <c r="D18" s="72" t="s">
        <v>214</v>
      </c>
      <c r="E18" s="72" t="s">
        <v>215</v>
      </c>
      <c r="F18" s="72" t="s">
        <v>216</v>
      </c>
    </row>
    <row r="19" spans="2:6" x14ac:dyDescent="0.25">
      <c r="B19" s="73">
        <v>2013</v>
      </c>
      <c r="C19" s="70">
        <v>0.31</v>
      </c>
      <c r="D19" s="70">
        <v>0.2</v>
      </c>
      <c r="E19" s="70">
        <v>0.23</v>
      </c>
      <c r="F19" s="70">
        <v>0.26</v>
      </c>
    </row>
    <row r="20" spans="2:6" x14ac:dyDescent="0.25">
      <c r="B20" s="73">
        <v>2014</v>
      </c>
      <c r="C20" s="70">
        <v>0.08</v>
      </c>
      <c r="D20" s="70">
        <v>0.1</v>
      </c>
      <c r="E20" s="70">
        <v>0.15</v>
      </c>
      <c r="F20" s="70">
        <v>0.19</v>
      </c>
    </row>
    <row r="21" spans="2:6" x14ac:dyDescent="0.25">
      <c r="B21" s="73">
        <v>2015</v>
      </c>
      <c r="C21" s="70">
        <v>0.28000000000000003</v>
      </c>
      <c r="D21" s="70">
        <v>0.28000000000000003</v>
      </c>
      <c r="E21" s="70">
        <v>0</v>
      </c>
      <c r="F21" s="70">
        <v>0</v>
      </c>
    </row>
  </sheetData>
  <mergeCells count="3">
    <mergeCell ref="B7:E7"/>
    <mergeCell ref="B10:E10"/>
    <mergeCell ref="B13:E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M21"/>
  <sheetViews>
    <sheetView workbookViewId="0">
      <selection activeCell="D3" sqref="D3"/>
    </sheetView>
  </sheetViews>
  <sheetFormatPr baseColWidth="10" defaultRowHeight="15" x14ac:dyDescent="0.25"/>
  <cols>
    <col min="4" max="4" width="13.28515625" customWidth="1"/>
    <col min="5" max="5" width="16.5703125" customWidth="1"/>
    <col min="6" max="6" width="20.140625" customWidth="1"/>
  </cols>
  <sheetData>
    <row r="1" spans="2:13" x14ac:dyDescent="0.25">
      <c r="M1" s="178" t="s">
        <v>227</v>
      </c>
    </row>
    <row r="2" spans="2:13" x14ac:dyDescent="0.25">
      <c r="M2" s="178" t="s">
        <v>0</v>
      </c>
    </row>
    <row r="3" spans="2:13" x14ac:dyDescent="0.25">
      <c r="M3" s="178" t="s">
        <v>340</v>
      </c>
    </row>
    <row r="7" spans="2:13" x14ac:dyDescent="0.25">
      <c r="B7" s="236" t="s">
        <v>205</v>
      </c>
      <c r="C7" s="237"/>
      <c r="D7" s="237"/>
      <c r="E7" s="238"/>
    </row>
    <row r="8" spans="2:13" x14ac:dyDescent="0.25">
      <c r="B8" s="68" t="s">
        <v>206</v>
      </c>
      <c r="C8" s="68" t="s">
        <v>207</v>
      </c>
      <c r="D8" s="69" t="s">
        <v>208</v>
      </c>
      <c r="E8" s="69" t="s">
        <v>209</v>
      </c>
    </row>
    <row r="9" spans="2:13" x14ac:dyDescent="0.25">
      <c r="B9" s="70">
        <v>0.31</v>
      </c>
      <c r="C9" s="70">
        <v>0.2</v>
      </c>
      <c r="D9" s="70">
        <v>0.23</v>
      </c>
      <c r="E9" s="70">
        <v>0.26</v>
      </c>
    </row>
    <row r="10" spans="2:13" x14ac:dyDescent="0.25">
      <c r="B10" s="239" t="s">
        <v>210</v>
      </c>
      <c r="C10" s="239"/>
      <c r="D10" s="239"/>
      <c r="E10" s="239"/>
    </row>
    <row r="11" spans="2:13" x14ac:dyDescent="0.25">
      <c r="B11" s="68" t="s">
        <v>206</v>
      </c>
      <c r="C11" s="68" t="s">
        <v>207</v>
      </c>
      <c r="D11" s="69" t="s">
        <v>208</v>
      </c>
      <c r="E11" s="69" t="s">
        <v>209</v>
      </c>
    </row>
    <row r="12" spans="2:13" x14ac:dyDescent="0.25">
      <c r="B12" s="70">
        <v>0.08</v>
      </c>
      <c r="C12" s="70">
        <v>0.1</v>
      </c>
      <c r="D12" s="70">
        <v>0.15</v>
      </c>
      <c r="E12" s="70">
        <v>0.19</v>
      </c>
    </row>
    <row r="13" spans="2:13" x14ac:dyDescent="0.25">
      <c r="B13" s="239" t="s">
        <v>211</v>
      </c>
      <c r="C13" s="239"/>
      <c r="D13" s="239"/>
      <c r="E13" s="239"/>
    </row>
    <row r="14" spans="2:13" x14ac:dyDescent="0.25">
      <c r="B14" s="68" t="s">
        <v>206</v>
      </c>
      <c r="C14" s="68" t="s">
        <v>207</v>
      </c>
      <c r="D14" s="69" t="s">
        <v>208</v>
      </c>
      <c r="E14" s="69" t="s">
        <v>209</v>
      </c>
    </row>
    <row r="15" spans="2:13" x14ac:dyDescent="0.25">
      <c r="B15" s="70">
        <v>0.13</v>
      </c>
      <c r="C15" s="70">
        <v>0</v>
      </c>
      <c r="D15" s="70">
        <v>0</v>
      </c>
      <c r="E15" s="70">
        <v>0</v>
      </c>
    </row>
    <row r="18" spans="2:6" x14ac:dyDescent="0.25">
      <c r="B18" s="72" t="s">
        <v>212</v>
      </c>
      <c r="C18" s="72" t="s">
        <v>213</v>
      </c>
      <c r="D18" s="72" t="s">
        <v>214</v>
      </c>
      <c r="E18" s="72" t="s">
        <v>215</v>
      </c>
      <c r="F18" s="72" t="s">
        <v>216</v>
      </c>
    </row>
    <row r="19" spans="2:6" x14ac:dyDescent="0.25">
      <c r="B19" s="73">
        <v>2013</v>
      </c>
      <c r="C19" s="70">
        <v>0.31</v>
      </c>
      <c r="D19" s="70">
        <v>0.2</v>
      </c>
      <c r="E19" s="70">
        <v>0.23</v>
      </c>
      <c r="F19" s="70">
        <v>0.26</v>
      </c>
    </row>
    <row r="20" spans="2:6" x14ac:dyDescent="0.25">
      <c r="B20" s="73">
        <v>2014</v>
      </c>
      <c r="C20" s="70">
        <v>0.08</v>
      </c>
      <c r="D20" s="70">
        <v>0.1</v>
      </c>
      <c r="E20" s="70">
        <v>0.15</v>
      </c>
      <c r="F20" s="70">
        <v>0.19</v>
      </c>
    </row>
    <row r="21" spans="2:6" x14ac:dyDescent="0.25">
      <c r="B21" s="73">
        <v>2015</v>
      </c>
      <c r="C21" s="70">
        <v>0.13</v>
      </c>
      <c r="D21" s="70">
        <v>0.3</v>
      </c>
      <c r="E21" s="70">
        <v>0</v>
      </c>
      <c r="F21" s="70">
        <v>0</v>
      </c>
    </row>
  </sheetData>
  <mergeCells count="3">
    <mergeCell ref="B7:E7"/>
    <mergeCell ref="B10:E10"/>
    <mergeCell ref="B13:E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I21"/>
  <sheetViews>
    <sheetView showGridLines="0" zoomScale="110" zoomScaleNormal="110" workbookViewId="0">
      <selection activeCell="D2" sqref="D2"/>
    </sheetView>
  </sheetViews>
  <sheetFormatPr baseColWidth="10" defaultRowHeight="11.25" x14ac:dyDescent="0.2"/>
  <cols>
    <col min="1" max="1" width="6.42578125" style="67" customWidth="1"/>
    <col min="2" max="2" width="14.140625" style="67" customWidth="1"/>
    <col min="3" max="5" width="15.7109375" style="67" customWidth="1"/>
    <col min="6" max="6" width="13.7109375" style="67" customWidth="1"/>
    <col min="7" max="8" width="22.42578125" style="67" customWidth="1"/>
    <col min="9" max="9" width="23.5703125" style="67" customWidth="1"/>
    <col min="10" max="10" width="22.28515625" style="67" customWidth="1"/>
    <col min="11" max="12" width="19.42578125" style="67" customWidth="1"/>
    <col min="13" max="13" width="23.5703125" style="67" customWidth="1"/>
    <col min="14" max="14" width="22.28515625" style="67" bestFit="1" customWidth="1"/>
    <col min="15" max="16" width="19.42578125" style="67" bestFit="1" customWidth="1"/>
    <col min="17" max="17" width="23.5703125" style="67" bestFit="1" customWidth="1"/>
    <col min="18" max="18" width="22.28515625" style="67" bestFit="1" customWidth="1"/>
    <col min="19" max="19" width="24.42578125" style="67" bestFit="1" customWidth="1"/>
    <col min="20" max="20" width="23.28515625" style="67" bestFit="1" customWidth="1"/>
    <col min="21" max="16384" width="11.42578125" style="67"/>
  </cols>
  <sheetData>
    <row r="1" spans="2:9" ht="12" x14ac:dyDescent="0.2">
      <c r="I1" s="178" t="s">
        <v>227</v>
      </c>
    </row>
    <row r="2" spans="2:9" ht="12" x14ac:dyDescent="0.2">
      <c r="I2" s="178" t="s">
        <v>0</v>
      </c>
    </row>
    <row r="3" spans="2:9" ht="12" x14ac:dyDescent="0.2">
      <c r="I3" s="178" t="s">
        <v>340</v>
      </c>
    </row>
    <row r="7" spans="2:9" x14ac:dyDescent="0.2">
      <c r="B7" s="236" t="s">
        <v>205</v>
      </c>
      <c r="C7" s="237"/>
      <c r="D7" s="237"/>
      <c r="E7" s="238"/>
      <c r="F7" s="66"/>
    </row>
    <row r="8" spans="2:9" x14ac:dyDescent="0.2">
      <c r="B8" s="68" t="s">
        <v>206</v>
      </c>
      <c r="C8" s="68" t="s">
        <v>207</v>
      </c>
      <c r="D8" s="69" t="s">
        <v>208</v>
      </c>
      <c r="E8" s="69" t="s">
        <v>209</v>
      </c>
    </row>
    <row r="9" spans="2:9" x14ac:dyDescent="0.2">
      <c r="B9" s="70">
        <v>0.62</v>
      </c>
      <c r="C9" s="70">
        <v>0.08</v>
      </c>
      <c r="D9" s="70">
        <v>0.15</v>
      </c>
      <c r="E9" s="70">
        <v>0.15</v>
      </c>
    </row>
    <row r="10" spans="2:9" x14ac:dyDescent="0.2">
      <c r="B10" s="239" t="s">
        <v>210</v>
      </c>
      <c r="C10" s="239"/>
      <c r="D10" s="239"/>
      <c r="E10" s="239"/>
    </row>
    <row r="11" spans="2:9" x14ac:dyDescent="0.2">
      <c r="B11" s="68" t="s">
        <v>206</v>
      </c>
      <c r="C11" s="68" t="s">
        <v>207</v>
      </c>
      <c r="D11" s="69" t="s">
        <v>208</v>
      </c>
      <c r="E11" s="69" t="s">
        <v>209</v>
      </c>
    </row>
    <row r="12" spans="2:9" x14ac:dyDescent="0.2">
      <c r="B12" s="70">
        <v>0.11</v>
      </c>
      <c r="C12" s="70">
        <v>0.11</v>
      </c>
      <c r="D12" s="70">
        <v>0.18</v>
      </c>
      <c r="E12" s="70">
        <v>0.2</v>
      </c>
    </row>
    <row r="13" spans="2:9" x14ac:dyDescent="0.2">
      <c r="B13" s="239" t="s">
        <v>211</v>
      </c>
      <c r="C13" s="239"/>
      <c r="D13" s="239"/>
      <c r="E13" s="239"/>
    </row>
    <row r="14" spans="2:9" x14ac:dyDescent="0.2">
      <c r="B14" s="68" t="s">
        <v>206</v>
      </c>
      <c r="C14" s="68" t="s">
        <v>207</v>
      </c>
      <c r="D14" s="69" t="s">
        <v>208</v>
      </c>
      <c r="E14" s="69" t="s">
        <v>209</v>
      </c>
    </row>
    <row r="15" spans="2:9" x14ac:dyDescent="0.2">
      <c r="B15" s="70">
        <v>0.25</v>
      </c>
      <c r="C15" s="70">
        <v>0</v>
      </c>
      <c r="D15" s="70">
        <v>0</v>
      </c>
      <c r="E15" s="70">
        <v>0</v>
      </c>
    </row>
    <row r="16" spans="2:9" x14ac:dyDescent="0.2">
      <c r="B16" s="71"/>
      <c r="C16" s="71"/>
      <c r="D16" s="71"/>
      <c r="E16" s="71"/>
    </row>
    <row r="18" spans="2:6" x14ac:dyDescent="0.2">
      <c r="B18" s="72" t="s">
        <v>212</v>
      </c>
      <c r="C18" s="72" t="s">
        <v>213</v>
      </c>
      <c r="D18" s="72" t="s">
        <v>214</v>
      </c>
      <c r="E18" s="72" t="s">
        <v>215</v>
      </c>
      <c r="F18" s="72" t="s">
        <v>216</v>
      </c>
    </row>
    <row r="19" spans="2:6" x14ac:dyDescent="0.2">
      <c r="B19" s="73">
        <v>2013</v>
      </c>
      <c r="C19" s="70">
        <v>0.62</v>
      </c>
      <c r="D19" s="70">
        <v>0.08</v>
      </c>
      <c r="E19" s="70">
        <v>0.15</v>
      </c>
      <c r="F19" s="70">
        <v>0.15</v>
      </c>
    </row>
    <row r="20" spans="2:6" x14ac:dyDescent="0.2">
      <c r="B20" s="73">
        <v>2014</v>
      </c>
      <c r="C20" s="70">
        <v>0.11</v>
      </c>
      <c r="D20" s="70">
        <v>0.11</v>
      </c>
      <c r="E20" s="70">
        <v>0.18</v>
      </c>
      <c r="F20" s="70">
        <v>0.2</v>
      </c>
    </row>
    <row r="21" spans="2:6" x14ac:dyDescent="0.2">
      <c r="B21" s="73">
        <v>2015</v>
      </c>
      <c r="C21" s="70">
        <v>0.25</v>
      </c>
      <c r="D21" s="70">
        <v>0.19</v>
      </c>
      <c r="E21" s="70">
        <v>0</v>
      </c>
      <c r="F21" s="70">
        <v>0</v>
      </c>
    </row>
  </sheetData>
  <mergeCells count="3">
    <mergeCell ref="B7:E7"/>
    <mergeCell ref="B10:E10"/>
    <mergeCell ref="B13:E13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M21"/>
  <sheetViews>
    <sheetView workbookViewId="0">
      <selection activeCell="D3" sqref="D3"/>
    </sheetView>
  </sheetViews>
  <sheetFormatPr baseColWidth="10" defaultRowHeight="15" x14ac:dyDescent="0.25"/>
  <cols>
    <col min="4" max="4" width="14" customWidth="1"/>
    <col min="5" max="5" width="15.42578125" customWidth="1"/>
  </cols>
  <sheetData>
    <row r="1" spans="2:13" x14ac:dyDescent="0.25">
      <c r="M1" s="178" t="s">
        <v>227</v>
      </c>
    </row>
    <row r="2" spans="2:13" x14ac:dyDescent="0.25">
      <c r="M2" s="178" t="s">
        <v>0</v>
      </c>
    </row>
    <row r="3" spans="2:13" x14ac:dyDescent="0.25">
      <c r="M3" s="178" t="s">
        <v>340</v>
      </c>
    </row>
    <row r="7" spans="2:13" x14ac:dyDescent="0.25">
      <c r="B7" s="236" t="s">
        <v>205</v>
      </c>
      <c r="C7" s="237"/>
      <c r="D7" s="237"/>
      <c r="E7" s="238"/>
    </row>
    <row r="8" spans="2:13" x14ac:dyDescent="0.25">
      <c r="B8" s="68" t="s">
        <v>206</v>
      </c>
      <c r="C8" s="68" t="s">
        <v>207</v>
      </c>
      <c r="D8" s="69" t="s">
        <v>208</v>
      </c>
      <c r="E8" s="69" t="s">
        <v>209</v>
      </c>
    </row>
    <row r="9" spans="2:13" x14ac:dyDescent="0.25">
      <c r="B9" s="70">
        <v>0.22</v>
      </c>
      <c r="C9" s="70">
        <v>0.33</v>
      </c>
      <c r="D9" s="70">
        <v>0.28000000000000003</v>
      </c>
      <c r="E9" s="70">
        <v>0.17</v>
      </c>
    </row>
    <row r="10" spans="2:13" x14ac:dyDescent="0.25">
      <c r="B10" s="239" t="s">
        <v>210</v>
      </c>
      <c r="C10" s="239"/>
      <c r="D10" s="239"/>
      <c r="E10" s="239"/>
    </row>
    <row r="11" spans="2:13" x14ac:dyDescent="0.25">
      <c r="B11" s="68" t="s">
        <v>206</v>
      </c>
      <c r="C11" s="68" t="s">
        <v>207</v>
      </c>
      <c r="D11" s="69" t="s">
        <v>208</v>
      </c>
      <c r="E11" s="69" t="s">
        <v>209</v>
      </c>
    </row>
    <row r="12" spans="2:13" x14ac:dyDescent="0.25">
      <c r="B12" s="70">
        <v>0.17</v>
      </c>
      <c r="C12" s="70">
        <v>0.15</v>
      </c>
      <c r="D12" s="70">
        <v>0.5</v>
      </c>
      <c r="E12" s="70">
        <v>0.87</v>
      </c>
    </row>
    <row r="13" spans="2:13" x14ac:dyDescent="0.25">
      <c r="B13" s="239" t="s">
        <v>211</v>
      </c>
      <c r="C13" s="239"/>
      <c r="D13" s="239"/>
      <c r="E13" s="239"/>
    </row>
    <row r="14" spans="2:13" x14ac:dyDescent="0.25">
      <c r="B14" s="68" t="s">
        <v>206</v>
      </c>
      <c r="C14" s="68" t="s">
        <v>207</v>
      </c>
      <c r="D14" s="69" t="s">
        <v>208</v>
      </c>
      <c r="E14" s="69" t="s">
        <v>209</v>
      </c>
    </row>
    <row r="15" spans="2:13" x14ac:dyDescent="0.25">
      <c r="B15" s="70">
        <v>0.09</v>
      </c>
      <c r="C15" s="70">
        <v>0</v>
      </c>
      <c r="D15" s="70">
        <v>0</v>
      </c>
      <c r="E15" s="70">
        <v>0</v>
      </c>
    </row>
    <row r="18" spans="2:6" x14ac:dyDescent="0.25">
      <c r="B18" s="72" t="s">
        <v>212</v>
      </c>
      <c r="C18" s="72" t="s">
        <v>213</v>
      </c>
      <c r="D18" s="72" t="s">
        <v>214</v>
      </c>
      <c r="E18" s="72" t="s">
        <v>215</v>
      </c>
      <c r="F18" s="72" t="s">
        <v>216</v>
      </c>
    </row>
    <row r="19" spans="2:6" x14ac:dyDescent="0.25">
      <c r="B19" s="73">
        <v>2013</v>
      </c>
      <c r="C19" s="70">
        <v>0.22</v>
      </c>
      <c r="D19" s="70">
        <v>0.33</v>
      </c>
      <c r="E19" s="70">
        <v>0</v>
      </c>
      <c r="F19" s="70">
        <v>0</v>
      </c>
    </row>
    <row r="20" spans="2:6" x14ac:dyDescent="0.25">
      <c r="B20" s="73">
        <v>2014</v>
      </c>
      <c r="C20" s="70">
        <v>0.17</v>
      </c>
      <c r="D20" s="70">
        <v>0.15</v>
      </c>
      <c r="E20" s="70">
        <v>0.5</v>
      </c>
      <c r="F20" s="70">
        <v>0.87</v>
      </c>
    </row>
    <row r="21" spans="2:6" x14ac:dyDescent="0.25">
      <c r="B21" s="73">
        <v>2015</v>
      </c>
      <c r="C21" s="70">
        <v>0.09</v>
      </c>
      <c r="D21" s="70">
        <v>0.26</v>
      </c>
      <c r="E21" s="70">
        <v>0</v>
      </c>
      <c r="F21" s="70">
        <v>0</v>
      </c>
    </row>
  </sheetData>
  <mergeCells count="3">
    <mergeCell ref="B7:E7"/>
    <mergeCell ref="B10:E10"/>
    <mergeCell ref="B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Cuadro de Actualizaciones</vt:lpstr>
      <vt:lpstr>Seguimiento indicadores 2016</vt:lpstr>
      <vt:lpstr>Seguimiento indicadores 2015</vt:lpstr>
      <vt:lpstr>COMPARATIVO 2014-2015</vt:lpstr>
      <vt:lpstr>DESEMP ACCIDENTA 2015</vt:lpstr>
      <vt:lpstr>SUBPROG SEG HIG</vt:lpstr>
      <vt:lpstr>MEDIC PREV Y DEL TRAB</vt:lpstr>
      <vt:lpstr>BIOMECANICO</vt:lpstr>
      <vt:lpstr>MECANICO</vt:lpstr>
      <vt:lpstr>FISICO</vt:lpstr>
      <vt:lpstr>SICOLABORAL</vt:lpstr>
      <vt:lpstr>SEGURIDAD VIAL</vt:lpstr>
      <vt:lpstr>TRA.SEG.ALT</vt:lpstr>
      <vt:lpstr>BIOLOGICO</vt:lpstr>
      <vt:lpstr>MANTENIMIENTO</vt:lpstr>
      <vt:lpstr>INSPECCIONES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GestionRiesgo</dc:creator>
  <cp:lastModifiedBy>Vicky</cp:lastModifiedBy>
  <dcterms:created xsi:type="dcterms:W3CDTF">2015-02-02T20:30:53Z</dcterms:created>
  <dcterms:modified xsi:type="dcterms:W3CDTF">2016-07-16T20:11:19Z</dcterms:modified>
</cp:coreProperties>
</file>