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810" windowWidth="19860" windowHeight="7080" activeTab="4"/>
  </bookViews>
  <sheets>
    <sheet name="laptop_price" sheetId="1" r:id="rId1"/>
    <sheet name="SQL Queries-Select " sheetId="2" r:id="rId2"/>
    <sheet name="Select Ram=8GB" sheetId="3" r:id="rId3"/>
    <sheet name="Inches&gt;17 for Windows 10-Order " sheetId="4" r:id="rId4"/>
    <sheet name="Average" sheetId="5" r:id="rId5"/>
  </sheets>
  <calcPr calcId="125725"/>
</workbook>
</file>

<file path=xl/calcChain.xml><?xml version="1.0" encoding="utf-8"?>
<calcChain xmlns="http://schemas.openxmlformats.org/spreadsheetml/2006/main">
  <c r="A19" i="5"/>
  <c r="B19"/>
  <c r="B17"/>
  <c r="B15"/>
  <c r="B13"/>
  <c r="B11"/>
  <c r="B9"/>
  <c r="B7"/>
  <c r="B5"/>
  <c r="B3"/>
  <c r="B1"/>
  <c r="K151" i="4"/>
  <c r="G151"/>
  <c r="C151"/>
  <c r="L150"/>
  <c r="H150"/>
  <c r="D150"/>
  <c r="M149"/>
  <c r="I149"/>
  <c r="E149"/>
  <c r="A149"/>
  <c r="J148"/>
  <c r="F148"/>
  <c r="B148"/>
  <c r="K147"/>
  <c r="G147"/>
  <c r="C147"/>
  <c r="L146"/>
  <c r="H146"/>
  <c r="D146"/>
  <c r="M145"/>
  <c r="I145"/>
  <c r="E145"/>
  <c r="A145"/>
  <c r="J144"/>
  <c r="F144"/>
  <c r="B144"/>
  <c r="K143"/>
  <c r="G143"/>
  <c r="C143"/>
  <c r="L142"/>
  <c r="H142"/>
  <c r="D142"/>
  <c r="M141"/>
  <c r="I141"/>
  <c r="E141"/>
  <c r="A141"/>
  <c r="J140"/>
  <c r="F140"/>
  <c r="B140"/>
  <c r="K139"/>
  <c r="G139"/>
  <c r="C139"/>
  <c r="L138"/>
  <c r="A20" i="5"/>
  <c r="A18"/>
  <c r="A16"/>
  <c r="A14"/>
  <c r="A12"/>
  <c r="A10"/>
  <c r="A8"/>
  <c r="A6"/>
  <c r="A4"/>
  <c r="A2"/>
  <c r="L151" i="4"/>
  <c r="H151"/>
  <c r="D151"/>
  <c r="M150"/>
  <c r="I150"/>
  <c r="E150"/>
  <c r="A150"/>
  <c r="J149"/>
  <c r="F149"/>
  <c r="B149"/>
  <c r="K148"/>
  <c r="G148"/>
  <c r="C148"/>
  <c r="L147"/>
  <c r="H147"/>
  <c r="D147"/>
  <c r="M146"/>
  <c r="I146"/>
  <c r="E146"/>
  <c r="A146"/>
  <c r="J145"/>
  <c r="F145"/>
  <c r="B145"/>
  <c r="K144"/>
  <c r="G144"/>
  <c r="C144"/>
  <c r="L143"/>
  <c r="H143"/>
  <c r="D143"/>
  <c r="M142"/>
  <c r="I142"/>
  <c r="E142"/>
  <c r="A142"/>
  <c r="J141"/>
  <c r="F141"/>
  <c r="B141"/>
  <c r="K140"/>
  <c r="G140"/>
  <c r="C140"/>
  <c r="L139"/>
  <c r="H139"/>
  <c r="D139"/>
  <c r="M138"/>
  <c r="I138"/>
  <c r="E138"/>
  <c r="A138"/>
  <c r="J137"/>
  <c r="F137"/>
  <c r="B137"/>
  <c r="K136"/>
  <c r="G136"/>
  <c r="C136"/>
  <c r="L135"/>
  <c r="H135"/>
  <c r="D135"/>
  <c r="M134"/>
  <c r="I134"/>
  <c r="E134"/>
  <c r="A134"/>
  <c r="J133"/>
  <c r="F133"/>
  <c r="B133"/>
  <c r="K132"/>
  <c r="G132"/>
  <c r="C132"/>
  <c r="L131"/>
  <c r="H131"/>
  <c r="D131"/>
  <c r="M130"/>
  <c r="I130"/>
  <c r="E130"/>
  <c r="A130"/>
  <c r="J129"/>
  <c r="F129"/>
  <c r="B129"/>
  <c r="K128"/>
  <c r="G128"/>
  <c r="C128"/>
  <c r="L127"/>
  <c r="H127"/>
  <c r="D127"/>
  <c r="M126"/>
  <c r="I126"/>
  <c r="E126"/>
  <c r="A126"/>
  <c r="J125"/>
  <c r="F125"/>
  <c r="B125"/>
  <c r="K124"/>
  <c r="G124"/>
  <c r="C124"/>
  <c r="L123"/>
  <c r="H123"/>
  <c r="D123"/>
  <c r="M122"/>
  <c r="I122"/>
  <c r="E122"/>
  <c r="A122"/>
  <c r="J121"/>
  <c r="F121"/>
  <c r="B121"/>
  <c r="K120"/>
  <c r="G120"/>
  <c r="C120"/>
  <c r="L119"/>
  <c r="H119"/>
  <c r="D119"/>
  <c r="M118"/>
  <c r="I118"/>
  <c r="E118"/>
  <c r="A118"/>
  <c r="J117"/>
  <c r="F117"/>
  <c r="B117"/>
  <c r="K116"/>
  <c r="G116"/>
  <c r="C116"/>
  <c r="L115"/>
  <c r="H115"/>
  <c r="D115"/>
  <c r="M114"/>
  <c r="I114"/>
  <c r="E114"/>
  <c r="A114"/>
  <c r="J113"/>
  <c r="F113"/>
  <c r="B113"/>
  <c r="K112"/>
  <c r="G112"/>
  <c r="C112"/>
  <c r="L111"/>
  <c r="H111"/>
  <c r="D111"/>
  <c r="M110"/>
  <c r="I110"/>
  <c r="E110"/>
  <c r="A110"/>
  <c r="J109"/>
  <c r="F109"/>
  <c r="B109"/>
  <c r="K108"/>
  <c r="G108"/>
  <c r="C108"/>
  <c r="L107"/>
  <c r="H107"/>
  <c r="D107"/>
  <c r="M106"/>
  <c r="I106"/>
  <c r="E106"/>
  <c r="A106"/>
  <c r="J105"/>
  <c r="F105"/>
  <c r="B105"/>
  <c r="K104"/>
  <c r="G104"/>
  <c r="C104"/>
  <c r="L103"/>
  <c r="H103"/>
  <c r="D103"/>
  <c r="M102"/>
  <c r="I102"/>
  <c r="E102"/>
  <c r="A102"/>
  <c r="J101"/>
  <c r="F101"/>
  <c r="B101"/>
  <c r="K100"/>
  <c r="G100"/>
  <c r="C100"/>
  <c r="L99"/>
  <c r="H99"/>
  <c r="D99"/>
  <c r="M98"/>
  <c r="I98"/>
  <c r="E98"/>
  <c r="A98"/>
  <c r="J97"/>
  <c r="F97"/>
  <c r="B97"/>
  <c r="B20" i="5"/>
  <c r="B18"/>
  <c r="B16"/>
  <c r="B14"/>
  <c r="B12"/>
  <c r="B10"/>
  <c r="B8"/>
  <c r="B6"/>
  <c r="B4"/>
  <c r="B2"/>
  <c r="M151" i="4"/>
  <c r="I151"/>
  <c r="E151"/>
  <c r="A151"/>
  <c r="J150"/>
  <c r="F150"/>
  <c r="B150"/>
  <c r="K149"/>
  <c r="G149"/>
  <c r="C149"/>
  <c r="L148"/>
  <c r="H148"/>
  <c r="D148"/>
  <c r="M147"/>
  <c r="I147"/>
  <c r="E147"/>
  <c r="A147"/>
  <c r="J146"/>
  <c r="F146"/>
  <c r="B146"/>
  <c r="K145"/>
  <c r="G145"/>
  <c r="C145"/>
  <c r="L144"/>
  <c r="H144"/>
  <c r="D144"/>
  <c r="M143"/>
  <c r="I143"/>
  <c r="E143"/>
  <c r="A143"/>
  <c r="J142"/>
  <c r="F142"/>
  <c r="B142"/>
  <c r="K141"/>
  <c r="G141"/>
  <c r="C141"/>
  <c r="L140"/>
  <c r="H140"/>
  <c r="D140"/>
  <c r="M139"/>
  <c r="I139"/>
  <c r="E139"/>
  <c r="A139"/>
  <c r="J138"/>
  <c r="F138"/>
  <c r="B138"/>
  <c r="K137"/>
  <c r="G137"/>
  <c r="C137"/>
  <c r="L136"/>
  <c r="H136"/>
  <c r="D136"/>
  <c r="M135"/>
  <c r="I135"/>
  <c r="E135"/>
  <c r="A135"/>
  <c r="J134"/>
  <c r="F134"/>
  <c r="B134"/>
  <c r="K133"/>
  <c r="G133"/>
  <c r="C133"/>
  <c r="L132"/>
  <c r="H132"/>
  <c r="D132"/>
  <c r="M131"/>
  <c r="I131"/>
  <c r="E131"/>
  <c r="A131"/>
  <c r="J130"/>
  <c r="F130"/>
  <c r="B130"/>
  <c r="K129"/>
  <c r="G129"/>
  <c r="C129"/>
  <c r="L128"/>
  <c r="H128"/>
  <c r="D128"/>
  <c r="M127"/>
  <c r="I127"/>
  <c r="E127"/>
  <c r="A127"/>
  <c r="J126"/>
  <c r="F126"/>
  <c r="B126"/>
  <c r="K125"/>
  <c r="G125"/>
  <c r="C125"/>
  <c r="L124"/>
  <c r="H124"/>
  <c r="D124"/>
  <c r="M123"/>
  <c r="I123"/>
  <c r="E123"/>
  <c r="A123"/>
  <c r="J122"/>
  <c r="F122"/>
  <c r="B122"/>
  <c r="K121"/>
  <c r="G121"/>
  <c r="C121"/>
  <c r="L120"/>
  <c r="H120"/>
  <c r="D120"/>
  <c r="M119"/>
  <c r="I119"/>
  <c r="E119"/>
  <c r="A119"/>
  <c r="J118"/>
  <c r="F118"/>
  <c r="B118"/>
  <c r="K117"/>
  <c r="G117"/>
  <c r="C117"/>
  <c r="L116"/>
  <c r="H116"/>
  <c r="D116"/>
  <c r="M115"/>
  <c r="I115"/>
  <c r="E115"/>
  <c r="A115"/>
  <c r="J114"/>
  <c r="F114"/>
  <c r="B114"/>
  <c r="K113"/>
  <c r="G113"/>
  <c r="C113"/>
  <c r="L112"/>
  <c r="H112"/>
  <c r="D112"/>
  <c r="M111"/>
  <c r="I111"/>
  <c r="E111"/>
  <c r="A111"/>
  <c r="J110"/>
  <c r="F110"/>
  <c r="B110"/>
  <c r="K109"/>
  <c r="G109"/>
  <c r="C109"/>
  <c r="L108"/>
  <c r="H108"/>
  <c r="D108"/>
  <c r="M107"/>
  <c r="I107"/>
  <c r="E107"/>
  <c r="A107"/>
  <c r="J106"/>
  <c r="F106"/>
  <c r="B106"/>
  <c r="K105"/>
  <c r="G105"/>
  <c r="C105"/>
  <c r="L104"/>
  <c r="H104"/>
  <c r="D104"/>
  <c r="M103"/>
  <c r="I103"/>
  <c r="E103"/>
  <c r="A103"/>
  <c r="J102"/>
  <c r="F102"/>
  <c r="B102"/>
  <c r="K101"/>
  <c r="G101"/>
  <c r="C101"/>
  <c r="L100"/>
  <c r="H100"/>
  <c r="D100"/>
  <c r="M99"/>
  <c r="I99"/>
  <c r="E99"/>
  <c r="A99"/>
  <c r="J98"/>
  <c r="F98"/>
  <c r="B98"/>
  <c r="K97"/>
  <c r="G97"/>
  <c r="C97"/>
  <c r="L96"/>
  <c r="H96"/>
  <c r="D96"/>
  <c r="M95"/>
  <c r="I95"/>
  <c r="E95"/>
  <c r="A95"/>
  <c r="J94"/>
  <c r="F94"/>
  <c r="B94"/>
  <c r="K93"/>
  <c r="G93"/>
  <c r="C93"/>
  <c r="L92"/>
  <c r="H92"/>
  <c r="D92"/>
  <c r="M91"/>
  <c r="I91"/>
  <c r="E91"/>
  <c r="A91"/>
  <c r="J90"/>
  <c r="F90"/>
  <c r="B90"/>
  <c r="K89"/>
  <c r="G89"/>
  <c r="C89"/>
  <c r="L88"/>
  <c r="H88"/>
  <c r="D88"/>
  <c r="M87"/>
  <c r="I87"/>
  <c r="E87"/>
  <c r="A87"/>
  <c r="J86"/>
  <c r="F86"/>
  <c r="B86"/>
  <c r="K85"/>
  <c r="G85"/>
  <c r="C85"/>
  <c r="L84"/>
  <c r="H84"/>
  <c r="D84"/>
  <c r="M83"/>
  <c r="I83"/>
  <c r="E83"/>
  <c r="A83"/>
  <c r="J82"/>
  <c r="F82"/>
  <c r="B82"/>
  <c r="K81"/>
  <c r="G81"/>
  <c r="C81"/>
  <c r="L80"/>
  <c r="H80"/>
  <c r="D80"/>
  <c r="M79"/>
  <c r="I79"/>
  <c r="E79"/>
  <c r="A79"/>
  <c r="J78"/>
  <c r="F78"/>
  <c r="B78"/>
  <c r="K77"/>
  <c r="G77"/>
  <c r="C77"/>
  <c r="L76"/>
  <c r="H76"/>
  <c r="A11" i="5"/>
  <c r="A3"/>
  <c r="B151" i="4"/>
  <c r="L149"/>
  <c r="I148"/>
  <c r="F147"/>
  <c r="C146"/>
  <c r="M144"/>
  <c r="J143"/>
  <c r="G142"/>
  <c r="D141"/>
  <c r="A140"/>
  <c r="K138"/>
  <c r="C138"/>
  <c r="H137"/>
  <c r="M136"/>
  <c r="E136"/>
  <c r="J135"/>
  <c r="B135"/>
  <c r="G134"/>
  <c r="L133"/>
  <c r="D133"/>
  <c r="I132"/>
  <c r="A132"/>
  <c r="F131"/>
  <c r="K130"/>
  <c r="C130"/>
  <c r="H129"/>
  <c r="M128"/>
  <c r="E128"/>
  <c r="J127"/>
  <c r="B127"/>
  <c r="G126"/>
  <c r="L125"/>
  <c r="D125"/>
  <c r="I124"/>
  <c r="A124"/>
  <c r="F123"/>
  <c r="K122"/>
  <c r="C122"/>
  <c r="H121"/>
  <c r="M120"/>
  <c r="E120"/>
  <c r="J119"/>
  <c r="B119"/>
  <c r="G118"/>
  <c r="L117"/>
  <c r="D117"/>
  <c r="I116"/>
  <c r="A116"/>
  <c r="F115"/>
  <c r="K114"/>
  <c r="C114"/>
  <c r="H113"/>
  <c r="M112"/>
  <c r="E112"/>
  <c r="J111"/>
  <c r="B111"/>
  <c r="G110"/>
  <c r="L109"/>
  <c r="D109"/>
  <c r="I108"/>
  <c r="A108"/>
  <c r="F107"/>
  <c r="K106"/>
  <c r="C106"/>
  <c r="H105"/>
  <c r="M104"/>
  <c r="E104"/>
  <c r="J103"/>
  <c r="B103"/>
  <c r="G102"/>
  <c r="L101"/>
  <c r="D101"/>
  <c r="I100"/>
  <c r="A100"/>
  <c r="F99"/>
  <c r="K98"/>
  <c r="C98"/>
  <c r="H97"/>
  <c r="M96"/>
  <c r="G96"/>
  <c r="B96"/>
  <c r="J95"/>
  <c r="D95"/>
  <c r="L94"/>
  <c r="G94"/>
  <c r="A94"/>
  <c r="I93"/>
  <c r="D93"/>
  <c r="K92"/>
  <c r="F92"/>
  <c r="A92"/>
  <c r="H91"/>
  <c r="C91"/>
  <c r="K90"/>
  <c r="E90"/>
  <c r="M89"/>
  <c r="H89"/>
  <c r="B89"/>
  <c r="J88"/>
  <c r="E88"/>
  <c r="L87"/>
  <c r="G87"/>
  <c r="B87"/>
  <c r="I86"/>
  <c r="D86"/>
  <c r="L85"/>
  <c r="F85"/>
  <c r="A85"/>
  <c r="I84"/>
  <c r="C84"/>
  <c r="K83"/>
  <c r="F83"/>
  <c r="M82"/>
  <c r="H82"/>
  <c r="C82"/>
  <c r="J81"/>
  <c r="E81"/>
  <c r="M80"/>
  <c r="G80"/>
  <c r="B80"/>
  <c r="J79"/>
  <c r="D79"/>
  <c r="L78"/>
  <c r="G78"/>
  <c r="A78"/>
  <c r="I77"/>
  <c r="D77"/>
  <c r="K76"/>
  <c r="F76"/>
  <c r="B76"/>
  <c r="K75"/>
  <c r="G75"/>
  <c r="C75"/>
  <c r="L74"/>
  <c r="H74"/>
  <c r="D74"/>
  <c r="M73"/>
  <c r="I73"/>
  <c r="E73"/>
  <c r="A73"/>
  <c r="J72"/>
  <c r="F72"/>
  <c r="B72"/>
  <c r="K71"/>
  <c r="G71"/>
  <c r="C71"/>
  <c r="L70"/>
  <c r="H70"/>
  <c r="D70"/>
  <c r="M69"/>
  <c r="I69"/>
  <c r="E69"/>
  <c r="A69"/>
  <c r="J68"/>
  <c r="F68"/>
  <c r="B68"/>
  <c r="K67"/>
  <c r="G67"/>
  <c r="C67"/>
  <c r="L66"/>
  <c r="H66"/>
  <c r="D66"/>
  <c r="M65"/>
  <c r="I65"/>
  <c r="E65"/>
  <c r="A65"/>
  <c r="J64"/>
  <c r="F64"/>
  <c r="B64"/>
  <c r="K63"/>
  <c r="G63"/>
  <c r="C63"/>
  <c r="L62"/>
  <c r="H62"/>
  <c r="D62"/>
  <c r="M61"/>
  <c r="I61"/>
  <c r="E61"/>
  <c r="A61"/>
  <c r="J60"/>
  <c r="F60"/>
  <c r="B60"/>
  <c r="K59"/>
  <c r="G59"/>
  <c r="C59"/>
  <c r="L58"/>
  <c r="H58"/>
  <c r="D58"/>
  <c r="M57"/>
  <c r="I57"/>
  <c r="E57"/>
  <c r="A57"/>
  <c r="J56"/>
  <c r="F56"/>
  <c r="B56"/>
  <c r="K55"/>
  <c r="G55"/>
  <c r="C55"/>
  <c r="L54"/>
  <c r="H54"/>
  <c r="D54"/>
  <c r="A13" i="5"/>
  <c r="A5"/>
  <c r="F151" i="4"/>
  <c r="C150"/>
  <c r="M148"/>
  <c r="J147"/>
  <c r="G146"/>
  <c r="D145"/>
  <c r="A144"/>
  <c r="K142"/>
  <c r="H141"/>
  <c r="E140"/>
  <c r="B139"/>
  <c r="D138"/>
  <c r="I137"/>
  <c r="A137"/>
  <c r="F136"/>
  <c r="K135"/>
  <c r="C135"/>
  <c r="H134"/>
  <c r="M133"/>
  <c r="E133"/>
  <c r="J132"/>
  <c r="B132"/>
  <c r="G131"/>
  <c r="L130"/>
  <c r="D130"/>
  <c r="I129"/>
  <c r="A129"/>
  <c r="F128"/>
  <c r="K127"/>
  <c r="C127"/>
  <c r="H126"/>
  <c r="M125"/>
  <c r="E125"/>
  <c r="J124"/>
  <c r="B124"/>
  <c r="G123"/>
  <c r="L122"/>
  <c r="D122"/>
  <c r="I121"/>
  <c r="A121"/>
  <c r="F120"/>
  <c r="K119"/>
  <c r="C119"/>
  <c r="H118"/>
  <c r="M117"/>
  <c r="E117"/>
  <c r="J116"/>
  <c r="B116"/>
  <c r="G115"/>
  <c r="L114"/>
  <c r="D114"/>
  <c r="I113"/>
  <c r="A113"/>
  <c r="F112"/>
  <c r="K111"/>
  <c r="C111"/>
  <c r="H110"/>
  <c r="M109"/>
  <c r="E109"/>
  <c r="J108"/>
  <c r="B108"/>
  <c r="G107"/>
  <c r="L106"/>
  <c r="D106"/>
  <c r="I105"/>
  <c r="A105"/>
  <c r="F104"/>
  <c r="K103"/>
  <c r="C103"/>
  <c r="H102"/>
  <c r="M101"/>
  <c r="E101"/>
  <c r="J100"/>
  <c r="B100"/>
  <c r="G99"/>
  <c r="L98"/>
  <c r="D98"/>
  <c r="I97"/>
  <c r="A97"/>
  <c r="I96"/>
  <c r="C96"/>
  <c r="K95"/>
  <c r="F95"/>
  <c r="M94"/>
  <c r="H94"/>
  <c r="C94"/>
  <c r="J93"/>
  <c r="E93"/>
  <c r="M92"/>
  <c r="G92"/>
  <c r="B92"/>
  <c r="J91"/>
  <c r="D91"/>
  <c r="L90"/>
  <c r="G90"/>
  <c r="A90"/>
  <c r="I89"/>
  <c r="D89"/>
  <c r="K88"/>
  <c r="F88"/>
  <c r="A88"/>
  <c r="H87"/>
  <c r="C87"/>
  <c r="K86"/>
  <c r="E86"/>
  <c r="M85"/>
  <c r="H85"/>
  <c r="B85"/>
  <c r="J84"/>
  <c r="E84"/>
  <c r="L83"/>
  <c r="G83"/>
  <c r="B83"/>
  <c r="I82"/>
  <c r="D82"/>
  <c r="L81"/>
  <c r="F81"/>
  <c r="A81"/>
  <c r="I80"/>
  <c r="C80"/>
  <c r="K79"/>
  <c r="F79"/>
  <c r="M78"/>
  <c r="H78"/>
  <c r="C78"/>
  <c r="J77"/>
  <c r="E77"/>
  <c r="M76"/>
  <c r="G76"/>
  <c r="C76"/>
  <c r="L75"/>
  <c r="H75"/>
  <c r="D75"/>
  <c r="M74"/>
  <c r="I74"/>
  <c r="E74"/>
  <c r="A74"/>
  <c r="J73"/>
  <c r="F73"/>
  <c r="B73"/>
  <c r="K72"/>
  <c r="G72"/>
  <c r="C72"/>
  <c r="L71"/>
  <c r="H71"/>
  <c r="D71"/>
  <c r="M70"/>
  <c r="I70"/>
  <c r="E70"/>
  <c r="A70"/>
  <c r="J69"/>
  <c r="F69"/>
  <c r="B69"/>
  <c r="K68"/>
  <c r="G68"/>
  <c r="C68"/>
  <c r="L67"/>
  <c r="H67"/>
  <c r="D67"/>
  <c r="M66"/>
  <c r="I66"/>
  <c r="E66"/>
  <c r="A66"/>
  <c r="J65"/>
  <c r="F65"/>
  <c r="B65"/>
  <c r="K64"/>
  <c r="G64"/>
  <c r="C64"/>
  <c r="L63"/>
  <c r="H63"/>
  <c r="D63"/>
  <c r="M62"/>
  <c r="I62"/>
  <c r="E62"/>
  <c r="A62"/>
  <c r="J61"/>
  <c r="F61"/>
  <c r="B61"/>
  <c r="K60"/>
  <c r="G60"/>
  <c r="C60"/>
  <c r="L59"/>
  <c r="H59"/>
  <c r="D59"/>
  <c r="M58"/>
  <c r="I58"/>
  <c r="E58"/>
  <c r="A58"/>
  <c r="J57"/>
  <c r="F57"/>
  <c r="B57"/>
  <c r="K56"/>
  <c r="G56"/>
  <c r="C56"/>
  <c r="L55"/>
  <c r="H55"/>
  <c r="D55"/>
  <c r="M54"/>
  <c r="I54"/>
  <c r="E54"/>
  <c r="A54"/>
  <c r="J53"/>
  <c r="F53"/>
  <c r="B53"/>
  <c r="K52"/>
  <c r="G52"/>
  <c r="C52"/>
  <c r="L51"/>
  <c r="H51"/>
  <c r="D51"/>
  <c r="M50"/>
  <c r="I50"/>
  <c r="E50"/>
  <c r="A50"/>
  <c r="J49"/>
  <c r="F49"/>
  <c r="B49"/>
  <c r="K48"/>
  <c r="G48"/>
  <c r="C48"/>
  <c r="L47"/>
  <c r="H47"/>
  <c r="D47"/>
  <c r="M46"/>
  <c r="I46"/>
  <c r="E46"/>
  <c r="A46"/>
  <c r="J45"/>
  <c r="F45"/>
  <c r="B45"/>
  <c r="K44"/>
  <c r="G44"/>
  <c r="C44"/>
  <c r="L43"/>
  <c r="H43"/>
  <c r="D43"/>
  <c r="M42"/>
  <c r="I42"/>
  <c r="E42"/>
  <c r="A42"/>
  <c r="J41"/>
  <c r="F41"/>
  <c r="B41"/>
  <c r="K40"/>
  <c r="G40"/>
  <c r="C40"/>
  <c r="L39"/>
  <c r="H39"/>
  <c r="D39"/>
  <c r="M38"/>
  <c r="I38"/>
  <c r="E38"/>
  <c r="A38"/>
  <c r="A15" i="5"/>
  <c r="A7"/>
  <c r="J151" i="4"/>
  <c r="G150"/>
  <c r="D149"/>
  <c r="A148"/>
  <c r="K146"/>
  <c r="H145"/>
  <c r="E144"/>
  <c r="B143"/>
  <c r="L141"/>
  <c r="I140"/>
  <c r="F139"/>
  <c r="G138"/>
  <c r="L137"/>
  <c r="D137"/>
  <c r="I136"/>
  <c r="A136"/>
  <c r="F135"/>
  <c r="K134"/>
  <c r="C134"/>
  <c r="H133"/>
  <c r="M132"/>
  <c r="E132"/>
  <c r="J131"/>
  <c r="B131"/>
  <c r="G130"/>
  <c r="L129"/>
  <c r="D129"/>
  <c r="I128"/>
  <c r="A128"/>
  <c r="F127"/>
  <c r="K126"/>
  <c r="C126"/>
  <c r="H125"/>
  <c r="M124"/>
  <c r="E124"/>
  <c r="J123"/>
  <c r="B123"/>
  <c r="G122"/>
  <c r="L121"/>
  <c r="D121"/>
  <c r="I120"/>
  <c r="A120"/>
  <c r="F119"/>
  <c r="K118"/>
  <c r="C118"/>
  <c r="H117"/>
  <c r="M116"/>
  <c r="E116"/>
  <c r="J115"/>
  <c r="B115"/>
  <c r="G114"/>
  <c r="L113"/>
  <c r="D113"/>
  <c r="I112"/>
  <c r="A112"/>
  <c r="F111"/>
  <c r="K110"/>
  <c r="C110"/>
  <c r="H109"/>
  <c r="M108"/>
  <c r="E108"/>
  <c r="J107"/>
  <c r="B107"/>
  <c r="G106"/>
  <c r="L105"/>
  <c r="D105"/>
  <c r="I104"/>
  <c r="A104"/>
  <c r="F103"/>
  <c r="K102"/>
  <c r="C102"/>
  <c r="H101"/>
  <c r="M100"/>
  <c r="E100"/>
  <c r="J99"/>
  <c r="B99"/>
  <c r="G98"/>
  <c r="L97"/>
  <c r="D97"/>
  <c r="J96"/>
  <c r="E96"/>
  <c r="L95"/>
  <c r="G95"/>
  <c r="B95"/>
  <c r="I94"/>
  <c r="D94"/>
  <c r="L93"/>
  <c r="F93"/>
  <c r="A93"/>
  <c r="I92"/>
  <c r="C92"/>
  <c r="K91"/>
  <c r="F91"/>
  <c r="M90"/>
  <c r="H90"/>
  <c r="C90"/>
  <c r="J89"/>
  <c r="E89"/>
  <c r="M88"/>
  <c r="G88"/>
  <c r="B88"/>
  <c r="J87"/>
  <c r="D87"/>
  <c r="L86"/>
  <c r="G86"/>
  <c r="A86"/>
  <c r="I85"/>
  <c r="D85"/>
  <c r="K84"/>
  <c r="F84"/>
  <c r="A84"/>
  <c r="H83"/>
  <c r="C83"/>
  <c r="K82"/>
  <c r="E82"/>
  <c r="M81"/>
  <c r="H81"/>
  <c r="B81"/>
  <c r="J80"/>
  <c r="E80"/>
  <c r="L79"/>
  <c r="G79"/>
  <c r="B79"/>
  <c r="I78"/>
  <c r="D78"/>
  <c r="L77"/>
  <c r="F77"/>
  <c r="A77"/>
  <c r="I76"/>
  <c r="D76"/>
  <c r="M75"/>
  <c r="I75"/>
  <c r="E75"/>
  <c r="A75"/>
  <c r="J74"/>
  <c r="F74"/>
  <c r="B74"/>
  <c r="K73"/>
  <c r="G73"/>
  <c r="C73"/>
  <c r="L72"/>
  <c r="H72"/>
  <c r="D72"/>
  <c r="M71"/>
  <c r="I71"/>
  <c r="E71"/>
  <c r="A71"/>
  <c r="J70"/>
  <c r="F70"/>
  <c r="B70"/>
  <c r="K69"/>
  <c r="G69"/>
  <c r="C69"/>
  <c r="L68"/>
  <c r="H68"/>
  <c r="D68"/>
  <c r="M67"/>
  <c r="I67"/>
  <c r="E67"/>
  <c r="A67"/>
  <c r="J66"/>
  <c r="F66"/>
  <c r="B66"/>
  <c r="K65"/>
  <c r="G65"/>
  <c r="C65"/>
  <c r="L64"/>
  <c r="H64"/>
  <c r="D64"/>
  <c r="M63"/>
  <c r="I63"/>
  <c r="E63"/>
  <c r="A63"/>
  <c r="J62"/>
  <c r="F62"/>
  <c r="B62"/>
  <c r="K61"/>
  <c r="G61"/>
  <c r="C61"/>
  <c r="L60"/>
  <c r="H60"/>
  <c r="D60"/>
  <c r="M59"/>
  <c r="I59"/>
  <c r="E59"/>
  <c r="A59"/>
  <c r="J58"/>
  <c r="F58"/>
  <c r="B58"/>
  <c r="K57"/>
  <c r="G57"/>
  <c r="C57"/>
  <c r="L56"/>
  <c r="H56"/>
  <c r="D56"/>
  <c r="M55"/>
  <c r="I55"/>
  <c r="E55"/>
  <c r="A55"/>
  <c r="J54"/>
  <c r="F54"/>
  <c r="B54"/>
  <c r="A17" i="5"/>
  <c r="A9"/>
  <c r="A1"/>
  <c r="K150" i="4"/>
  <c r="H149"/>
  <c r="E148"/>
  <c r="B147"/>
  <c r="L145"/>
  <c r="I144"/>
  <c r="F143"/>
  <c r="C142"/>
  <c r="M140"/>
  <c r="J139"/>
  <c r="H138"/>
  <c r="M137"/>
  <c r="E137"/>
  <c r="J136"/>
  <c r="B136"/>
  <c r="G135"/>
  <c r="L134"/>
  <c r="D134"/>
  <c r="I133"/>
  <c r="A133"/>
  <c r="F132"/>
  <c r="K131"/>
  <c r="C131"/>
  <c r="H130"/>
  <c r="M129"/>
  <c r="E129"/>
  <c r="J128"/>
  <c r="B128"/>
  <c r="G127"/>
  <c r="L126"/>
  <c r="D126"/>
  <c r="I125"/>
  <c r="A125"/>
  <c r="F124"/>
  <c r="K123"/>
  <c r="C123"/>
  <c r="H122"/>
  <c r="M121"/>
  <c r="E121"/>
  <c r="J120"/>
  <c r="B120"/>
  <c r="G119"/>
  <c r="L118"/>
  <c r="D118"/>
  <c r="I117"/>
  <c r="A117"/>
  <c r="F116"/>
  <c r="K115"/>
  <c r="C115"/>
  <c r="H114"/>
  <c r="M113"/>
  <c r="E113"/>
  <c r="J112"/>
  <c r="B112"/>
  <c r="G111"/>
  <c r="L110"/>
  <c r="D110"/>
  <c r="I109"/>
  <c r="A109"/>
  <c r="F108"/>
  <c r="K107"/>
  <c r="C107"/>
  <c r="H106"/>
  <c r="M105"/>
  <c r="E105"/>
  <c r="J104"/>
  <c r="B104"/>
  <c r="G103"/>
  <c r="L102"/>
  <c r="D102"/>
  <c r="I101"/>
  <c r="A101"/>
  <c r="F100"/>
  <c r="K99"/>
  <c r="C99"/>
  <c r="H98"/>
  <c r="M97"/>
  <c r="E97"/>
  <c r="K96"/>
  <c r="F96"/>
  <c r="A96"/>
  <c r="H95"/>
  <c r="C95"/>
  <c r="K94"/>
  <c r="E94"/>
  <c r="M93"/>
  <c r="H93"/>
  <c r="B93"/>
  <c r="J92"/>
  <c r="E92"/>
  <c r="L91"/>
  <c r="G91"/>
  <c r="B91"/>
  <c r="I90"/>
  <c r="D90"/>
  <c r="L89"/>
  <c r="F89"/>
  <c r="A89"/>
  <c r="I88"/>
  <c r="C88"/>
  <c r="K87"/>
  <c r="F87"/>
  <c r="M86"/>
  <c r="H86"/>
  <c r="C86"/>
  <c r="J85"/>
  <c r="E85"/>
  <c r="M84"/>
  <c r="G84"/>
  <c r="B84"/>
  <c r="J83"/>
  <c r="D83"/>
  <c r="L82"/>
  <c r="G82"/>
  <c r="A82"/>
  <c r="I81"/>
  <c r="D81"/>
  <c r="K80"/>
  <c r="F80"/>
  <c r="A80"/>
  <c r="H79"/>
  <c r="C79"/>
  <c r="K78"/>
  <c r="E78"/>
  <c r="M77"/>
  <c r="H77"/>
  <c r="B77"/>
  <c r="J76"/>
  <c r="E76"/>
  <c r="A76"/>
  <c r="J75"/>
  <c r="F75"/>
  <c r="B75"/>
  <c r="K74"/>
  <c r="G74"/>
  <c r="C74"/>
  <c r="L73"/>
  <c r="H73"/>
  <c r="D73"/>
  <c r="M72"/>
  <c r="I72"/>
  <c r="E72"/>
  <c r="A72"/>
  <c r="J71"/>
  <c r="F71"/>
  <c r="B71"/>
  <c r="K70"/>
  <c r="G70"/>
  <c r="C70"/>
  <c r="L69"/>
  <c r="H69"/>
  <c r="D69"/>
  <c r="M68"/>
  <c r="I68"/>
  <c r="E68"/>
  <c r="A68"/>
  <c r="J67"/>
  <c r="F67"/>
  <c r="B67"/>
  <c r="K66"/>
  <c r="G66"/>
  <c r="C66"/>
  <c r="L65"/>
  <c r="H65"/>
  <c r="D65"/>
  <c r="M64"/>
  <c r="I64"/>
  <c r="E64"/>
  <c r="A64"/>
  <c r="J63"/>
  <c r="F63"/>
  <c r="B63"/>
  <c r="K62"/>
  <c r="G62"/>
  <c r="C62"/>
  <c r="L61"/>
  <c r="H61"/>
  <c r="D61"/>
  <c r="M60"/>
  <c r="I60"/>
  <c r="E60"/>
  <c r="A60"/>
  <c r="J59"/>
  <c r="F59"/>
  <c r="B59"/>
  <c r="K58"/>
  <c r="G58"/>
  <c r="C58"/>
  <c r="L57"/>
  <c r="H57"/>
  <c r="D57"/>
  <c r="M56"/>
  <c r="I56"/>
  <c r="E56"/>
  <c r="A56"/>
  <c r="J55"/>
  <c r="F55"/>
  <c r="B55"/>
  <c r="K54"/>
  <c r="G54"/>
  <c r="C54"/>
  <c r="L53"/>
  <c r="H53"/>
  <c r="D53"/>
  <c r="M52"/>
  <c r="I52"/>
  <c r="E52"/>
  <c r="A52"/>
  <c r="J51"/>
  <c r="F51"/>
  <c r="B51"/>
  <c r="K50"/>
  <c r="G50"/>
  <c r="C50"/>
  <c r="L49"/>
  <c r="H49"/>
  <c r="D49"/>
  <c r="M48"/>
  <c r="I48"/>
  <c r="E48"/>
  <c r="A48"/>
  <c r="J47"/>
  <c r="F47"/>
  <c r="B47"/>
  <c r="K46"/>
  <c r="G46"/>
  <c r="C46"/>
  <c r="L45"/>
  <c r="H45"/>
  <c r="D45"/>
  <c r="M44"/>
  <c r="I44"/>
  <c r="E44"/>
  <c r="A44"/>
  <c r="J43"/>
  <c r="F43"/>
  <c r="B43"/>
  <c r="K42"/>
  <c r="G42"/>
  <c r="C42"/>
  <c r="L41"/>
  <c r="H41"/>
  <c r="D41"/>
  <c r="M40"/>
  <c r="I40"/>
  <c r="E40"/>
  <c r="A40"/>
  <c r="J39"/>
  <c r="F39"/>
  <c r="B39"/>
  <c r="K38"/>
  <c r="G38"/>
  <c r="C38"/>
  <c r="L37"/>
  <c r="G53"/>
  <c r="L52"/>
  <c r="D52"/>
  <c r="I51"/>
  <c r="A51"/>
  <c r="F50"/>
  <c r="K49"/>
  <c r="C49"/>
  <c r="H48"/>
  <c r="M47"/>
  <c r="E47"/>
  <c r="J46"/>
  <c r="B46"/>
  <c r="G45"/>
  <c r="L44"/>
  <c r="D44"/>
  <c r="I43"/>
  <c r="A43"/>
  <c r="F42"/>
  <c r="K41"/>
  <c r="C41"/>
  <c r="H40"/>
  <c r="M39"/>
  <c r="E39"/>
  <c r="J38"/>
  <c r="B38"/>
  <c r="I37"/>
  <c r="E37"/>
  <c r="A37"/>
  <c r="J36"/>
  <c r="F36"/>
  <c r="B36"/>
  <c r="K35"/>
  <c r="G35"/>
  <c r="C35"/>
  <c r="L34"/>
  <c r="H34"/>
  <c r="D34"/>
  <c r="M33"/>
  <c r="I33"/>
  <c r="E33"/>
  <c r="A33"/>
  <c r="J32"/>
  <c r="F32"/>
  <c r="B32"/>
  <c r="K31"/>
  <c r="G31"/>
  <c r="C31"/>
  <c r="L30"/>
  <c r="H30"/>
  <c r="D30"/>
  <c r="M29"/>
  <c r="I29"/>
  <c r="E29"/>
  <c r="A29"/>
  <c r="J28"/>
  <c r="F28"/>
  <c r="B28"/>
  <c r="K27"/>
  <c r="G27"/>
  <c r="C27"/>
  <c r="L26"/>
  <c r="H26"/>
  <c r="D26"/>
  <c r="M25"/>
  <c r="I25"/>
  <c r="E25"/>
  <c r="A25"/>
  <c r="J24"/>
  <c r="F24"/>
  <c r="B24"/>
  <c r="K23"/>
  <c r="G23"/>
  <c r="C23"/>
  <c r="L22"/>
  <c r="H22"/>
  <c r="D22"/>
  <c r="M21"/>
  <c r="I21"/>
  <c r="E21"/>
  <c r="A21"/>
  <c r="J20"/>
  <c r="F20"/>
  <c r="B20"/>
  <c r="K19"/>
  <c r="G19"/>
  <c r="C19"/>
  <c r="L18"/>
  <c r="H18"/>
  <c r="D18"/>
  <c r="M17"/>
  <c r="I17"/>
  <c r="E17"/>
  <c r="A17"/>
  <c r="J16"/>
  <c r="F16"/>
  <c r="B16"/>
  <c r="K15"/>
  <c r="G15"/>
  <c r="C15"/>
  <c r="L14"/>
  <c r="H14"/>
  <c r="D14"/>
  <c r="M13"/>
  <c r="I13"/>
  <c r="E13"/>
  <c r="A13"/>
  <c r="J12"/>
  <c r="F12"/>
  <c r="B12"/>
  <c r="K11"/>
  <c r="G11"/>
  <c r="C11"/>
  <c r="L10"/>
  <c r="H10"/>
  <c r="D10"/>
  <c r="M9"/>
  <c r="I9"/>
  <c r="E9"/>
  <c r="A9"/>
  <c r="J8"/>
  <c r="F8"/>
  <c r="B8"/>
  <c r="K7"/>
  <c r="G7"/>
  <c r="C7"/>
  <c r="L6"/>
  <c r="H6"/>
  <c r="D6"/>
  <c r="M5"/>
  <c r="I5"/>
  <c r="E5"/>
  <c r="A5"/>
  <c r="J4"/>
  <c r="F4"/>
  <c r="B4"/>
  <c r="K3"/>
  <c r="G3"/>
  <c r="C3"/>
  <c r="L2"/>
  <c r="H2"/>
  <c r="D2"/>
  <c r="M1"/>
  <c r="I1"/>
  <c r="E1"/>
  <c r="A1"/>
  <c r="J620" i="3"/>
  <c r="F620"/>
  <c r="B620"/>
  <c r="K619"/>
  <c r="G619"/>
  <c r="C619"/>
  <c r="L618"/>
  <c r="H618"/>
  <c r="D618"/>
  <c r="M617"/>
  <c r="I617"/>
  <c r="E617"/>
  <c r="A617"/>
  <c r="J616"/>
  <c r="F616"/>
  <c r="B616"/>
  <c r="K615"/>
  <c r="G615"/>
  <c r="C615"/>
  <c r="L614"/>
  <c r="H614"/>
  <c r="D614"/>
  <c r="M613"/>
  <c r="I613"/>
  <c r="E613"/>
  <c r="A613"/>
  <c r="J612"/>
  <c r="F612"/>
  <c r="B612"/>
  <c r="K611"/>
  <c r="G611"/>
  <c r="C611"/>
  <c r="L610"/>
  <c r="H610"/>
  <c r="D610"/>
  <c r="M609"/>
  <c r="I609"/>
  <c r="E609"/>
  <c r="A609"/>
  <c r="J608"/>
  <c r="F608"/>
  <c r="B608"/>
  <c r="K607"/>
  <c r="G607"/>
  <c r="C607"/>
  <c r="L606"/>
  <c r="H606"/>
  <c r="D606"/>
  <c r="M605"/>
  <c r="I605"/>
  <c r="E605"/>
  <c r="A605"/>
  <c r="J604"/>
  <c r="F604"/>
  <c r="B604"/>
  <c r="K603"/>
  <c r="G603"/>
  <c r="C603"/>
  <c r="L602"/>
  <c r="H602"/>
  <c r="D602"/>
  <c r="M601"/>
  <c r="I601"/>
  <c r="E601"/>
  <c r="A601"/>
  <c r="J600"/>
  <c r="F600"/>
  <c r="B600"/>
  <c r="K599"/>
  <c r="G599"/>
  <c r="C599"/>
  <c r="L598"/>
  <c r="H598"/>
  <c r="D598"/>
  <c r="M597"/>
  <c r="I597"/>
  <c r="E597"/>
  <c r="A597"/>
  <c r="J596"/>
  <c r="F596"/>
  <c r="B596"/>
  <c r="K595"/>
  <c r="G595"/>
  <c r="C595"/>
  <c r="L594"/>
  <c r="H594"/>
  <c r="D594"/>
  <c r="M593"/>
  <c r="I593"/>
  <c r="E593"/>
  <c r="A593"/>
  <c r="J592"/>
  <c r="F592"/>
  <c r="B592"/>
  <c r="K591"/>
  <c r="G591"/>
  <c r="C591"/>
  <c r="L590"/>
  <c r="H590"/>
  <c r="D590"/>
  <c r="M589"/>
  <c r="I589"/>
  <c r="E589"/>
  <c r="A589"/>
  <c r="J588"/>
  <c r="F588"/>
  <c r="B588"/>
  <c r="K587"/>
  <c r="G587"/>
  <c r="C587"/>
  <c r="I53" i="4"/>
  <c r="A53"/>
  <c r="F52"/>
  <c r="K51"/>
  <c r="C51"/>
  <c r="H50"/>
  <c r="M49"/>
  <c r="E49"/>
  <c r="J48"/>
  <c r="B48"/>
  <c r="G47"/>
  <c r="L46"/>
  <c r="D46"/>
  <c r="I45"/>
  <c r="A45"/>
  <c r="F44"/>
  <c r="K43"/>
  <c r="C43"/>
  <c r="H42"/>
  <c r="M41"/>
  <c r="E41"/>
  <c r="J40"/>
  <c r="B40"/>
  <c r="G39"/>
  <c r="L38"/>
  <c r="D38"/>
  <c r="J37"/>
  <c r="F37"/>
  <c r="B37"/>
  <c r="K36"/>
  <c r="G36"/>
  <c r="C36"/>
  <c r="L35"/>
  <c r="H35"/>
  <c r="D35"/>
  <c r="M34"/>
  <c r="I34"/>
  <c r="E34"/>
  <c r="A34"/>
  <c r="J33"/>
  <c r="F33"/>
  <c r="B33"/>
  <c r="K32"/>
  <c r="G32"/>
  <c r="C32"/>
  <c r="L31"/>
  <c r="H31"/>
  <c r="D31"/>
  <c r="M30"/>
  <c r="I30"/>
  <c r="E30"/>
  <c r="A30"/>
  <c r="J29"/>
  <c r="F29"/>
  <c r="B29"/>
  <c r="K28"/>
  <c r="G28"/>
  <c r="C28"/>
  <c r="L27"/>
  <c r="H27"/>
  <c r="D27"/>
  <c r="M26"/>
  <c r="I26"/>
  <c r="E26"/>
  <c r="A26"/>
  <c r="J25"/>
  <c r="F25"/>
  <c r="B25"/>
  <c r="K24"/>
  <c r="G24"/>
  <c r="C24"/>
  <c r="L23"/>
  <c r="H23"/>
  <c r="D23"/>
  <c r="M22"/>
  <c r="I22"/>
  <c r="E22"/>
  <c r="A22"/>
  <c r="J21"/>
  <c r="F21"/>
  <c r="B21"/>
  <c r="K20"/>
  <c r="G20"/>
  <c r="C20"/>
  <c r="L19"/>
  <c r="H19"/>
  <c r="D19"/>
  <c r="M18"/>
  <c r="I18"/>
  <c r="E18"/>
  <c r="A18"/>
  <c r="J17"/>
  <c r="F17"/>
  <c r="B17"/>
  <c r="K16"/>
  <c r="G16"/>
  <c r="C16"/>
  <c r="L15"/>
  <c r="H15"/>
  <c r="D15"/>
  <c r="M14"/>
  <c r="I14"/>
  <c r="E14"/>
  <c r="A14"/>
  <c r="J13"/>
  <c r="F13"/>
  <c r="B13"/>
  <c r="K12"/>
  <c r="G12"/>
  <c r="C12"/>
  <c r="L11"/>
  <c r="H11"/>
  <c r="D11"/>
  <c r="M10"/>
  <c r="I10"/>
  <c r="E10"/>
  <c r="A10"/>
  <c r="J9"/>
  <c r="F9"/>
  <c r="B9"/>
  <c r="K8"/>
  <c r="G8"/>
  <c r="C8"/>
  <c r="L7"/>
  <c r="H7"/>
  <c r="D7"/>
  <c r="M6"/>
  <c r="I6"/>
  <c r="E6"/>
  <c r="A6"/>
  <c r="J5"/>
  <c r="F5"/>
  <c r="B5"/>
  <c r="K4"/>
  <c r="G4"/>
  <c r="C4"/>
  <c r="L3"/>
  <c r="H3"/>
  <c r="D3"/>
  <c r="M2"/>
  <c r="I2"/>
  <c r="E2"/>
  <c r="A2"/>
  <c r="J1"/>
  <c r="F1"/>
  <c r="B1"/>
  <c r="K620" i="3"/>
  <c r="G620"/>
  <c r="C620"/>
  <c r="L619"/>
  <c r="H619"/>
  <c r="D619"/>
  <c r="M618"/>
  <c r="I618"/>
  <c r="E618"/>
  <c r="A618"/>
  <c r="J617"/>
  <c r="F617"/>
  <c r="B617"/>
  <c r="K616"/>
  <c r="G616"/>
  <c r="C616"/>
  <c r="L615"/>
  <c r="H615"/>
  <c r="D615"/>
  <c r="M614"/>
  <c r="I614"/>
  <c r="E614"/>
  <c r="A614"/>
  <c r="J613"/>
  <c r="F613"/>
  <c r="B613"/>
  <c r="K612"/>
  <c r="G612"/>
  <c r="C612"/>
  <c r="L611"/>
  <c r="H611"/>
  <c r="D611"/>
  <c r="M610"/>
  <c r="I610"/>
  <c r="E610"/>
  <c r="A610"/>
  <c r="J609"/>
  <c r="F609"/>
  <c r="B609"/>
  <c r="K608"/>
  <c r="G608"/>
  <c r="C608"/>
  <c r="L607"/>
  <c r="H607"/>
  <c r="D607"/>
  <c r="M606"/>
  <c r="I606"/>
  <c r="E606"/>
  <c r="A606"/>
  <c r="J605"/>
  <c r="F605"/>
  <c r="B605"/>
  <c r="K604"/>
  <c r="G604"/>
  <c r="C604"/>
  <c r="L603"/>
  <c r="H603"/>
  <c r="D603"/>
  <c r="M602"/>
  <c r="I602"/>
  <c r="E602"/>
  <c r="A602"/>
  <c r="J601"/>
  <c r="F601"/>
  <c r="B601"/>
  <c r="K600"/>
  <c r="G600"/>
  <c r="C600"/>
  <c r="L599"/>
  <c r="H599"/>
  <c r="D599"/>
  <c r="M598"/>
  <c r="I598"/>
  <c r="E598"/>
  <c r="A598"/>
  <c r="J597"/>
  <c r="F597"/>
  <c r="B597"/>
  <c r="K596"/>
  <c r="G596"/>
  <c r="C596"/>
  <c r="L595"/>
  <c r="H595"/>
  <c r="D595"/>
  <c r="M594"/>
  <c r="I594"/>
  <c r="E594"/>
  <c r="A594"/>
  <c r="J593"/>
  <c r="F593"/>
  <c r="B593"/>
  <c r="K592"/>
  <c r="G592"/>
  <c r="C592"/>
  <c r="L591"/>
  <c r="H591"/>
  <c r="D591"/>
  <c r="M590"/>
  <c r="I590"/>
  <c r="E590"/>
  <c r="A590"/>
  <c r="J589"/>
  <c r="F589"/>
  <c r="B589"/>
  <c r="K588"/>
  <c r="G588"/>
  <c r="C588"/>
  <c r="L587"/>
  <c r="H587"/>
  <c r="D587"/>
  <c r="M586"/>
  <c r="I586"/>
  <c r="E586"/>
  <c r="A586"/>
  <c r="J585"/>
  <c r="F585"/>
  <c r="B585"/>
  <c r="K584"/>
  <c r="G584"/>
  <c r="C584"/>
  <c r="L583"/>
  <c r="H583"/>
  <c r="D583"/>
  <c r="M582"/>
  <c r="I582"/>
  <c r="K53" i="4"/>
  <c r="C53"/>
  <c r="H52"/>
  <c r="M51"/>
  <c r="E51"/>
  <c r="J50"/>
  <c r="B50"/>
  <c r="G49"/>
  <c r="L48"/>
  <c r="D48"/>
  <c r="I47"/>
  <c r="A47"/>
  <c r="F46"/>
  <c r="K45"/>
  <c r="C45"/>
  <c r="H44"/>
  <c r="M43"/>
  <c r="E43"/>
  <c r="J42"/>
  <c r="B42"/>
  <c r="G41"/>
  <c r="L40"/>
  <c r="D40"/>
  <c r="I39"/>
  <c r="A39"/>
  <c r="F38"/>
  <c r="K37"/>
  <c r="G37"/>
  <c r="C37"/>
  <c r="L36"/>
  <c r="H36"/>
  <c r="D36"/>
  <c r="M35"/>
  <c r="I35"/>
  <c r="E35"/>
  <c r="A35"/>
  <c r="J34"/>
  <c r="F34"/>
  <c r="B34"/>
  <c r="K33"/>
  <c r="G33"/>
  <c r="C33"/>
  <c r="L32"/>
  <c r="H32"/>
  <c r="D32"/>
  <c r="M31"/>
  <c r="I31"/>
  <c r="E31"/>
  <c r="A31"/>
  <c r="J30"/>
  <c r="F30"/>
  <c r="B30"/>
  <c r="K29"/>
  <c r="G29"/>
  <c r="C29"/>
  <c r="L28"/>
  <c r="H28"/>
  <c r="D28"/>
  <c r="M27"/>
  <c r="I27"/>
  <c r="E27"/>
  <c r="A27"/>
  <c r="J26"/>
  <c r="F26"/>
  <c r="B26"/>
  <c r="K25"/>
  <c r="G25"/>
  <c r="C25"/>
  <c r="L24"/>
  <c r="H24"/>
  <c r="D24"/>
  <c r="M23"/>
  <c r="I23"/>
  <c r="E23"/>
  <c r="A23"/>
  <c r="J22"/>
  <c r="F22"/>
  <c r="B22"/>
  <c r="K21"/>
  <c r="G21"/>
  <c r="C21"/>
  <c r="L20"/>
  <c r="H20"/>
  <c r="D20"/>
  <c r="M19"/>
  <c r="I19"/>
  <c r="E19"/>
  <c r="A19"/>
  <c r="J18"/>
  <c r="F18"/>
  <c r="B18"/>
  <c r="K17"/>
  <c r="G17"/>
  <c r="C17"/>
  <c r="L16"/>
  <c r="H16"/>
  <c r="D16"/>
  <c r="M15"/>
  <c r="I15"/>
  <c r="E15"/>
  <c r="A15"/>
  <c r="J14"/>
  <c r="F14"/>
  <c r="B14"/>
  <c r="K13"/>
  <c r="G13"/>
  <c r="C13"/>
  <c r="L12"/>
  <c r="H12"/>
  <c r="D12"/>
  <c r="M11"/>
  <c r="I11"/>
  <c r="E11"/>
  <c r="A11"/>
  <c r="J10"/>
  <c r="F10"/>
  <c r="B10"/>
  <c r="K9"/>
  <c r="G9"/>
  <c r="C9"/>
  <c r="L8"/>
  <c r="H8"/>
  <c r="D8"/>
  <c r="M7"/>
  <c r="I7"/>
  <c r="E7"/>
  <c r="A7"/>
  <c r="J6"/>
  <c r="F6"/>
  <c r="B6"/>
  <c r="K5"/>
  <c r="G5"/>
  <c r="C5"/>
  <c r="L4"/>
  <c r="H4"/>
  <c r="D4"/>
  <c r="M3"/>
  <c r="I3"/>
  <c r="E3"/>
  <c r="A3"/>
  <c r="J2"/>
  <c r="F2"/>
  <c r="B2"/>
  <c r="K1"/>
  <c r="G1"/>
  <c r="C1"/>
  <c r="L620" i="3"/>
  <c r="H620"/>
  <c r="D620"/>
  <c r="M619"/>
  <c r="I619"/>
  <c r="E619"/>
  <c r="A619"/>
  <c r="J618"/>
  <c r="F618"/>
  <c r="B618"/>
  <c r="K617"/>
  <c r="G617"/>
  <c r="C617"/>
  <c r="L616"/>
  <c r="H616"/>
  <c r="D616"/>
  <c r="M615"/>
  <c r="I615"/>
  <c r="E615"/>
  <c r="A615"/>
  <c r="J614"/>
  <c r="F614"/>
  <c r="B614"/>
  <c r="K613"/>
  <c r="G613"/>
  <c r="C613"/>
  <c r="L612"/>
  <c r="H612"/>
  <c r="D612"/>
  <c r="M611"/>
  <c r="I611"/>
  <c r="E611"/>
  <c r="A611"/>
  <c r="J610"/>
  <c r="F610"/>
  <c r="B610"/>
  <c r="K609"/>
  <c r="G609"/>
  <c r="C609"/>
  <c r="L608"/>
  <c r="H608"/>
  <c r="D608"/>
  <c r="M607"/>
  <c r="I607"/>
  <c r="E607"/>
  <c r="A607"/>
  <c r="J606"/>
  <c r="F606"/>
  <c r="B606"/>
  <c r="K605"/>
  <c r="G605"/>
  <c r="C605"/>
  <c r="L604"/>
  <c r="H604"/>
  <c r="D604"/>
  <c r="M603"/>
  <c r="I603"/>
  <c r="E603"/>
  <c r="A603"/>
  <c r="J602"/>
  <c r="F602"/>
  <c r="B602"/>
  <c r="K601"/>
  <c r="G601"/>
  <c r="C601"/>
  <c r="L600"/>
  <c r="H600"/>
  <c r="D600"/>
  <c r="M599"/>
  <c r="I599"/>
  <c r="E599"/>
  <c r="A599"/>
  <c r="J598"/>
  <c r="F598"/>
  <c r="B598"/>
  <c r="K597"/>
  <c r="G597"/>
  <c r="C597"/>
  <c r="L596"/>
  <c r="H596"/>
  <c r="D596"/>
  <c r="M595"/>
  <c r="I595"/>
  <c r="E595"/>
  <c r="A595"/>
  <c r="J594"/>
  <c r="F594"/>
  <c r="B594"/>
  <c r="K593"/>
  <c r="G593"/>
  <c r="C593"/>
  <c r="L592"/>
  <c r="H592"/>
  <c r="D592"/>
  <c r="M591"/>
  <c r="I591"/>
  <c r="E591"/>
  <c r="A591"/>
  <c r="J590"/>
  <c r="F590"/>
  <c r="B590"/>
  <c r="K589"/>
  <c r="G589"/>
  <c r="C589"/>
  <c r="L588"/>
  <c r="H588"/>
  <c r="D588"/>
  <c r="M587"/>
  <c r="I587"/>
  <c r="E587"/>
  <c r="M53" i="4"/>
  <c r="E53"/>
  <c r="J52"/>
  <c r="B52"/>
  <c r="G51"/>
  <c r="L50"/>
  <c r="D50"/>
  <c r="I49"/>
  <c r="A49"/>
  <c r="F48"/>
  <c r="K47"/>
  <c r="C47"/>
  <c r="H46"/>
  <c r="M45"/>
  <c r="E45"/>
  <c r="J44"/>
  <c r="B44"/>
  <c r="G43"/>
  <c r="L42"/>
  <c r="D42"/>
  <c r="I41"/>
  <c r="A41"/>
  <c r="F40"/>
  <c r="K39"/>
  <c r="C39"/>
  <c r="H38"/>
  <c r="M37"/>
  <c r="H37"/>
  <c r="D37"/>
  <c r="M36"/>
  <c r="I36"/>
  <c r="E36"/>
  <c r="A36"/>
  <c r="J35"/>
  <c r="F35"/>
  <c r="B35"/>
  <c r="K34"/>
  <c r="G34"/>
  <c r="C34"/>
  <c r="L33"/>
  <c r="H33"/>
  <c r="D33"/>
  <c r="M32"/>
  <c r="I32"/>
  <c r="E32"/>
  <c r="A32"/>
  <c r="J31"/>
  <c r="F31"/>
  <c r="B31"/>
  <c r="K30"/>
  <c r="G30"/>
  <c r="C30"/>
  <c r="L29"/>
  <c r="H29"/>
  <c r="D29"/>
  <c r="M28"/>
  <c r="I28"/>
  <c r="E28"/>
  <c r="A28"/>
  <c r="J27"/>
  <c r="F27"/>
  <c r="B27"/>
  <c r="K26"/>
  <c r="G26"/>
  <c r="C26"/>
  <c r="L25"/>
  <c r="H25"/>
  <c r="D25"/>
  <c r="M24"/>
  <c r="I24"/>
  <c r="E24"/>
  <c r="A24"/>
  <c r="J23"/>
  <c r="F23"/>
  <c r="B23"/>
  <c r="K22"/>
  <c r="G22"/>
  <c r="C22"/>
  <c r="L21"/>
  <c r="H21"/>
  <c r="D21"/>
  <c r="M20"/>
  <c r="I20"/>
  <c r="E20"/>
  <c r="A20"/>
  <c r="J19"/>
  <c r="F19"/>
  <c r="B19"/>
  <c r="K18"/>
  <c r="G18"/>
  <c r="C18"/>
  <c r="L17"/>
  <c r="H17"/>
  <c r="D17"/>
  <c r="M16"/>
  <c r="I16"/>
  <c r="E16"/>
  <c r="A16"/>
  <c r="J15"/>
  <c r="F15"/>
  <c r="B15"/>
  <c r="K14"/>
  <c r="G14"/>
  <c r="C14"/>
  <c r="L13"/>
  <c r="H13"/>
  <c r="D13"/>
  <c r="M12"/>
  <c r="I12"/>
  <c r="E12"/>
  <c r="A12"/>
  <c r="J11"/>
  <c r="F11"/>
  <c r="B11"/>
  <c r="K10"/>
  <c r="G10"/>
  <c r="C10"/>
  <c r="L9"/>
  <c r="H9"/>
  <c r="D9"/>
  <c r="M8"/>
  <c r="I8"/>
  <c r="E8"/>
  <c r="A8"/>
  <c r="J7"/>
  <c r="F7"/>
  <c r="B7"/>
  <c r="K6"/>
  <c r="G6"/>
  <c r="C6"/>
  <c r="L5"/>
  <c r="H5"/>
  <c r="D5"/>
  <c r="M4"/>
  <c r="I4"/>
  <c r="E4"/>
  <c r="A4"/>
  <c r="J3"/>
  <c r="F3"/>
  <c r="B3"/>
  <c r="K2"/>
  <c r="G2"/>
  <c r="C2"/>
  <c r="L1"/>
  <c r="H1"/>
  <c r="D1"/>
  <c r="M620" i="3"/>
  <c r="I620"/>
  <c r="E620"/>
  <c r="A620"/>
  <c r="J619"/>
  <c r="F619"/>
  <c r="B619"/>
  <c r="K618"/>
  <c r="G618"/>
  <c r="C618"/>
  <c r="L617"/>
  <c r="H617"/>
  <c r="D617"/>
  <c r="M616"/>
  <c r="I616"/>
  <c r="E616"/>
  <c r="A616"/>
  <c r="J615"/>
  <c r="F615"/>
  <c r="B615"/>
  <c r="K614"/>
  <c r="G614"/>
  <c r="C614"/>
  <c r="L613"/>
  <c r="H613"/>
  <c r="D613"/>
  <c r="M612"/>
  <c r="I612"/>
  <c r="E612"/>
  <c r="A612"/>
  <c r="J611"/>
  <c r="F611"/>
  <c r="B611"/>
  <c r="K610"/>
  <c r="G610"/>
  <c r="C610"/>
  <c r="L609"/>
  <c r="H609"/>
  <c r="D609"/>
  <c r="M608"/>
  <c r="J607"/>
  <c r="G606"/>
  <c r="D605"/>
  <c r="A604"/>
  <c r="K602"/>
  <c r="H601"/>
  <c r="E600"/>
  <c r="B599"/>
  <c r="L597"/>
  <c r="I596"/>
  <c r="F595"/>
  <c r="C594"/>
  <c r="M592"/>
  <c r="J591"/>
  <c r="G590"/>
  <c r="D589"/>
  <c r="A588"/>
  <c r="A587"/>
  <c r="H586"/>
  <c r="C586"/>
  <c r="K585"/>
  <c r="E585"/>
  <c r="M584"/>
  <c r="H584"/>
  <c r="B584"/>
  <c r="J583"/>
  <c r="E583"/>
  <c r="L582"/>
  <c r="G582"/>
  <c r="C582"/>
  <c r="L581"/>
  <c r="H581"/>
  <c r="D581"/>
  <c r="M580"/>
  <c r="I580"/>
  <c r="E580"/>
  <c r="A580"/>
  <c r="J579"/>
  <c r="F579"/>
  <c r="B579"/>
  <c r="K578"/>
  <c r="G578"/>
  <c r="C578"/>
  <c r="L577"/>
  <c r="H577"/>
  <c r="D577"/>
  <c r="M576"/>
  <c r="I576"/>
  <c r="E576"/>
  <c r="A576"/>
  <c r="J575"/>
  <c r="F575"/>
  <c r="B575"/>
  <c r="K574"/>
  <c r="G574"/>
  <c r="C574"/>
  <c r="L573"/>
  <c r="H573"/>
  <c r="D573"/>
  <c r="M572"/>
  <c r="I572"/>
  <c r="E572"/>
  <c r="A572"/>
  <c r="J571"/>
  <c r="F571"/>
  <c r="B571"/>
  <c r="K570"/>
  <c r="G570"/>
  <c r="C570"/>
  <c r="L569"/>
  <c r="H569"/>
  <c r="D569"/>
  <c r="M568"/>
  <c r="I568"/>
  <c r="E568"/>
  <c r="A568"/>
  <c r="J567"/>
  <c r="F567"/>
  <c r="B567"/>
  <c r="K566"/>
  <c r="G566"/>
  <c r="C566"/>
  <c r="L565"/>
  <c r="H565"/>
  <c r="D565"/>
  <c r="M564"/>
  <c r="I564"/>
  <c r="E564"/>
  <c r="A564"/>
  <c r="J563"/>
  <c r="F563"/>
  <c r="B563"/>
  <c r="K562"/>
  <c r="G562"/>
  <c r="C562"/>
  <c r="L561"/>
  <c r="H561"/>
  <c r="D561"/>
  <c r="M560"/>
  <c r="I560"/>
  <c r="E560"/>
  <c r="A560"/>
  <c r="J559"/>
  <c r="F559"/>
  <c r="B559"/>
  <c r="K558"/>
  <c r="G558"/>
  <c r="C558"/>
  <c r="L557"/>
  <c r="H557"/>
  <c r="D557"/>
  <c r="M556"/>
  <c r="I556"/>
  <c r="E556"/>
  <c r="A556"/>
  <c r="J555"/>
  <c r="F555"/>
  <c r="B555"/>
  <c r="K554"/>
  <c r="G554"/>
  <c r="C554"/>
  <c r="L553"/>
  <c r="H553"/>
  <c r="D553"/>
  <c r="M552"/>
  <c r="I552"/>
  <c r="E552"/>
  <c r="A552"/>
  <c r="J551"/>
  <c r="F551"/>
  <c r="B551"/>
  <c r="K550"/>
  <c r="G550"/>
  <c r="C550"/>
  <c r="L549"/>
  <c r="H549"/>
  <c r="D549"/>
  <c r="M548"/>
  <c r="I548"/>
  <c r="E548"/>
  <c r="A548"/>
  <c r="J547"/>
  <c r="F547"/>
  <c r="B547"/>
  <c r="K546"/>
  <c r="G546"/>
  <c r="C546"/>
  <c r="L545"/>
  <c r="H545"/>
  <c r="D545"/>
  <c r="M544"/>
  <c r="I544"/>
  <c r="E544"/>
  <c r="A544"/>
  <c r="J543"/>
  <c r="F543"/>
  <c r="B543"/>
  <c r="K542"/>
  <c r="G542"/>
  <c r="C542"/>
  <c r="L541"/>
  <c r="H541"/>
  <c r="D541"/>
  <c r="M540"/>
  <c r="I540"/>
  <c r="E540"/>
  <c r="A540"/>
  <c r="J539"/>
  <c r="F539"/>
  <c r="B539"/>
  <c r="K538"/>
  <c r="G538"/>
  <c r="C538"/>
  <c r="L537"/>
  <c r="H537"/>
  <c r="D537"/>
  <c r="M536"/>
  <c r="I536"/>
  <c r="E536"/>
  <c r="A536"/>
  <c r="J535"/>
  <c r="F535"/>
  <c r="B535"/>
  <c r="K534"/>
  <c r="G534"/>
  <c r="C534"/>
  <c r="L533"/>
  <c r="H533"/>
  <c r="D533"/>
  <c r="M532"/>
  <c r="I532"/>
  <c r="E532"/>
  <c r="A532"/>
  <c r="J531"/>
  <c r="F531"/>
  <c r="B531"/>
  <c r="K530"/>
  <c r="G530"/>
  <c r="C530"/>
  <c r="L529"/>
  <c r="H529"/>
  <c r="D529"/>
  <c r="M528"/>
  <c r="I528"/>
  <c r="E528"/>
  <c r="A528"/>
  <c r="J527"/>
  <c r="F527"/>
  <c r="B527"/>
  <c r="K526"/>
  <c r="G526"/>
  <c r="C526"/>
  <c r="L525"/>
  <c r="H525"/>
  <c r="D525"/>
  <c r="M524"/>
  <c r="I524"/>
  <c r="E524"/>
  <c r="A524"/>
  <c r="J523"/>
  <c r="F523"/>
  <c r="B523"/>
  <c r="K522"/>
  <c r="G522"/>
  <c r="C522"/>
  <c r="L521"/>
  <c r="H521"/>
  <c r="D521"/>
  <c r="M520"/>
  <c r="I520"/>
  <c r="E520"/>
  <c r="A520"/>
  <c r="J519"/>
  <c r="F519"/>
  <c r="B519"/>
  <c r="K518"/>
  <c r="G518"/>
  <c r="C518"/>
  <c r="L517"/>
  <c r="H517"/>
  <c r="D517"/>
  <c r="M516"/>
  <c r="I516"/>
  <c r="E516"/>
  <c r="A516"/>
  <c r="J515"/>
  <c r="F515"/>
  <c r="B515"/>
  <c r="K514"/>
  <c r="G514"/>
  <c r="C514"/>
  <c r="L513"/>
  <c r="H513"/>
  <c r="D513"/>
  <c r="M512"/>
  <c r="I512"/>
  <c r="E512"/>
  <c r="A512"/>
  <c r="J511"/>
  <c r="F511"/>
  <c r="B511"/>
  <c r="K510"/>
  <c r="G510"/>
  <c r="C510"/>
  <c r="L509"/>
  <c r="H509"/>
  <c r="D509"/>
  <c r="M508"/>
  <c r="I508"/>
  <c r="E508"/>
  <c r="A508"/>
  <c r="J507"/>
  <c r="F507"/>
  <c r="B507"/>
  <c r="K506"/>
  <c r="G506"/>
  <c r="C506"/>
  <c r="L505"/>
  <c r="H505"/>
  <c r="D505"/>
  <c r="M504"/>
  <c r="I504"/>
  <c r="E504"/>
  <c r="A504"/>
  <c r="J503"/>
  <c r="F503"/>
  <c r="B503"/>
  <c r="K502"/>
  <c r="G502"/>
  <c r="C502"/>
  <c r="L501"/>
  <c r="H501"/>
  <c r="D501"/>
  <c r="M500"/>
  <c r="I500"/>
  <c r="E500"/>
  <c r="A500"/>
  <c r="J499"/>
  <c r="F499"/>
  <c r="B499"/>
  <c r="K498"/>
  <c r="G498"/>
  <c r="C498"/>
  <c r="L497"/>
  <c r="H497"/>
  <c r="D497"/>
  <c r="M496"/>
  <c r="I496"/>
  <c r="E496"/>
  <c r="A496"/>
  <c r="J495"/>
  <c r="F495"/>
  <c r="B495"/>
  <c r="K494"/>
  <c r="G494"/>
  <c r="C494"/>
  <c r="L493"/>
  <c r="H493"/>
  <c r="D493"/>
  <c r="M492"/>
  <c r="I492"/>
  <c r="E492"/>
  <c r="A492"/>
  <c r="J491"/>
  <c r="F491"/>
  <c r="B491"/>
  <c r="K490"/>
  <c r="G490"/>
  <c r="C490"/>
  <c r="L489"/>
  <c r="H489"/>
  <c r="D489"/>
  <c r="M488"/>
  <c r="I488"/>
  <c r="E488"/>
  <c r="A488"/>
  <c r="J487"/>
  <c r="F487"/>
  <c r="B487"/>
  <c r="K486"/>
  <c r="G486"/>
  <c r="C486"/>
  <c r="L485"/>
  <c r="H485"/>
  <c r="D485"/>
  <c r="M484"/>
  <c r="I484"/>
  <c r="E484"/>
  <c r="A484"/>
  <c r="J483"/>
  <c r="F483"/>
  <c r="B483"/>
  <c r="K482"/>
  <c r="G482"/>
  <c r="C482"/>
  <c r="L481"/>
  <c r="H481"/>
  <c r="D481"/>
  <c r="M480"/>
  <c r="I480"/>
  <c r="E480"/>
  <c r="A480"/>
  <c r="J479"/>
  <c r="F479"/>
  <c r="B479"/>
  <c r="K478"/>
  <c r="G478"/>
  <c r="C478"/>
  <c r="L477"/>
  <c r="H477"/>
  <c r="D477"/>
  <c r="M476"/>
  <c r="I476"/>
  <c r="E476"/>
  <c r="A476"/>
  <c r="J475"/>
  <c r="F475"/>
  <c r="B475"/>
  <c r="K474"/>
  <c r="G474"/>
  <c r="C474"/>
  <c r="L473"/>
  <c r="H473"/>
  <c r="D473"/>
  <c r="M472"/>
  <c r="I472"/>
  <c r="E472"/>
  <c r="A472"/>
  <c r="J471"/>
  <c r="F471"/>
  <c r="B471"/>
  <c r="K470"/>
  <c r="G470"/>
  <c r="C470"/>
  <c r="L469"/>
  <c r="H469"/>
  <c r="D469"/>
  <c r="M468"/>
  <c r="I468"/>
  <c r="E468"/>
  <c r="A468"/>
  <c r="J467"/>
  <c r="F467"/>
  <c r="B467"/>
  <c r="K466"/>
  <c r="G466"/>
  <c r="C466"/>
  <c r="L465"/>
  <c r="H465"/>
  <c r="D465"/>
  <c r="M464"/>
  <c r="I464"/>
  <c r="E464"/>
  <c r="A464"/>
  <c r="J463"/>
  <c r="F463"/>
  <c r="B463"/>
  <c r="K462"/>
  <c r="G462"/>
  <c r="C462"/>
  <c r="L461"/>
  <c r="H461"/>
  <c r="D461"/>
  <c r="M460"/>
  <c r="I460"/>
  <c r="E460"/>
  <c r="A460"/>
  <c r="J459"/>
  <c r="F459"/>
  <c r="B459"/>
  <c r="K458"/>
  <c r="G458"/>
  <c r="C458"/>
  <c r="L457"/>
  <c r="H457"/>
  <c r="D457"/>
  <c r="M456"/>
  <c r="I456"/>
  <c r="E456"/>
  <c r="A456"/>
  <c r="J455"/>
  <c r="F455"/>
  <c r="B455"/>
  <c r="K454"/>
  <c r="G454"/>
  <c r="C454"/>
  <c r="L453"/>
  <c r="H453"/>
  <c r="D453"/>
  <c r="M452"/>
  <c r="I452"/>
  <c r="E452"/>
  <c r="A452"/>
  <c r="J451"/>
  <c r="F451"/>
  <c r="B451"/>
  <c r="K450"/>
  <c r="G450"/>
  <c r="C450"/>
  <c r="L449"/>
  <c r="H449"/>
  <c r="D449"/>
  <c r="M448"/>
  <c r="I448"/>
  <c r="E448"/>
  <c r="A448"/>
  <c r="J447"/>
  <c r="F447"/>
  <c r="B447"/>
  <c r="K446"/>
  <c r="G446"/>
  <c r="C446"/>
  <c r="L445"/>
  <c r="H445"/>
  <c r="D445"/>
  <c r="M444"/>
  <c r="I444"/>
  <c r="E444"/>
  <c r="A444"/>
  <c r="J443"/>
  <c r="F443"/>
  <c r="B443"/>
  <c r="K442"/>
  <c r="G442"/>
  <c r="C442"/>
  <c r="L441"/>
  <c r="H441"/>
  <c r="D441"/>
  <c r="M440"/>
  <c r="I440"/>
  <c r="E440"/>
  <c r="A440"/>
  <c r="J439"/>
  <c r="F439"/>
  <c r="B439"/>
  <c r="K438"/>
  <c r="G438"/>
  <c r="C438"/>
  <c r="L437"/>
  <c r="H437"/>
  <c r="D437"/>
  <c r="M436"/>
  <c r="I436"/>
  <c r="E436"/>
  <c r="A436"/>
  <c r="J435"/>
  <c r="F435"/>
  <c r="B435"/>
  <c r="K434"/>
  <c r="G434"/>
  <c r="C434"/>
  <c r="L433"/>
  <c r="A608"/>
  <c r="K606"/>
  <c r="H605"/>
  <c r="E604"/>
  <c r="B603"/>
  <c r="L601"/>
  <c r="I600"/>
  <c r="F599"/>
  <c r="C598"/>
  <c r="M596"/>
  <c r="J595"/>
  <c r="G594"/>
  <c r="D593"/>
  <c r="A592"/>
  <c r="K590"/>
  <c r="H589"/>
  <c r="E588"/>
  <c r="B587"/>
  <c r="J586"/>
  <c r="D586"/>
  <c r="L585"/>
  <c r="G585"/>
  <c r="A585"/>
  <c r="I584"/>
  <c r="D584"/>
  <c r="K583"/>
  <c r="F583"/>
  <c r="A583"/>
  <c r="H582"/>
  <c r="D582"/>
  <c r="M581"/>
  <c r="I581"/>
  <c r="E581"/>
  <c r="A581"/>
  <c r="J580"/>
  <c r="F580"/>
  <c r="B580"/>
  <c r="K579"/>
  <c r="G579"/>
  <c r="C579"/>
  <c r="L578"/>
  <c r="H578"/>
  <c r="D578"/>
  <c r="M577"/>
  <c r="I577"/>
  <c r="E577"/>
  <c r="A577"/>
  <c r="J576"/>
  <c r="F576"/>
  <c r="B576"/>
  <c r="K575"/>
  <c r="G575"/>
  <c r="C575"/>
  <c r="L574"/>
  <c r="H574"/>
  <c r="D574"/>
  <c r="M573"/>
  <c r="I573"/>
  <c r="E573"/>
  <c r="A573"/>
  <c r="J572"/>
  <c r="F572"/>
  <c r="B572"/>
  <c r="K571"/>
  <c r="G571"/>
  <c r="C571"/>
  <c r="L570"/>
  <c r="H570"/>
  <c r="D570"/>
  <c r="M569"/>
  <c r="I569"/>
  <c r="E569"/>
  <c r="A569"/>
  <c r="J568"/>
  <c r="F568"/>
  <c r="B568"/>
  <c r="K567"/>
  <c r="G567"/>
  <c r="C567"/>
  <c r="L566"/>
  <c r="H566"/>
  <c r="D566"/>
  <c r="M565"/>
  <c r="I565"/>
  <c r="E565"/>
  <c r="A565"/>
  <c r="J564"/>
  <c r="F564"/>
  <c r="B564"/>
  <c r="K563"/>
  <c r="G563"/>
  <c r="C563"/>
  <c r="L562"/>
  <c r="H562"/>
  <c r="D562"/>
  <c r="M561"/>
  <c r="I561"/>
  <c r="E561"/>
  <c r="A561"/>
  <c r="J560"/>
  <c r="F560"/>
  <c r="B560"/>
  <c r="K559"/>
  <c r="G559"/>
  <c r="C559"/>
  <c r="L558"/>
  <c r="H558"/>
  <c r="D558"/>
  <c r="M557"/>
  <c r="I557"/>
  <c r="E557"/>
  <c r="A557"/>
  <c r="J556"/>
  <c r="F556"/>
  <c r="B556"/>
  <c r="K555"/>
  <c r="G555"/>
  <c r="C555"/>
  <c r="L554"/>
  <c r="H554"/>
  <c r="D554"/>
  <c r="M553"/>
  <c r="I553"/>
  <c r="E553"/>
  <c r="A553"/>
  <c r="J552"/>
  <c r="F552"/>
  <c r="B552"/>
  <c r="K551"/>
  <c r="G551"/>
  <c r="C551"/>
  <c r="L550"/>
  <c r="H550"/>
  <c r="D550"/>
  <c r="M549"/>
  <c r="I549"/>
  <c r="E549"/>
  <c r="A549"/>
  <c r="J548"/>
  <c r="F548"/>
  <c r="B548"/>
  <c r="K547"/>
  <c r="G547"/>
  <c r="C547"/>
  <c r="L546"/>
  <c r="H546"/>
  <c r="D546"/>
  <c r="M545"/>
  <c r="I545"/>
  <c r="E545"/>
  <c r="A545"/>
  <c r="J544"/>
  <c r="F544"/>
  <c r="B544"/>
  <c r="K543"/>
  <c r="G543"/>
  <c r="C543"/>
  <c r="L542"/>
  <c r="H542"/>
  <c r="D542"/>
  <c r="M541"/>
  <c r="I541"/>
  <c r="E541"/>
  <c r="A541"/>
  <c r="J540"/>
  <c r="F540"/>
  <c r="B540"/>
  <c r="K539"/>
  <c r="G539"/>
  <c r="C539"/>
  <c r="L538"/>
  <c r="H538"/>
  <c r="D538"/>
  <c r="M537"/>
  <c r="I537"/>
  <c r="E537"/>
  <c r="A537"/>
  <c r="J536"/>
  <c r="F536"/>
  <c r="B536"/>
  <c r="K535"/>
  <c r="G535"/>
  <c r="C535"/>
  <c r="L534"/>
  <c r="H534"/>
  <c r="D534"/>
  <c r="M533"/>
  <c r="I533"/>
  <c r="E533"/>
  <c r="A533"/>
  <c r="J532"/>
  <c r="F532"/>
  <c r="B532"/>
  <c r="K531"/>
  <c r="G531"/>
  <c r="C531"/>
  <c r="L530"/>
  <c r="H530"/>
  <c r="D530"/>
  <c r="M529"/>
  <c r="I529"/>
  <c r="E529"/>
  <c r="A529"/>
  <c r="J528"/>
  <c r="F528"/>
  <c r="B528"/>
  <c r="K527"/>
  <c r="G527"/>
  <c r="C527"/>
  <c r="L526"/>
  <c r="H526"/>
  <c r="D526"/>
  <c r="M525"/>
  <c r="I525"/>
  <c r="E525"/>
  <c r="A525"/>
  <c r="J524"/>
  <c r="F524"/>
  <c r="B524"/>
  <c r="K523"/>
  <c r="G523"/>
  <c r="C523"/>
  <c r="L522"/>
  <c r="H522"/>
  <c r="D522"/>
  <c r="M521"/>
  <c r="I521"/>
  <c r="E521"/>
  <c r="A521"/>
  <c r="J520"/>
  <c r="F520"/>
  <c r="B520"/>
  <c r="K519"/>
  <c r="G519"/>
  <c r="C519"/>
  <c r="L518"/>
  <c r="H518"/>
  <c r="D518"/>
  <c r="M517"/>
  <c r="I517"/>
  <c r="E517"/>
  <c r="A517"/>
  <c r="J516"/>
  <c r="F516"/>
  <c r="B516"/>
  <c r="K515"/>
  <c r="G515"/>
  <c r="C515"/>
  <c r="L514"/>
  <c r="H514"/>
  <c r="D514"/>
  <c r="M513"/>
  <c r="I513"/>
  <c r="E513"/>
  <c r="A513"/>
  <c r="J512"/>
  <c r="F512"/>
  <c r="B512"/>
  <c r="K511"/>
  <c r="G511"/>
  <c r="C511"/>
  <c r="L510"/>
  <c r="H510"/>
  <c r="D510"/>
  <c r="M509"/>
  <c r="I509"/>
  <c r="E509"/>
  <c r="A509"/>
  <c r="J508"/>
  <c r="F508"/>
  <c r="B508"/>
  <c r="K507"/>
  <c r="G507"/>
  <c r="C507"/>
  <c r="L506"/>
  <c r="H506"/>
  <c r="D506"/>
  <c r="M505"/>
  <c r="I505"/>
  <c r="E505"/>
  <c r="A505"/>
  <c r="J504"/>
  <c r="F504"/>
  <c r="B504"/>
  <c r="K503"/>
  <c r="G503"/>
  <c r="C503"/>
  <c r="L502"/>
  <c r="H502"/>
  <c r="D502"/>
  <c r="M501"/>
  <c r="I501"/>
  <c r="E501"/>
  <c r="A501"/>
  <c r="J500"/>
  <c r="F500"/>
  <c r="B500"/>
  <c r="K499"/>
  <c r="G499"/>
  <c r="C499"/>
  <c r="L498"/>
  <c r="H498"/>
  <c r="D498"/>
  <c r="M497"/>
  <c r="I497"/>
  <c r="E497"/>
  <c r="A497"/>
  <c r="J496"/>
  <c r="F496"/>
  <c r="B496"/>
  <c r="K495"/>
  <c r="G495"/>
  <c r="C495"/>
  <c r="L494"/>
  <c r="H494"/>
  <c r="D494"/>
  <c r="M493"/>
  <c r="I493"/>
  <c r="E493"/>
  <c r="A493"/>
  <c r="J492"/>
  <c r="F492"/>
  <c r="B492"/>
  <c r="K491"/>
  <c r="G491"/>
  <c r="C491"/>
  <c r="L490"/>
  <c r="H490"/>
  <c r="D490"/>
  <c r="M489"/>
  <c r="I489"/>
  <c r="E489"/>
  <c r="A489"/>
  <c r="J488"/>
  <c r="F488"/>
  <c r="B488"/>
  <c r="K487"/>
  <c r="G487"/>
  <c r="C487"/>
  <c r="L486"/>
  <c r="H486"/>
  <c r="D486"/>
  <c r="M485"/>
  <c r="I485"/>
  <c r="E485"/>
  <c r="A485"/>
  <c r="J484"/>
  <c r="F484"/>
  <c r="B484"/>
  <c r="K483"/>
  <c r="G483"/>
  <c r="C483"/>
  <c r="L482"/>
  <c r="H482"/>
  <c r="D482"/>
  <c r="M481"/>
  <c r="I481"/>
  <c r="E481"/>
  <c r="A481"/>
  <c r="J480"/>
  <c r="F480"/>
  <c r="B480"/>
  <c r="K479"/>
  <c r="G479"/>
  <c r="C479"/>
  <c r="L478"/>
  <c r="H478"/>
  <c r="D478"/>
  <c r="M477"/>
  <c r="I477"/>
  <c r="E477"/>
  <c r="A477"/>
  <c r="E608"/>
  <c r="B607"/>
  <c r="L605"/>
  <c r="I604"/>
  <c r="F603"/>
  <c r="C602"/>
  <c r="M600"/>
  <c r="J599"/>
  <c r="G598"/>
  <c r="D597"/>
  <c r="A596"/>
  <c r="K594"/>
  <c r="H593"/>
  <c r="E592"/>
  <c r="B591"/>
  <c r="L589"/>
  <c r="I588"/>
  <c r="F587"/>
  <c r="K586"/>
  <c r="F586"/>
  <c r="M585"/>
  <c r="H585"/>
  <c r="C585"/>
  <c r="J584"/>
  <c r="E584"/>
  <c r="M583"/>
  <c r="G583"/>
  <c r="B583"/>
  <c r="J582"/>
  <c r="E582"/>
  <c r="A582"/>
  <c r="J581"/>
  <c r="F581"/>
  <c r="B581"/>
  <c r="K580"/>
  <c r="G580"/>
  <c r="C580"/>
  <c r="L579"/>
  <c r="H579"/>
  <c r="D579"/>
  <c r="M578"/>
  <c r="I578"/>
  <c r="E578"/>
  <c r="A578"/>
  <c r="J577"/>
  <c r="F577"/>
  <c r="B577"/>
  <c r="K576"/>
  <c r="G576"/>
  <c r="C576"/>
  <c r="L575"/>
  <c r="H575"/>
  <c r="D575"/>
  <c r="M574"/>
  <c r="I574"/>
  <c r="E574"/>
  <c r="A574"/>
  <c r="J573"/>
  <c r="F573"/>
  <c r="B573"/>
  <c r="K572"/>
  <c r="G572"/>
  <c r="C572"/>
  <c r="L571"/>
  <c r="H571"/>
  <c r="D571"/>
  <c r="M570"/>
  <c r="I570"/>
  <c r="E570"/>
  <c r="A570"/>
  <c r="J569"/>
  <c r="F569"/>
  <c r="B569"/>
  <c r="K568"/>
  <c r="G568"/>
  <c r="C568"/>
  <c r="L567"/>
  <c r="H567"/>
  <c r="D567"/>
  <c r="M566"/>
  <c r="I566"/>
  <c r="E566"/>
  <c r="A566"/>
  <c r="J565"/>
  <c r="F565"/>
  <c r="B565"/>
  <c r="K564"/>
  <c r="G564"/>
  <c r="C564"/>
  <c r="L563"/>
  <c r="H563"/>
  <c r="D563"/>
  <c r="M562"/>
  <c r="I562"/>
  <c r="E562"/>
  <c r="A562"/>
  <c r="J561"/>
  <c r="F561"/>
  <c r="B561"/>
  <c r="K560"/>
  <c r="G560"/>
  <c r="C560"/>
  <c r="L559"/>
  <c r="H559"/>
  <c r="D559"/>
  <c r="M558"/>
  <c r="I558"/>
  <c r="E558"/>
  <c r="A558"/>
  <c r="J557"/>
  <c r="F557"/>
  <c r="B557"/>
  <c r="K556"/>
  <c r="G556"/>
  <c r="C556"/>
  <c r="L555"/>
  <c r="H555"/>
  <c r="D555"/>
  <c r="M554"/>
  <c r="I554"/>
  <c r="E554"/>
  <c r="A554"/>
  <c r="J553"/>
  <c r="F553"/>
  <c r="B553"/>
  <c r="K552"/>
  <c r="G552"/>
  <c r="C552"/>
  <c r="L551"/>
  <c r="H551"/>
  <c r="D551"/>
  <c r="M550"/>
  <c r="I550"/>
  <c r="E550"/>
  <c r="A550"/>
  <c r="J549"/>
  <c r="F549"/>
  <c r="B549"/>
  <c r="K548"/>
  <c r="G548"/>
  <c r="C548"/>
  <c r="L547"/>
  <c r="H547"/>
  <c r="D547"/>
  <c r="M546"/>
  <c r="I546"/>
  <c r="E546"/>
  <c r="A546"/>
  <c r="J545"/>
  <c r="F545"/>
  <c r="B545"/>
  <c r="K544"/>
  <c r="G544"/>
  <c r="C544"/>
  <c r="L543"/>
  <c r="H543"/>
  <c r="D543"/>
  <c r="M542"/>
  <c r="I542"/>
  <c r="E542"/>
  <c r="A542"/>
  <c r="J541"/>
  <c r="F541"/>
  <c r="B541"/>
  <c r="K540"/>
  <c r="G540"/>
  <c r="C540"/>
  <c r="L539"/>
  <c r="H539"/>
  <c r="D539"/>
  <c r="M538"/>
  <c r="I538"/>
  <c r="E538"/>
  <c r="A538"/>
  <c r="J537"/>
  <c r="F537"/>
  <c r="B537"/>
  <c r="K536"/>
  <c r="G536"/>
  <c r="C536"/>
  <c r="L535"/>
  <c r="H535"/>
  <c r="D535"/>
  <c r="M534"/>
  <c r="I534"/>
  <c r="E534"/>
  <c r="A534"/>
  <c r="J533"/>
  <c r="F533"/>
  <c r="B533"/>
  <c r="K532"/>
  <c r="G532"/>
  <c r="C532"/>
  <c r="L531"/>
  <c r="H531"/>
  <c r="D531"/>
  <c r="M530"/>
  <c r="I530"/>
  <c r="E530"/>
  <c r="A530"/>
  <c r="J529"/>
  <c r="F529"/>
  <c r="B529"/>
  <c r="K528"/>
  <c r="G528"/>
  <c r="C528"/>
  <c r="L527"/>
  <c r="H527"/>
  <c r="D527"/>
  <c r="M526"/>
  <c r="I526"/>
  <c r="E526"/>
  <c r="A526"/>
  <c r="J525"/>
  <c r="F525"/>
  <c r="B525"/>
  <c r="K524"/>
  <c r="G524"/>
  <c r="C524"/>
  <c r="L523"/>
  <c r="H523"/>
  <c r="D523"/>
  <c r="M522"/>
  <c r="I522"/>
  <c r="E522"/>
  <c r="A522"/>
  <c r="J521"/>
  <c r="F521"/>
  <c r="B521"/>
  <c r="K520"/>
  <c r="G520"/>
  <c r="C520"/>
  <c r="L519"/>
  <c r="H519"/>
  <c r="D519"/>
  <c r="M518"/>
  <c r="I518"/>
  <c r="E518"/>
  <c r="A518"/>
  <c r="J517"/>
  <c r="F517"/>
  <c r="B517"/>
  <c r="K516"/>
  <c r="G516"/>
  <c r="C516"/>
  <c r="L515"/>
  <c r="H515"/>
  <c r="D515"/>
  <c r="M514"/>
  <c r="I514"/>
  <c r="E514"/>
  <c r="A514"/>
  <c r="J513"/>
  <c r="F513"/>
  <c r="B513"/>
  <c r="K512"/>
  <c r="G512"/>
  <c r="C512"/>
  <c r="L511"/>
  <c r="H511"/>
  <c r="D511"/>
  <c r="M510"/>
  <c r="I510"/>
  <c r="E510"/>
  <c r="A510"/>
  <c r="J509"/>
  <c r="F509"/>
  <c r="B509"/>
  <c r="K508"/>
  <c r="G508"/>
  <c r="C508"/>
  <c r="L507"/>
  <c r="H507"/>
  <c r="D507"/>
  <c r="M506"/>
  <c r="I506"/>
  <c r="E506"/>
  <c r="A506"/>
  <c r="J505"/>
  <c r="F505"/>
  <c r="B505"/>
  <c r="K504"/>
  <c r="G504"/>
  <c r="C504"/>
  <c r="L503"/>
  <c r="H503"/>
  <c r="D503"/>
  <c r="M502"/>
  <c r="I502"/>
  <c r="E502"/>
  <c r="A502"/>
  <c r="J501"/>
  <c r="F501"/>
  <c r="B501"/>
  <c r="K500"/>
  <c r="G500"/>
  <c r="C500"/>
  <c r="L499"/>
  <c r="H499"/>
  <c r="D499"/>
  <c r="M498"/>
  <c r="I498"/>
  <c r="E498"/>
  <c r="A498"/>
  <c r="J497"/>
  <c r="F497"/>
  <c r="B497"/>
  <c r="K496"/>
  <c r="G496"/>
  <c r="C496"/>
  <c r="L495"/>
  <c r="H495"/>
  <c r="D495"/>
  <c r="M494"/>
  <c r="I494"/>
  <c r="E494"/>
  <c r="A494"/>
  <c r="J493"/>
  <c r="F493"/>
  <c r="B493"/>
  <c r="K492"/>
  <c r="G492"/>
  <c r="C492"/>
  <c r="L491"/>
  <c r="H491"/>
  <c r="D491"/>
  <c r="M490"/>
  <c r="I490"/>
  <c r="E490"/>
  <c r="A490"/>
  <c r="J489"/>
  <c r="F489"/>
  <c r="B489"/>
  <c r="K488"/>
  <c r="G488"/>
  <c r="C488"/>
  <c r="L487"/>
  <c r="H487"/>
  <c r="D487"/>
  <c r="M486"/>
  <c r="I486"/>
  <c r="E486"/>
  <c r="A486"/>
  <c r="J485"/>
  <c r="F485"/>
  <c r="B485"/>
  <c r="K484"/>
  <c r="G484"/>
  <c r="C484"/>
  <c r="L483"/>
  <c r="H483"/>
  <c r="D483"/>
  <c r="M482"/>
  <c r="I482"/>
  <c r="E482"/>
  <c r="A482"/>
  <c r="J481"/>
  <c r="F481"/>
  <c r="B481"/>
  <c r="K480"/>
  <c r="G480"/>
  <c r="C480"/>
  <c r="L479"/>
  <c r="H479"/>
  <c r="D479"/>
  <c r="M478"/>
  <c r="I478"/>
  <c r="E478"/>
  <c r="A478"/>
  <c r="J477"/>
  <c r="F477"/>
  <c r="B477"/>
  <c r="K476"/>
  <c r="G476"/>
  <c r="C476"/>
  <c r="L475"/>
  <c r="H475"/>
  <c r="D475"/>
  <c r="M474"/>
  <c r="I474"/>
  <c r="E474"/>
  <c r="A474"/>
  <c r="J473"/>
  <c r="F473"/>
  <c r="B473"/>
  <c r="K472"/>
  <c r="G472"/>
  <c r="C472"/>
  <c r="L471"/>
  <c r="H471"/>
  <c r="D471"/>
  <c r="M470"/>
  <c r="I470"/>
  <c r="E470"/>
  <c r="A470"/>
  <c r="J469"/>
  <c r="F469"/>
  <c r="B469"/>
  <c r="K468"/>
  <c r="G468"/>
  <c r="C468"/>
  <c r="L467"/>
  <c r="H467"/>
  <c r="D467"/>
  <c r="M466"/>
  <c r="I466"/>
  <c r="E466"/>
  <c r="A466"/>
  <c r="J465"/>
  <c r="F465"/>
  <c r="B465"/>
  <c r="K464"/>
  <c r="G464"/>
  <c r="C464"/>
  <c r="L463"/>
  <c r="H463"/>
  <c r="D463"/>
  <c r="M462"/>
  <c r="I462"/>
  <c r="E462"/>
  <c r="A462"/>
  <c r="J461"/>
  <c r="F461"/>
  <c r="B461"/>
  <c r="K460"/>
  <c r="G460"/>
  <c r="C460"/>
  <c r="L459"/>
  <c r="H459"/>
  <c r="D459"/>
  <c r="M458"/>
  <c r="I458"/>
  <c r="E458"/>
  <c r="A458"/>
  <c r="J457"/>
  <c r="F457"/>
  <c r="B457"/>
  <c r="K456"/>
  <c r="G456"/>
  <c r="C456"/>
  <c r="L455"/>
  <c r="H455"/>
  <c r="D455"/>
  <c r="M454"/>
  <c r="I454"/>
  <c r="E454"/>
  <c r="A454"/>
  <c r="J453"/>
  <c r="F453"/>
  <c r="B453"/>
  <c r="K452"/>
  <c r="G452"/>
  <c r="C452"/>
  <c r="L451"/>
  <c r="H451"/>
  <c r="D451"/>
  <c r="M450"/>
  <c r="I450"/>
  <c r="E450"/>
  <c r="A450"/>
  <c r="J449"/>
  <c r="F449"/>
  <c r="B449"/>
  <c r="K448"/>
  <c r="G448"/>
  <c r="C448"/>
  <c r="L447"/>
  <c r="H447"/>
  <c r="D447"/>
  <c r="M446"/>
  <c r="I446"/>
  <c r="E446"/>
  <c r="A446"/>
  <c r="J445"/>
  <c r="F445"/>
  <c r="B445"/>
  <c r="K444"/>
  <c r="G444"/>
  <c r="C444"/>
  <c r="L443"/>
  <c r="H443"/>
  <c r="D443"/>
  <c r="M442"/>
  <c r="I442"/>
  <c r="E442"/>
  <c r="A442"/>
  <c r="J441"/>
  <c r="F441"/>
  <c r="B441"/>
  <c r="K440"/>
  <c r="G440"/>
  <c r="C440"/>
  <c r="L439"/>
  <c r="H439"/>
  <c r="D439"/>
  <c r="M438"/>
  <c r="I438"/>
  <c r="E438"/>
  <c r="A438"/>
  <c r="J437"/>
  <c r="F437"/>
  <c r="B437"/>
  <c r="K436"/>
  <c r="G436"/>
  <c r="C436"/>
  <c r="L435"/>
  <c r="H435"/>
  <c r="D435"/>
  <c r="M434"/>
  <c r="I434"/>
  <c r="E434"/>
  <c r="A434"/>
  <c r="M604"/>
  <c r="A600"/>
  <c r="B595"/>
  <c r="C590"/>
  <c r="G586"/>
  <c r="L584"/>
  <c r="C583"/>
  <c r="K581"/>
  <c r="H580"/>
  <c r="E579"/>
  <c r="B578"/>
  <c r="L576"/>
  <c r="I575"/>
  <c r="F574"/>
  <c r="C573"/>
  <c r="M571"/>
  <c r="J570"/>
  <c r="G569"/>
  <c r="D568"/>
  <c r="A567"/>
  <c r="K565"/>
  <c r="H564"/>
  <c r="E563"/>
  <c r="B562"/>
  <c r="L560"/>
  <c r="I559"/>
  <c r="F558"/>
  <c r="C557"/>
  <c r="M555"/>
  <c r="J554"/>
  <c r="G553"/>
  <c r="D552"/>
  <c r="A551"/>
  <c r="K549"/>
  <c r="H548"/>
  <c r="E547"/>
  <c r="B546"/>
  <c r="L544"/>
  <c r="I543"/>
  <c r="F542"/>
  <c r="C541"/>
  <c r="M539"/>
  <c r="J538"/>
  <c r="G537"/>
  <c r="D536"/>
  <c r="A535"/>
  <c r="K533"/>
  <c r="H532"/>
  <c r="E531"/>
  <c r="B530"/>
  <c r="L528"/>
  <c r="I527"/>
  <c r="F526"/>
  <c r="C525"/>
  <c r="M523"/>
  <c r="J522"/>
  <c r="G521"/>
  <c r="D520"/>
  <c r="A519"/>
  <c r="K517"/>
  <c r="H516"/>
  <c r="E515"/>
  <c r="B514"/>
  <c r="L512"/>
  <c r="I511"/>
  <c r="F510"/>
  <c r="C509"/>
  <c r="M507"/>
  <c r="J506"/>
  <c r="G505"/>
  <c r="D504"/>
  <c r="A503"/>
  <c r="K501"/>
  <c r="H500"/>
  <c r="E499"/>
  <c r="B498"/>
  <c r="L496"/>
  <c r="I495"/>
  <c r="F494"/>
  <c r="C493"/>
  <c r="M491"/>
  <c r="J490"/>
  <c r="G489"/>
  <c r="D488"/>
  <c r="A487"/>
  <c r="K485"/>
  <c r="H484"/>
  <c r="E483"/>
  <c r="B482"/>
  <c r="L480"/>
  <c r="I479"/>
  <c r="F478"/>
  <c r="C477"/>
  <c r="F476"/>
  <c r="K475"/>
  <c r="C475"/>
  <c r="H474"/>
  <c r="M473"/>
  <c r="E473"/>
  <c r="J472"/>
  <c r="B472"/>
  <c r="G471"/>
  <c r="L470"/>
  <c r="D470"/>
  <c r="I469"/>
  <c r="A469"/>
  <c r="F468"/>
  <c r="K467"/>
  <c r="C467"/>
  <c r="H466"/>
  <c r="M465"/>
  <c r="E465"/>
  <c r="J464"/>
  <c r="B464"/>
  <c r="G463"/>
  <c r="L462"/>
  <c r="D462"/>
  <c r="I461"/>
  <c r="A461"/>
  <c r="F460"/>
  <c r="K459"/>
  <c r="C459"/>
  <c r="H458"/>
  <c r="M457"/>
  <c r="E457"/>
  <c r="J456"/>
  <c r="B456"/>
  <c r="G455"/>
  <c r="L454"/>
  <c r="D454"/>
  <c r="I453"/>
  <c r="A453"/>
  <c r="F452"/>
  <c r="K451"/>
  <c r="C451"/>
  <c r="H450"/>
  <c r="M449"/>
  <c r="E449"/>
  <c r="J448"/>
  <c r="B448"/>
  <c r="G447"/>
  <c r="L446"/>
  <c r="D446"/>
  <c r="I445"/>
  <c r="A445"/>
  <c r="F444"/>
  <c r="K443"/>
  <c r="C443"/>
  <c r="H442"/>
  <c r="M441"/>
  <c r="E441"/>
  <c r="J440"/>
  <c r="B440"/>
  <c r="G439"/>
  <c r="L438"/>
  <c r="D438"/>
  <c r="I437"/>
  <c r="A437"/>
  <c r="F436"/>
  <c r="K435"/>
  <c r="C435"/>
  <c r="H434"/>
  <c r="M433"/>
  <c r="H433"/>
  <c r="D433"/>
  <c r="M432"/>
  <c r="I432"/>
  <c r="E432"/>
  <c r="A432"/>
  <c r="J431"/>
  <c r="F431"/>
  <c r="B431"/>
  <c r="K430"/>
  <c r="G430"/>
  <c r="C430"/>
  <c r="L429"/>
  <c r="H429"/>
  <c r="D429"/>
  <c r="M428"/>
  <c r="I428"/>
  <c r="E428"/>
  <c r="A428"/>
  <c r="J427"/>
  <c r="F427"/>
  <c r="B427"/>
  <c r="K426"/>
  <c r="G426"/>
  <c r="C426"/>
  <c r="L425"/>
  <c r="H425"/>
  <c r="D425"/>
  <c r="M424"/>
  <c r="I424"/>
  <c r="E424"/>
  <c r="A424"/>
  <c r="J423"/>
  <c r="F423"/>
  <c r="B423"/>
  <c r="K422"/>
  <c r="G422"/>
  <c r="C422"/>
  <c r="L421"/>
  <c r="H421"/>
  <c r="D421"/>
  <c r="M420"/>
  <c r="I420"/>
  <c r="E420"/>
  <c r="A420"/>
  <c r="J419"/>
  <c r="F419"/>
  <c r="B419"/>
  <c r="K418"/>
  <c r="G418"/>
  <c r="C418"/>
  <c r="L417"/>
  <c r="H417"/>
  <c r="D417"/>
  <c r="M416"/>
  <c r="I416"/>
  <c r="E416"/>
  <c r="A416"/>
  <c r="J415"/>
  <c r="F415"/>
  <c r="B415"/>
  <c r="K414"/>
  <c r="G414"/>
  <c r="C414"/>
  <c r="L413"/>
  <c r="H413"/>
  <c r="D413"/>
  <c r="M412"/>
  <c r="I412"/>
  <c r="E412"/>
  <c r="A412"/>
  <c r="J411"/>
  <c r="F411"/>
  <c r="B411"/>
  <c r="K410"/>
  <c r="G410"/>
  <c r="C410"/>
  <c r="L409"/>
  <c r="H409"/>
  <c r="D409"/>
  <c r="M408"/>
  <c r="I408"/>
  <c r="E408"/>
  <c r="A408"/>
  <c r="J407"/>
  <c r="F407"/>
  <c r="B407"/>
  <c r="K406"/>
  <c r="G406"/>
  <c r="C406"/>
  <c r="L405"/>
  <c r="H405"/>
  <c r="D405"/>
  <c r="M404"/>
  <c r="I404"/>
  <c r="E404"/>
  <c r="A404"/>
  <c r="J403"/>
  <c r="F403"/>
  <c r="B403"/>
  <c r="K402"/>
  <c r="G402"/>
  <c r="C402"/>
  <c r="L401"/>
  <c r="H401"/>
  <c r="D401"/>
  <c r="M400"/>
  <c r="I400"/>
  <c r="E400"/>
  <c r="A400"/>
  <c r="J399"/>
  <c r="F399"/>
  <c r="B399"/>
  <c r="K398"/>
  <c r="G398"/>
  <c r="C398"/>
  <c r="L397"/>
  <c r="H397"/>
  <c r="D397"/>
  <c r="M396"/>
  <c r="I396"/>
  <c r="E396"/>
  <c r="A396"/>
  <c r="J395"/>
  <c r="F395"/>
  <c r="B395"/>
  <c r="K394"/>
  <c r="G394"/>
  <c r="C394"/>
  <c r="L393"/>
  <c r="H393"/>
  <c r="D393"/>
  <c r="M392"/>
  <c r="I392"/>
  <c r="E392"/>
  <c r="A392"/>
  <c r="J391"/>
  <c r="F391"/>
  <c r="B391"/>
  <c r="K390"/>
  <c r="G390"/>
  <c r="C390"/>
  <c r="L389"/>
  <c r="H389"/>
  <c r="D389"/>
  <c r="M388"/>
  <c r="I388"/>
  <c r="E388"/>
  <c r="A388"/>
  <c r="J387"/>
  <c r="F387"/>
  <c r="B387"/>
  <c r="K386"/>
  <c r="G386"/>
  <c r="C386"/>
  <c r="L385"/>
  <c r="H385"/>
  <c r="D385"/>
  <c r="M384"/>
  <c r="I384"/>
  <c r="E384"/>
  <c r="A384"/>
  <c r="J383"/>
  <c r="F383"/>
  <c r="B383"/>
  <c r="K382"/>
  <c r="G382"/>
  <c r="C382"/>
  <c r="L381"/>
  <c r="H381"/>
  <c r="D381"/>
  <c r="M380"/>
  <c r="I380"/>
  <c r="E380"/>
  <c r="A380"/>
  <c r="J379"/>
  <c r="F379"/>
  <c r="B379"/>
  <c r="K378"/>
  <c r="G378"/>
  <c r="C378"/>
  <c r="L377"/>
  <c r="H377"/>
  <c r="D377"/>
  <c r="M376"/>
  <c r="I376"/>
  <c r="E376"/>
  <c r="A376"/>
  <c r="J375"/>
  <c r="F375"/>
  <c r="B375"/>
  <c r="K374"/>
  <c r="G374"/>
  <c r="C374"/>
  <c r="L373"/>
  <c r="H373"/>
  <c r="D373"/>
  <c r="M372"/>
  <c r="I372"/>
  <c r="E372"/>
  <c r="A372"/>
  <c r="J371"/>
  <c r="F371"/>
  <c r="B371"/>
  <c r="K370"/>
  <c r="G370"/>
  <c r="C370"/>
  <c r="L369"/>
  <c r="H369"/>
  <c r="D369"/>
  <c r="M368"/>
  <c r="I368"/>
  <c r="E368"/>
  <c r="A368"/>
  <c r="J367"/>
  <c r="F367"/>
  <c r="B367"/>
  <c r="K366"/>
  <c r="G366"/>
  <c r="C366"/>
  <c r="L365"/>
  <c r="H365"/>
  <c r="D365"/>
  <c r="M364"/>
  <c r="I364"/>
  <c r="E364"/>
  <c r="A364"/>
  <c r="J363"/>
  <c r="F363"/>
  <c r="B363"/>
  <c r="K362"/>
  <c r="G362"/>
  <c r="C362"/>
  <c r="L361"/>
  <c r="H361"/>
  <c r="D361"/>
  <c r="M360"/>
  <c r="I360"/>
  <c r="E360"/>
  <c r="A360"/>
  <c r="J359"/>
  <c r="F359"/>
  <c r="B359"/>
  <c r="K358"/>
  <c r="G358"/>
  <c r="C358"/>
  <c r="L357"/>
  <c r="H357"/>
  <c r="D357"/>
  <c r="M356"/>
  <c r="I356"/>
  <c r="E356"/>
  <c r="A356"/>
  <c r="J355"/>
  <c r="F355"/>
  <c r="B355"/>
  <c r="K354"/>
  <c r="G354"/>
  <c r="C354"/>
  <c r="L353"/>
  <c r="H353"/>
  <c r="D353"/>
  <c r="M352"/>
  <c r="I352"/>
  <c r="E352"/>
  <c r="A352"/>
  <c r="J351"/>
  <c r="F351"/>
  <c r="B351"/>
  <c r="K350"/>
  <c r="G350"/>
  <c r="C350"/>
  <c r="L349"/>
  <c r="H349"/>
  <c r="D349"/>
  <c r="M348"/>
  <c r="I348"/>
  <c r="E348"/>
  <c r="A348"/>
  <c r="J347"/>
  <c r="C606"/>
  <c r="D601"/>
  <c r="E596"/>
  <c r="F591"/>
  <c r="L586"/>
  <c r="D585"/>
  <c r="I583"/>
  <c r="B582"/>
  <c r="L580"/>
  <c r="I579"/>
  <c r="F578"/>
  <c r="C577"/>
  <c r="M575"/>
  <c r="J574"/>
  <c r="G573"/>
  <c r="D572"/>
  <c r="A571"/>
  <c r="K569"/>
  <c r="H568"/>
  <c r="E567"/>
  <c r="B566"/>
  <c r="L564"/>
  <c r="I563"/>
  <c r="F562"/>
  <c r="C561"/>
  <c r="M559"/>
  <c r="J558"/>
  <c r="G557"/>
  <c r="D556"/>
  <c r="A555"/>
  <c r="K553"/>
  <c r="H552"/>
  <c r="E551"/>
  <c r="B550"/>
  <c r="L548"/>
  <c r="I547"/>
  <c r="F546"/>
  <c r="C545"/>
  <c r="M543"/>
  <c r="J542"/>
  <c r="G541"/>
  <c r="D540"/>
  <c r="A539"/>
  <c r="K537"/>
  <c r="H536"/>
  <c r="E535"/>
  <c r="B534"/>
  <c r="L532"/>
  <c r="I531"/>
  <c r="F530"/>
  <c r="C529"/>
  <c r="M527"/>
  <c r="J526"/>
  <c r="G525"/>
  <c r="D524"/>
  <c r="A523"/>
  <c r="K521"/>
  <c r="H520"/>
  <c r="E519"/>
  <c r="B518"/>
  <c r="L516"/>
  <c r="I515"/>
  <c r="F514"/>
  <c r="C513"/>
  <c r="M511"/>
  <c r="J510"/>
  <c r="G509"/>
  <c r="D508"/>
  <c r="A507"/>
  <c r="K505"/>
  <c r="H504"/>
  <c r="E503"/>
  <c r="B502"/>
  <c r="L500"/>
  <c r="I499"/>
  <c r="F498"/>
  <c r="C497"/>
  <c r="M495"/>
  <c r="J494"/>
  <c r="G493"/>
  <c r="D492"/>
  <c r="A491"/>
  <c r="K489"/>
  <c r="H488"/>
  <c r="E487"/>
  <c r="B486"/>
  <c r="L484"/>
  <c r="I483"/>
  <c r="F482"/>
  <c r="C481"/>
  <c r="M479"/>
  <c r="J478"/>
  <c r="G477"/>
  <c r="H476"/>
  <c r="M475"/>
  <c r="E475"/>
  <c r="J474"/>
  <c r="B474"/>
  <c r="G473"/>
  <c r="L472"/>
  <c r="D472"/>
  <c r="I471"/>
  <c r="A471"/>
  <c r="F470"/>
  <c r="K469"/>
  <c r="C469"/>
  <c r="H468"/>
  <c r="M467"/>
  <c r="E467"/>
  <c r="J466"/>
  <c r="B466"/>
  <c r="G465"/>
  <c r="L464"/>
  <c r="D464"/>
  <c r="I463"/>
  <c r="A463"/>
  <c r="F462"/>
  <c r="K461"/>
  <c r="C461"/>
  <c r="H460"/>
  <c r="M459"/>
  <c r="E459"/>
  <c r="J458"/>
  <c r="B458"/>
  <c r="G457"/>
  <c r="L456"/>
  <c r="D456"/>
  <c r="I455"/>
  <c r="A455"/>
  <c r="F454"/>
  <c r="K453"/>
  <c r="C453"/>
  <c r="H452"/>
  <c r="M451"/>
  <c r="E451"/>
  <c r="J450"/>
  <c r="B450"/>
  <c r="G449"/>
  <c r="L448"/>
  <c r="D448"/>
  <c r="I447"/>
  <c r="A447"/>
  <c r="F446"/>
  <c r="K445"/>
  <c r="C445"/>
  <c r="H444"/>
  <c r="M443"/>
  <c r="E443"/>
  <c r="J442"/>
  <c r="B442"/>
  <c r="G441"/>
  <c r="L440"/>
  <c r="D440"/>
  <c r="I439"/>
  <c r="A439"/>
  <c r="F438"/>
  <c r="K437"/>
  <c r="C437"/>
  <c r="H436"/>
  <c r="M435"/>
  <c r="E435"/>
  <c r="J434"/>
  <c r="B434"/>
  <c r="I433"/>
  <c r="E433"/>
  <c r="A433"/>
  <c r="J432"/>
  <c r="F432"/>
  <c r="B432"/>
  <c r="K431"/>
  <c r="G431"/>
  <c r="C431"/>
  <c r="L430"/>
  <c r="H430"/>
  <c r="D430"/>
  <c r="M429"/>
  <c r="I429"/>
  <c r="E429"/>
  <c r="A429"/>
  <c r="J428"/>
  <c r="F428"/>
  <c r="B428"/>
  <c r="K427"/>
  <c r="G427"/>
  <c r="C427"/>
  <c r="L426"/>
  <c r="H426"/>
  <c r="D426"/>
  <c r="M425"/>
  <c r="I425"/>
  <c r="E425"/>
  <c r="A425"/>
  <c r="J424"/>
  <c r="F424"/>
  <c r="B424"/>
  <c r="K423"/>
  <c r="G423"/>
  <c r="C423"/>
  <c r="L422"/>
  <c r="H422"/>
  <c r="D422"/>
  <c r="M421"/>
  <c r="I421"/>
  <c r="E421"/>
  <c r="A421"/>
  <c r="J420"/>
  <c r="F420"/>
  <c r="B420"/>
  <c r="K419"/>
  <c r="G419"/>
  <c r="C419"/>
  <c r="L418"/>
  <c r="H418"/>
  <c r="D418"/>
  <c r="M417"/>
  <c r="I417"/>
  <c r="E417"/>
  <c r="A417"/>
  <c r="J416"/>
  <c r="F416"/>
  <c r="B416"/>
  <c r="K415"/>
  <c r="G415"/>
  <c r="C415"/>
  <c r="L414"/>
  <c r="H414"/>
  <c r="D414"/>
  <c r="M413"/>
  <c r="I413"/>
  <c r="E413"/>
  <c r="A413"/>
  <c r="J412"/>
  <c r="F412"/>
  <c r="B412"/>
  <c r="K411"/>
  <c r="G411"/>
  <c r="C411"/>
  <c r="L410"/>
  <c r="H410"/>
  <c r="D410"/>
  <c r="M409"/>
  <c r="I409"/>
  <c r="E409"/>
  <c r="A409"/>
  <c r="J408"/>
  <c r="F408"/>
  <c r="B408"/>
  <c r="K407"/>
  <c r="G407"/>
  <c r="C407"/>
  <c r="L406"/>
  <c r="H406"/>
  <c r="D406"/>
  <c r="M405"/>
  <c r="I405"/>
  <c r="E405"/>
  <c r="A405"/>
  <c r="J404"/>
  <c r="F404"/>
  <c r="B404"/>
  <c r="K403"/>
  <c r="G403"/>
  <c r="C403"/>
  <c r="L402"/>
  <c r="H402"/>
  <c r="D402"/>
  <c r="M401"/>
  <c r="I401"/>
  <c r="E401"/>
  <c r="A401"/>
  <c r="J400"/>
  <c r="F400"/>
  <c r="B400"/>
  <c r="K399"/>
  <c r="G399"/>
  <c r="C399"/>
  <c r="L398"/>
  <c r="H398"/>
  <c r="D398"/>
  <c r="M397"/>
  <c r="I397"/>
  <c r="E397"/>
  <c r="A397"/>
  <c r="J396"/>
  <c r="F396"/>
  <c r="B396"/>
  <c r="K395"/>
  <c r="G395"/>
  <c r="C395"/>
  <c r="L394"/>
  <c r="H394"/>
  <c r="D394"/>
  <c r="M393"/>
  <c r="I393"/>
  <c r="E393"/>
  <c r="A393"/>
  <c r="J392"/>
  <c r="F392"/>
  <c r="B392"/>
  <c r="K391"/>
  <c r="G391"/>
  <c r="C391"/>
  <c r="L390"/>
  <c r="H390"/>
  <c r="D390"/>
  <c r="M389"/>
  <c r="I389"/>
  <c r="E389"/>
  <c r="A389"/>
  <c r="J388"/>
  <c r="F388"/>
  <c r="B388"/>
  <c r="K387"/>
  <c r="G387"/>
  <c r="C387"/>
  <c r="L386"/>
  <c r="H386"/>
  <c r="D386"/>
  <c r="M385"/>
  <c r="I385"/>
  <c r="E385"/>
  <c r="A385"/>
  <c r="J384"/>
  <c r="F384"/>
  <c r="B384"/>
  <c r="K383"/>
  <c r="G383"/>
  <c r="C383"/>
  <c r="L382"/>
  <c r="H382"/>
  <c r="D382"/>
  <c r="M381"/>
  <c r="I381"/>
  <c r="E381"/>
  <c r="A381"/>
  <c r="J380"/>
  <c r="F380"/>
  <c r="B380"/>
  <c r="K379"/>
  <c r="G379"/>
  <c r="C379"/>
  <c r="L378"/>
  <c r="H378"/>
  <c r="D378"/>
  <c r="M377"/>
  <c r="I377"/>
  <c r="E377"/>
  <c r="A377"/>
  <c r="J376"/>
  <c r="F376"/>
  <c r="B376"/>
  <c r="K375"/>
  <c r="G375"/>
  <c r="C375"/>
  <c r="L374"/>
  <c r="H374"/>
  <c r="D374"/>
  <c r="M373"/>
  <c r="I373"/>
  <c r="E373"/>
  <c r="A373"/>
  <c r="J372"/>
  <c r="F372"/>
  <c r="B372"/>
  <c r="K371"/>
  <c r="G371"/>
  <c r="C371"/>
  <c r="L370"/>
  <c r="H370"/>
  <c r="D370"/>
  <c r="M369"/>
  <c r="I369"/>
  <c r="E369"/>
  <c r="A369"/>
  <c r="J368"/>
  <c r="F368"/>
  <c r="B368"/>
  <c r="K367"/>
  <c r="G367"/>
  <c r="C367"/>
  <c r="L366"/>
  <c r="H366"/>
  <c r="D366"/>
  <c r="M365"/>
  <c r="I365"/>
  <c r="E365"/>
  <c r="A365"/>
  <c r="J364"/>
  <c r="F364"/>
  <c r="B364"/>
  <c r="K363"/>
  <c r="G363"/>
  <c r="C363"/>
  <c r="L362"/>
  <c r="H362"/>
  <c r="D362"/>
  <c r="M361"/>
  <c r="I361"/>
  <c r="E361"/>
  <c r="A361"/>
  <c r="J360"/>
  <c r="F360"/>
  <c r="B360"/>
  <c r="K359"/>
  <c r="G359"/>
  <c r="C359"/>
  <c r="L358"/>
  <c r="H358"/>
  <c r="D358"/>
  <c r="M357"/>
  <c r="I357"/>
  <c r="E357"/>
  <c r="A357"/>
  <c r="J356"/>
  <c r="F356"/>
  <c r="B356"/>
  <c r="K355"/>
  <c r="G355"/>
  <c r="C355"/>
  <c r="L354"/>
  <c r="H354"/>
  <c r="D354"/>
  <c r="M353"/>
  <c r="I353"/>
  <c r="E353"/>
  <c r="A353"/>
  <c r="J352"/>
  <c r="F352"/>
  <c r="B352"/>
  <c r="K351"/>
  <c r="G351"/>
  <c r="C351"/>
  <c r="L350"/>
  <c r="H350"/>
  <c r="D350"/>
  <c r="M349"/>
  <c r="I349"/>
  <c r="E349"/>
  <c r="A349"/>
  <c r="J348"/>
  <c r="F348"/>
  <c r="B348"/>
  <c r="K347"/>
  <c r="G347"/>
  <c r="C347"/>
  <c r="L346"/>
  <c r="H346"/>
  <c r="D346"/>
  <c r="M345"/>
  <c r="I345"/>
  <c r="E345"/>
  <c r="A345"/>
  <c r="J344"/>
  <c r="F344"/>
  <c r="B344"/>
  <c r="K343"/>
  <c r="G343"/>
  <c r="C343"/>
  <c r="L342"/>
  <c r="H342"/>
  <c r="D342"/>
  <c r="M341"/>
  <c r="I341"/>
  <c r="E341"/>
  <c r="A341"/>
  <c r="J340"/>
  <c r="F340"/>
  <c r="B340"/>
  <c r="K339"/>
  <c r="G339"/>
  <c r="C339"/>
  <c r="L338"/>
  <c r="H338"/>
  <c r="D338"/>
  <c r="M337"/>
  <c r="I337"/>
  <c r="E337"/>
  <c r="A337"/>
  <c r="J336"/>
  <c r="F336"/>
  <c r="B336"/>
  <c r="K335"/>
  <c r="G335"/>
  <c r="C335"/>
  <c r="L334"/>
  <c r="H334"/>
  <c r="D334"/>
  <c r="M333"/>
  <c r="I333"/>
  <c r="E333"/>
  <c r="A333"/>
  <c r="J332"/>
  <c r="F332"/>
  <c r="B332"/>
  <c r="K331"/>
  <c r="G331"/>
  <c r="C331"/>
  <c r="L330"/>
  <c r="H330"/>
  <c r="D330"/>
  <c r="M329"/>
  <c r="I329"/>
  <c r="E329"/>
  <c r="A329"/>
  <c r="J328"/>
  <c r="F328"/>
  <c r="B328"/>
  <c r="K327"/>
  <c r="G327"/>
  <c r="C327"/>
  <c r="L326"/>
  <c r="H326"/>
  <c r="F607"/>
  <c r="G602"/>
  <c r="H597"/>
  <c r="I592"/>
  <c r="J587"/>
  <c r="I585"/>
  <c r="A584"/>
  <c r="F582"/>
  <c r="C581"/>
  <c r="M579"/>
  <c r="J578"/>
  <c r="G577"/>
  <c r="D576"/>
  <c r="A575"/>
  <c r="K573"/>
  <c r="H572"/>
  <c r="E571"/>
  <c r="B570"/>
  <c r="L568"/>
  <c r="I567"/>
  <c r="F566"/>
  <c r="C565"/>
  <c r="M563"/>
  <c r="J562"/>
  <c r="G561"/>
  <c r="D560"/>
  <c r="A559"/>
  <c r="K557"/>
  <c r="H556"/>
  <c r="E555"/>
  <c r="B554"/>
  <c r="L552"/>
  <c r="I551"/>
  <c r="F550"/>
  <c r="C549"/>
  <c r="M547"/>
  <c r="J546"/>
  <c r="G545"/>
  <c r="D544"/>
  <c r="A543"/>
  <c r="K541"/>
  <c r="H540"/>
  <c r="E539"/>
  <c r="B538"/>
  <c r="L536"/>
  <c r="I535"/>
  <c r="F534"/>
  <c r="C533"/>
  <c r="M531"/>
  <c r="J530"/>
  <c r="G529"/>
  <c r="D528"/>
  <c r="A527"/>
  <c r="K525"/>
  <c r="H524"/>
  <c r="E523"/>
  <c r="B522"/>
  <c r="L520"/>
  <c r="I519"/>
  <c r="F518"/>
  <c r="C517"/>
  <c r="M515"/>
  <c r="J514"/>
  <c r="G513"/>
  <c r="D512"/>
  <c r="A511"/>
  <c r="K509"/>
  <c r="H508"/>
  <c r="E507"/>
  <c r="B506"/>
  <c r="L504"/>
  <c r="I503"/>
  <c r="F502"/>
  <c r="C501"/>
  <c r="M499"/>
  <c r="J498"/>
  <c r="G497"/>
  <c r="D496"/>
  <c r="A495"/>
  <c r="K493"/>
  <c r="H492"/>
  <c r="E491"/>
  <c r="B490"/>
  <c r="L488"/>
  <c r="I487"/>
  <c r="F486"/>
  <c r="C485"/>
  <c r="M483"/>
  <c r="J482"/>
  <c r="G481"/>
  <c r="D480"/>
  <c r="A479"/>
  <c r="K477"/>
  <c r="J476"/>
  <c r="B476"/>
  <c r="G475"/>
  <c r="L474"/>
  <c r="D474"/>
  <c r="I473"/>
  <c r="A473"/>
  <c r="F472"/>
  <c r="K471"/>
  <c r="C471"/>
  <c r="H470"/>
  <c r="M469"/>
  <c r="E469"/>
  <c r="J468"/>
  <c r="B468"/>
  <c r="G467"/>
  <c r="L466"/>
  <c r="D466"/>
  <c r="I465"/>
  <c r="A465"/>
  <c r="F464"/>
  <c r="K463"/>
  <c r="C463"/>
  <c r="H462"/>
  <c r="M461"/>
  <c r="E461"/>
  <c r="J460"/>
  <c r="B460"/>
  <c r="G459"/>
  <c r="L458"/>
  <c r="D458"/>
  <c r="I457"/>
  <c r="A457"/>
  <c r="F456"/>
  <c r="K455"/>
  <c r="C455"/>
  <c r="H454"/>
  <c r="M453"/>
  <c r="E453"/>
  <c r="J452"/>
  <c r="B452"/>
  <c r="G451"/>
  <c r="L450"/>
  <c r="D450"/>
  <c r="I449"/>
  <c r="A449"/>
  <c r="F448"/>
  <c r="K447"/>
  <c r="C447"/>
  <c r="H446"/>
  <c r="M445"/>
  <c r="E445"/>
  <c r="J444"/>
  <c r="B444"/>
  <c r="G443"/>
  <c r="L442"/>
  <c r="D442"/>
  <c r="I441"/>
  <c r="A441"/>
  <c r="F440"/>
  <c r="K439"/>
  <c r="C439"/>
  <c r="H438"/>
  <c r="M437"/>
  <c r="E437"/>
  <c r="J436"/>
  <c r="B436"/>
  <c r="G435"/>
  <c r="L434"/>
  <c r="D434"/>
  <c r="J433"/>
  <c r="F433"/>
  <c r="B433"/>
  <c r="K432"/>
  <c r="G432"/>
  <c r="C432"/>
  <c r="L431"/>
  <c r="H431"/>
  <c r="D431"/>
  <c r="M430"/>
  <c r="I430"/>
  <c r="E430"/>
  <c r="A430"/>
  <c r="J429"/>
  <c r="F429"/>
  <c r="B429"/>
  <c r="K428"/>
  <c r="G428"/>
  <c r="C428"/>
  <c r="L427"/>
  <c r="H427"/>
  <c r="D427"/>
  <c r="M426"/>
  <c r="I426"/>
  <c r="E426"/>
  <c r="A426"/>
  <c r="J425"/>
  <c r="F425"/>
  <c r="B425"/>
  <c r="K424"/>
  <c r="G424"/>
  <c r="C424"/>
  <c r="L423"/>
  <c r="H423"/>
  <c r="D423"/>
  <c r="M422"/>
  <c r="I422"/>
  <c r="E422"/>
  <c r="A422"/>
  <c r="J421"/>
  <c r="F421"/>
  <c r="B421"/>
  <c r="K420"/>
  <c r="G420"/>
  <c r="C420"/>
  <c r="L419"/>
  <c r="H419"/>
  <c r="D419"/>
  <c r="M418"/>
  <c r="I418"/>
  <c r="E418"/>
  <c r="A418"/>
  <c r="J417"/>
  <c r="F417"/>
  <c r="B417"/>
  <c r="K416"/>
  <c r="G416"/>
  <c r="C416"/>
  <c r="L415"/>
  <c r="H415"/>
  <c r="D415"/>
  <c r="M414"/>
  <c r="I414"/>
  <c r="E414"/>
  <c r="A414"/>
  <c r="J413"/>
  <c r="F413"/>
  <c r="B413"/>
  <c r="K412"/>
  <c r="G412"/>
  <c r="C412"/>
  <c r="L411"/>
  <c r="H411"/>
  <c r="D411"/>
  <c r="M410"/>
  <c r="I410"/>
  <c r="E410"/>
  <c r="A410"/>
  <c r="J409"/>
  <c r="F409"/>
  <c r="B409"/>
  <c r="K408"/>
  <c r="G408"/>
  <c r="C408"/>
  <c r="L407"/>
  <c r="H407"/>
  <c r="D407"/>
  <c r="M406"/>
  <c r="I406"/>
  <c r="E406"/>
  <c r="A406"/>
  <c r="J405"/>
  <c r="F405"/>
  <c r="B405"/>
  <c r="K404"/>
  <c r="G404"/>
  <c r="C404"/>
  <c r="L403"/>
  <c r="H403"/>
  <c r="D403"/>
  <c r="M402"/>
  <c r="I402"/>
  <c r="E402"/>
  <c r="A402"/>
  <c r="J401"/>
  <c r="F401"/>
  <c r="B401"/>
  <c r="K400"/>
  <c r="G400"/>
  <c r="C400"/>
  <c r="L399"/>
  <c r="H399"/>
  <c r="D399"/>
  <c r="M398"/>
  <c r="I398"/>
  <c r="E398"/>
  <c r="A398"/>
  <c r="J397"/>
  <c r="F397"/>
  <c r="B397"/>
  <c r="K396"/>
  <c r="G396"/>
  <c r="C396"/>
  <c r="L395"/>
  <c r="H395"/>
  <c r="D395"/>
  <c r="M394"/>
  <c r="I394"/>
  <c r="E394"/>
  <c r="A394"/>
  <c r="J393"/>
  <c r="F393"/>
  <c r="B393"/>
  <c r="K392"/>
  <c r="G392"/>
  <c r="C392"/>
  <c r="L391"/>
  <c r="H391"/>
  <c r="D391"/>
  <c r="M390"/>
  <c r="I390"/>
  <c r="E390"/>
  <c r="A390"/>
  <c r="J389"/>
  <c r="F389"/>
  <c r="B389"/>
  <c r="K388"/>
  <c r="G388"/>
  <c r="C388"/>
  <c r="L387"/>
  <c r="H387"/>
  <c r="D387"/>
  <c r="M386"/>
  <c r="I386"/>
  <c r="E386"/>
  <c r="A386"/>
  <c r="J385"/>
  <c r="F385"/>
  <c r="B385"/>
  <c r="K384"/>
  <c r="G384"/>
  <c r="C384"/>
  <c r="L383"/>
  <c r="H383"/>
  <c r="D383"/>
  <c r="M382"/>
  <c r="I382"/>
  <c r="E382"/>
  <c r="A382"/>
  <c r="J381"/>
  <c r="F381"/>
  <c r="B381"/>
  <c r="K380"/>
  <c r="G380"/>
  <c r="C380"/>
  <c r="L379"/>
  <c r="H379"/>
  <c r="D379"/>
  <c r="M378"/>
  <c r="I378"/>
  <c r="E378"/>
  <c r="A378"/>
  <c r="J377"/>
  <c r="F377"/>
  <c r="B377"/>
  <c r="K376"/>
  <c r="G376"/>
  <c r="C376"/>
  <c r="L375"/>
  <c r="H375"/>
  <c r="D375"/>
  <c r="M374"/>
  <c r="I374"/>
  <c r="E374"/>
  <c r="A374"/>
  <c r="J373"/>
  <c r="F373"/>
  <c r="B373"/>
  <c r="K372"/>
  <c r="G372"/>
  <c r="C372"/>
  <c r="L371"/>
  <c r="H371"/>
  <c r="D371"/>
  <c r="M370"/>
  <c r="I370"/>
  <c r="E370"/>
  <c r="A370"/>
  <c r="J369"/>
  <c r="F369"/>
  <c r="B369"/>
  <c r="K368"/>
  <c r="G368"/>
  <c r="C368"/>
  <c r="L367"/>
  <c r="H367"/>
  <c r="D367"/>
  <c r="M366"/>
  <c r="I366"/>
  <c r="E366"/>
  <c r="A366"/>
  <c r="J365"/>
  <c r="F365"/>
  <c r="B365"/>
  <c r="K364"/>
  <c r="G364"/>
  <c r="C364"/>
  <c r="L363"/>
  <c r="H363"/>
  <c r="D363"/>
  <c r="M362"/>
  <c r="I362"/>
  <c r="E362"/>
  <c r="A362"/>
  <c r="J361"/>
  <c r="F361"/>
  <c r="B361"/>
  <c r="K360"/>
  <c r="G360"/>
  <c r="C360"/>
  <c r="L359"/>
  <c r="H359"/>
  <c r="D359"/>
  <c r="M358"/>
  <c r="I358"/>
  <c r="E358"/>
  <c r="A358"/>
  <c r="J357"/>
  <c r="F357"/>
  <c r="B357"/>
  <c r="K356"/>
  <c r="G356"/>
  <c r="C356"/>
  <c r="L355"/>
  <c r="H355"/>
  <c r="D355"/>
  <c r="M354"/>
  <c r="I354"/>
  <c r="E354"/>
  <c r="A354"/>
  <c r="J353"/>
  <c r="F353"/>
  <c r="B353"/>
  <c r="K352"/>
  <c r="G352"/>
  <c r="C352"/>
  <c r="L351"/>
  <c r="H351"/>
  <c r="D351"/>
  <c r="M350"/>
  <c r="I350"/>
  <c r="E350"/>
  <c r="A350"/>
  <c r="J349"/>
  <c r="F349"/>
  <c r="B349"/>
  <c r="K348"/>
  <c r="G348"/>
  <c r="C348"/>
  <c r="L347"/>
  <c r="I608"/>
  <c r="J603"/>
  <c r="K598"/>
  <c r="L593"/>
  <c r="M588"/>
  <c r="B586"/>
  <c r="F584"/>
  <c r="K582"/>
  <c r="G581"/>
  <c r="D580"/>
  <c r="A579"/>
  <c r="K577"/>
  <c r="H576"/>
  <c r="E575"/>
  <c r="B574"/>
  <c r="L572"/>
  <c r="I571"/>
  <c r="F570"/>
  <c r="C569"/>
  <c r="M567"/>
  <c r="J566"/>
  <c r="G565"/>
  <c r="D564"/>
  <c r="A563"/>
  <c r="K561"/>
  <c r="H560"/>
  <c r="E559"/>
  <c r="B558"/>
  <c r="L556"/>
  <c r="I555"/>
  <c r="F554"/>
  <c r="C553"/>
  <c r="M551"/>
  <c r="J550"/>
  <c r="G549"/>
  <c r="D548"/>
  <c r="A547"/>
  <c r="K545"/>
  <c r="H544"/>
  <c r="E543"/>
  <c r="B542"/>
  <c r="L540"/>
  <c r="I539"/>
  <c r="F538"/>
  <c r="C537"/>
  <c r="M535"/>
  <c r="J534"/>
  <c r="G533"/>
  <c r="D532"/>
  <c r="A531"/>
  <c r="K529"/>
  <c r="H528"/>
  <c r="E527"/>
  <c r="B526"/>
  <c r="L524"/>
  <c r="I523"/>
  <c r="F522"/>
  <c r="C521"/>
  <c r="M519"/>
  <c r="J518"/>
  <c r="G517"/>
  <c r="D516"/>
  <c r="A515"/>
  <c r="K513"/>
  <c r="H512"/>
  <c r="E511"/>
  <c r="B510"/>
  <c r="L508"/>
  <c r="I507"/>
  <c r="F506"/>
  <c r="C505"/>
  <c r="M503"/>
  <c r="J502"/>
  <c r="G501"/>
  <c r="D500"/>
  <c r="A499"/>
  <c r="K497"/>
  <c r="H496"/>
  <c r="E495"/>
  <c r="B494"/>
  <c r="L492"/>
  <c r="I491"/>
  <c r="F490"/>
  <c r="C489"/>
  <c r="M487"/>
  <c r="J486"/>
  <c r="G485"/>
  <c r="D484"/>
  <c r="A483"/>
  <c r="K481"/>
  <c r="H480"/>
  <c r="E479"/>
  <c r="B478"/>
  <c r="L476"/>
  <c r="D476"/>
  <c r="I475"/>
  <c r="A475"/>
  <c r="F474"/>
  <c r="K473"/>
  <c r="C473"/>
  <c r="H472"/>
  <c r="M471"/>
  <c r="E471"/>
  <c r="J470"/>
  <c r="B470"/>
  <c r="G469"/>
  <c r="L468"/>
  <c r="D468"/>
  <c r="I467"/>
  <c r="A467"/>
  <c r="F466"/>
  <c r="K465"/>
  <c r="C465"/>
  <c r="H464"/>
  <c r="M463"/>
  <c r="E463"/>
  <c r="J462"/>
  <c r="B462"/>
  <c r="G461"/>
  <c r="L460"/>
  <c r="D460"/>
  <c r="I459"/>
  <c r="A459"/>
  <c r="F458"/>
  <c r="K457"/>
  <c r="C457"/>
  <c r="H456"/>
  <c r="M455"/>
  <c r="E455"/>
  <c r="J454"/>
  <c r="B454"/>
  <c r="G453"/>
  <c r="L452"/>
  <c r="D452"/>
  <c r="I451"/>
  <c r="A451"/>
  <c r="F450"/>
  <c r="K449"/>
  <c r="C449"/>
  <c r="H448"/>
  <c r="M447"/>
  <c r="E447"/>
  <c r="J446"/>
  <c r="B446"/>
  <c r="G445"/>
  <c r="L444"/>
  <c r="D444"/>
  <c r="I443"/>
  <c r="A443"/>
  <c r="F442"/>
  <c r="K441"/>
  <c r="C441"/>
  <c r="H440"/>
  <c r="M439"/>
  <c r="E439"/>
  <c r="J438"/>
  <c r="B438"/>
  <c r="G437"/>
  <c r="L436"/>
  <c r="D436"/>
  <c r="I435"/>
  <c r="A435"/>
  <c r="F434"/>
  <c r="K433"/>
  <c r="G433"/>
  <c r="C433"/>
  <c r="L432"/>
  <c r="H432"/>
  <c r="D432"/>
  <c r="M431"/>
  <c r="I431"/>
  <c r="E431"/>
  <c r="A431"/>
  <c r="J430"/>
  <c r="F430"/>
  <c r="B430"/>
  <c r="K429"/>
  <c r="G429"/>
  <c r="C429"/>
  <c r="L428"/>
  <c r="H428"/>
  <c r="D428"/>
  <c r="M427"/>
  <c r="I427"/>
  <c r="E427"/>
  <c r="A427"/>
  <c r="J426"/>
  <c r="F426"/>
  <c r="B426"/>
  <c r="K425"/>
  <c r="G425"/>
  <c r="C425"/>
  <c r="L424"/>
  <c r="H424"/>
  <c r="D424"/>
  <c r="M423"/>
  <c r="I423"/>
  <c r="E423"/>
  <c r="A423"/>
  <c r="J422"/>
  <c r="F422"/>
  <c r="B422"/>
  <c r="K421"/>
  <c r="G421"/>
  <c r="C421"/>
  <c r="L420"/>
  <c r="H420"/>
  <c r="D420"/>
  <c r="M419"/>
  <c r="I419"/>
  <c r="E419"/>
  <c r="A419"/>
  <c r="J418"/>
  <c r="F418"/>
  <c r="B418"/>
  <c r="K417"/>
  <c r="G417"/>
  <c r="C417"/>
  <c r="L416"/>
  <c r="H416"/>
  <c r="D416"/>
  <c r="M415"/>
  <c r="I415"/>
  <c r="E415"/>
  <c r="A415"/>
  <c r="J414"/>
  <c r="F414"/>
  <c r="B414"/>
  <c r="K413"/>
  <c r="G413"/>
  <c r="C413"/>
  <c r="L412"/>
  <c r="H412"/>
  <c r="D412"/>
  <c r="M411"/>
  <c r="I411"/>
  <c r="E411"/>
  <c r="A411"/>
  <c r="J410"/>
  <c r="F410"/>
  <c r="B410"/>
  <c r="K409"/>
  <c r="G409"/>
  <c r="C409"/>
  <c r="L408"/>
  <c r="H408"/>
  <c r="D408"/>
  <c r="M407"/>
  <c r="I407"/>
  <c r="E407"/>
  <c r="A407"/>
  <c r="J406"/>
  <c r="F406"/>
  <c r="B406"/>
  <c r="K405"/>
  <c r="G405"/>
  <c r="C405"/>
  <c r="L404"/>
  <c r="H404"/>
  <c r="D404"/>
  <c r="M403"/>
  <c r="I403"/>
  <c r="E403"/>
  <c r="A403"/>
  <c r="J402"/>
  <c r="F402"/>
  <c r="B402"/>
  <c r="K401"/>
  <c r="G401"/>
  <c r="C401"/>
  <c r="L400"/>
  <c r="H400"/>
  <c r="D400"/>
  <c r="M399"/>
  <c r="I399"/>
  <c r="E399"/>
  <c r="A399"/>
  <c r="J398"/>
  <c r="F398"/>
  <c r="B398"/>
  <c r="K397"/>
  <c r="G397"/>
  <c r="C397"/>
  <c r="L396"/>
  <c r="H396"/>
  <c r="D396"/>
  <c r="M395"/>
  <c r="I395"/>
  <c r="E395"/>
  <c r="A395"/>
  <c r="J394"/>
  <c r="F394"/>
  <c r="B394"/>
  <c r="K393"/>
  <c r="G393"/>
  <c r="C393"/>
  <c r="L392"/>
  <c r="H392"/>
  <c r="D392"/>
  <c r="M391"/>
  <c r="I391"/>
  <c r="E391"/>
  <c r="A391"/>
  <c r="J390"/>
  <c r="F390"/>
  <c r="B390"/>
  <c r="K389"/>
  <c r="G389"/>
  <c r="C389"/>
  <c r="L388"/>
  <c r="H388"/>
  <c r="D388"/>
  <c r="M387"/>
  <c r="I387"/>
  <c r="E387"/>
  <c r="A387"/>
  <c r="J386"/>
  <c r="F386"/>
  <c r="B386"/>
  <c r="K385"/>
  <c r="G385"/>
  <c r="C385"/>
  <c r="L384"/>
  <c r="H384"/>
  <c r="D384"/>
  <c r="M383"/>
  <c r="I383"/>
  <c r="E383"/>
  <c r="A383"/>
  <c r="J382"/>
  <c r="F382"/>
  <c r="B382"/>
  <c r="K381"/>
  <c r="G381"/>
  <c r="C381"/>
  <c r="L380"/>
  <c r="H380"/>
  <c r="D380"/>
  <c r="M379"/>
  <c r="I379"/>
  <c r="E379"/>
  <c r="A379"/>
  <c r="J378"/>
  <c r="F378"/>
  <c r="B378"/>
  <c r="K377"/>
  <c r="G377"/>
  <c r="C377"/>
  <c r="L376"/>
  <c r="H376"/>
  <c r="D376"/>
  <c r="M375"/>
  <c r="I375"/>
  <c r="E375"/>
  <c r="A375"/>
  <c r="J374"/>
  <c r="F374"/>
  <c r="B374"/>
  <c r="K373"/>
  <c r="G373"/>
  <c r="C373"/>
  <c r="L372"/>
  <c r="H372"/>
  <c r="D372"/>
  <c r="M371"/>
  <c r="I371"/>
  <c r="E371"/>
  <c r="A371"/>
  <c r="J370"/>
  <c r="F370"/>
  <c r="B370"/>
  <c r="K369"/>
  <c r="G369"/>
  <c r="C369"/>
  <c r="L368"/>
  <c r="H368"/>
  <c r="D368"/>
  <c r="M367"/>
  <c r="I367"/>
  <c r="E367"/>
  <c r="A367"/>
  <c r="J366"/>
  <c r="F366"/>
  <c r="B366"/>
  <c r="K365"/>
  <c r="G365"/>
  <c r="C365"/>
  <c r="L364"/>
  <c r="H364"/>
  <c r="D364"/>
  <c r="M363"/>
  <c r="I363"/>
  <c r="E363"/>
  <c r="A363"/>
  <c r="J362"/>
  <c r="F362"/>
  <c r="B362"/>
  <c r="K361"/>
  <c r="G361"/>
  <c r="C361"/>
  <c r="L360"/>
  <c r="H360"/>
  <c r="D360"/>
  <c r="M359"/>
  <c r="I359"/>
  <c r="E359"/>
  <c r="A359"/>
  <c r="J358"/>
  <c r="F358"/>
  <c r="B358"/>
  <c r="K357"/>
  <c r="G357"/>
  <c r="C357"/>
  <c r="L356"/>
  <c r="H356"/>
  <c r="D356"/>
  <c r="M355"/>
  <c r="I355"/>
  <c r="E355"/>
  <c r="A355"/>
  <c r="J354"/>
  <c r="F354"/>
  <c r="B354"/>
  <c r="K353"/>
  <c r="G353"/>
  <c r="C353"/>
  <c r="L352"/>
  <c r="H352"/>
  <c r="D352"/>
  <c r="M351"/>
  <c r="I351"/>
  <c r="E351"/>
  <c r="A351"/>
  <c r="J350"/>
  <c r="F350"/>
  <c r="B350"/>
  <c r="K349"/>
  <c r="G349"/>
  <c r="C349"/>
  <c r="L348"/>
  <c r="H348"/>
  <c r="D348"/>
  <c r="M347"/>
  <c r="I347"/>
  <c r="E347"/>
  <c r="A347"/>
  <c r="J346"/>
  <c r="F346"/>
  <c r="B346"/>
  <c r="K345"/>
  <c r="G345"/>
  <c r="C345"/>
  <c r="L344"/>
  <c r="H344"/>
  <c r="D344"/>
  <c r="M343"/>
  <c r="I343"/>
  <c r="E343"/>
  <c r="A343"/>
  <c r="J342"/>
  <c r="F342"/>
  <c r="B342"/>
  <c r="K341"/>
  <c r="G341"/>
  <c r="C341"/>
  <c r="L340"/>
  <c r="H340"/>
  <c r="D340"/>
  <c r="M339"/>
  <c r="I339"/>
  <c r="E339"/>
  <c r="A339"/>
  <c r="J338"/>
  <c r="F338"/>
  <c r="B338"/>
  <c r="K337"/>
  <c r="G337"/>
  <c r="C337"/>
  <c r="L336"/>
  <c r="H336"/>
  <c r="D336"/>
  <c r="M335"/>
  <c r="I335"/>
  <c r="E335"/>
  <c r="A335"/>
  <c r="J334"/>
  <c r="F334"/>
  <c r="B334"/>
  <c r="K333"/>
  <c r="G333"/>
  <c r="C333"/>
  <c r="L332"/>
  <c r="H332"/>
  <c r="D332"/>
  <c r="M331"/>
  <c r="I331"/>
  <c r="E331"/>
  <c r="A331"/>
  <c r="J330"/>
  <c r="F330"/>
  <c r="B330"/>
  <c r="K329"/>
  <c r="G329"/>
  <c r="C329"/>
  <c r="L328"/>
  <c r="H328"/>
  <c r="D328"/>
  <c r="M327"/>
  <c r="I327"/>
  <c r="E327"/>
  <c r="A327"/>
  <c r="J326"/>
  <c r="B347"/>
  <c r="G346"/>
  <c r="L345"/>
  <c r="D345"/>
  <c r="I344"/>
  <c r="A344"/>
  <c r="F343"/>
  <c r="K342"/>
  <c r="C342"/>
  <c r="H341"/>
  <c r="M340"/>
  <c r="E340"/>
  <c r="J339"/>
  <c r="B339"/>
  <c r="G338"/>
  <c r="L337"/>
  <c r="D337"/>
  <c r="I336"/>
  <c r="A336"/>
  <c r="F335"/>
  <c r="K334"/>
  <c r="C334"/>
  <c r="H333"/>
  <c r="M332"/>
  <c r="E332"/>
  <c r="J331"/>
  <c r="B331"/>
  <c r="G330"/>
  <c r="L329"/>
  <c r="D329"/>
  <c r="I328"/>
  <c r="A328"/>
  <c r="F327"/>
  <c r="K326"/>
  <c r="E326"/>
  <c r="A326"/>
  <c r="J325"/>
  <c r="F325"/>
  <c r="B325"/>
  <c r="K324"/>
  <c r="G324"/>
  <c r="C324"/>
  <c r="L323"/>
  <c r="H323"/>
  <c r="D323"/>
  <c r="M322"/>
  <c r="I322"/>
  <c r="E322"/>
  <c r="A322"/>
  <c r="J321"/>
  <c r="F321"/>
  <c r="B321"/>
  <c r="K320"/>
  <c r="G320"/>
  <c r="C320"/>
  <c r="L319"/>
  <c r="H319"/>
  <c r="D319"/>
  <c r="M318"/>
  <c r="I318"/>
  <c r="E318"/>
  <c r="A318"/>
  <c r="J317"/>
  <c r="F317"/>
  <c r="B317"/>
  <c r="K316"/>
  <c r="G316"/>
  <c r="C316"/>
  <c r="L315"/>
  <c r="H315"/>
  <c r="D315"/>
  <c r="M314"/>
  <c r="I314"/>
  <c r="E314"/>
  <c r="A314"/>
  <c r="J313"/>
  <c r="F313"/>
  <c r="B313"/>
  <c r="K312"/>
  <c r="G312"/>
  <c r="C312"/>
  <c r="L311"/>
  <c r="H311"/>
  <c r="D311"/>
  <c r="M310"/>
  <c r="I310"/>
  <c r="E310"/>
  <c r="A310"/>
  <c r="J309"/>
  <c r="F309"/>
  <c r="B309"/>
  <c r="K308"/>
  <c r="G308"/>
  <c r="C308"/>
  <c r="L307"/>
  <c r="H307"/>
  <c r="D307"/>
  <c r="M306"/>
  <c r="I306"/>
  <c r="E306"/>
  <c r="A306"/>
  <c r="J305"/>
  <c r="F305"/>
  <c r="B305"/>
  <c r="K304"/>
  <c r="G304"/>
  <c r="C304"/>
  <c r="L303"/>
  <c r="H303"/>
  <c r="D303"/>
  <c r="M302"/>
  <c r="I302"/>
  <c r="E302"/>
  <c r="A302"/>
  <c r="J301"/>
  <c r="F301"/>
  <c r="B301"/>
  <c r="K300"/>
  <c r="G300"/>
  <c r="C300"/>
  <c r="L299"/>
  <c r="H299"/>
  <c r="D299"/>
  <c r="M298"/>
  <c r="I298"/>
  <c r="E298"/>
  <c r="A298"/>
  <c r="J297"/>
  <c r="F297"/>
  <c r="B297"/>
  <c r="K296"/>
  <c r="G296"/>
  <c r="C296"/>
  <c r="L295"/>
  <c r="H295"/>
  <c r="D295"/>
  <c r="M294"/>
  <c r="I294"/>
  <c r="E294"/>
  <c r="A294"/>
  <c r="J293"/>
  <c r="F293"/>
  <c r="B293"/>
  <c r="K292"/>
  <c r="G292"/>
  <c r="C292"/>
  <c r="L291"/>
  <c r="H291"/>
  <c r="D291"/>
  <c r="M290"/>
  <c r="I290"/>
  <c r="E290"/>
  <c r="A290"/>
  <c r="J289"/>
  <c r="F289"/>
  <c r="B289"/>
  <c r="K288"/>
  <c r="G288"/>
  <c r="C288"/>
  <c r="L287"/>
  <c r="H287"/>
  <c r="D287"/>
  <c r="M286"/>
  <c r="I286"/>
  <c r="E286"/>
  <c r="A286"/>
  <c r="J285"/>
  <c r="F285"/>
  <c r="B285"/>
  <c r="K284"/>
  <c r="G284"/>
  <c r="C284"/>
  <c r="L283"/>
  <c r="H283"/>
  <c r="D283"/>
  <c r="M282"/>
  <c r="I282"/>
  <c r="E282"/>
  <c r="A282"/>
  <c r="J281"/>
  <c r="F281"/>
  <c r="B281"/>
  <c r="K280"/>
  <c r="G280"/>
  <c r="C280"/>
  <c r="L279"/>
  <c r="H279"/>
  <c r="D279"/>
  <c r="M278"/>
  <c r="I278"/>
  <c r="E278"/>
  <c r="A278"/>
  <c r="J277"/>
  <c r="F277"/>
  <c r="B277"/>
  <c r="K276"/>
  <c r="G276"/>
  <c r="C276"/>
  <c r="L275"/>
  <c r="H275"/>
  <c r="D275"/>
  <c r="M274"/>
  <c r="I274"/>
  <c r="E274"/>
  <c r="A274"/>
  <c r="J273"/>
  <c r="F273"/>
  <c r="B273"/>
  <c r="K272"/>
  <c r="G272"/>
  <c r="C272"/>
  <c r="L271"/>
  <c r="H271"/>
  <c r="D271"/>
  <c r="M270"/>
  <c r="I270"/>
  <c r="E270"/>
  <c r="A270"/>
  <c r="J269"/>
  <c r="F269"/>
  <c r="B269"/>
  <c r="K268"/>
  <c r="G268"/>
  <c r="C268"/>
  <c r="L267"/>
  <c r="H267"/>
  <c r="D267"/>
  <c r="M266"/>
  <c r="I266"/>
  <c r="E266"/>
  <c r="A266"/>
  <c r="J265"/>
  <c r="F265"/>
  <c r="B265"/>
  <c r="K264"/>
  <c r="G264"/>
  <c r="C264"/>
  <c r="L263"/>
  <c r="H263"/>
  <c r="D263"/>
  <c r="M262"/>
  <c r="I262"/>
  <c r="E262"/>
  <c r="A262"/>
  <c r="J261"/>
  <c r="F261"/>
  <c r="B261"/>
  <c r="K260"/>
  <c r="G260"/>
  <c r="C260"/>
  <c r="L259"/>
  <c r="H259"/>
  <c r="D259"/>
  <c r="M258"/>
  <c r="I258"/>
  <c r="E258"/>
  <c r="A258"/>
  <c r="J257"/>
  <c r="F257"/>
  <c r="B257"/>
  <c r="K256"/>
  <c r="G256"/>
  <c r="C256"/>
  <c r="L255"/>
  <c r="H255"/>
  <c r="D255"/>
  <c r="M254"/>
  <c r="I254"/>
  <c r="E254"/>
  <c r="A254"/>
  <c r="J253"/>
  <c r="F253"/>
  <c r="B253"/>
  <c r="K252"/>
  <c r="G252"/>
  <c r="C252"/>
  <c r="L251"/>
  <c r="H251"/>
  <c r="D251"/>
  <c r="M250"/>
  <c r="I250"/>
  <c r="E250"/>
  <c r="A250"/>
  <c r="J249"/>
  <c r="F249"/>
  <c r="B249"/>
  <c r="K248"/>
  <c r="G248"/>
  <c r="C248"/>
  <c r="L247"/>
  <c r="H247"/>
  <c r="D247"/>
  <c r="M246"/>
  <c r="I246"/>
  <c r="E246"/>
  <c r="A246"/>
  <c r="J245"/>
  <c r="F245"/>
  <c r="B245"/>
  <c r="K244"/>
  <c r="G244"/>
  <c r="C244"/>
  <c r="L243"/>
  <c r="H243"/>
  <c r="D243"/>
  <c r="M242"/>
  <c r="I242"/>
  <c r="E242"/>
  <c r="A242"/>
  <c r="J241"/>
  <c r="F241"/>
  <c r="B241"/>
  <c r="K240"/>
  <c r="G240"/>
  <c r="C240"/>
  <c r="L239"/>
  <c r="H239"/>
  <c r="D239"/>
  <c r="M238"/>
  <c r="I238"/>
  <c r="E238"/>
  <c r="A238"/>
  <c r="J237"/>
  <c r="F237"/>
  <c r="B237"/>
  <c r="K236"/>
  <c r="G236"/>
  <c r="C236"/>
  <c r="L235"/>
  <c r="H235"/>
  <c r="D235"/>
  <c r="M234"/>
  <c r="I234"/>
  <c r="E234"/>
  <c r="A234"/>
  <c r="J233"/>
  <c r="F233"/>
  <c r="B233"/>
  <c r="K232"/>
  <c r="G232"/>
  <c r="C232"/>
  <c r="L231"/>
  <c r="H231"/>
  <c r="D231"/>
  <c r="M230"/>
  <c r="I230"/>
  <c r="E230"/>
  <c r="A230"/>
  <c r="J229"/>
  <c r="F229"/>
  <c r="B229"/>
  <c r="K228"/>
  <c r="G228"/>
  <c r="C228"/>
  <c r="L227"/>
  <c r="H227"/>
  <c r="D227"/>
  <c r="M226"/>
  <c r="I226"/>
  <c r="E226"/>
  <c r="A226"/>
  <c r="J225"/>
  <c r="F225"/>
  <c r="B225"/>
  <c r="K224"/>
  <c r="G224"/>
  <c r="C224"/>
  <c r="L223"/>
  <c r="H223"/>
  <c r="D223"/>
  <c r="M222"/>
  <c r="I222"/>
  <c r="E222"/>
  <c r="A222"/>
  <c r="J221"/>
  <c r="F221"/>
  <c r="B221"/>
  <c r="K220"/>
  <c r="G220"/>
  <c r="C220"/>
  <c r="L219"/>
  <c r="H219"/>
  <c r="D219"/>
  <c r="M218"/>
  <c r="I218"/>
  <c r="E218"/>
  <c r="A218"/>
  <c r="J217"/>
  <c r="F217"/>
  <c r="B217"/>
  <c r="K216"/>
  <c r="G216"/>
  <c r="C216"/>
  <c r="L215"/>
  <c r="H215"/>
  <c r="D215"/>
  <c r="M214"/>
  <c r="I214"/>
  <c r="E214"/>
  <c r="A214"/>
  <c r="J213"/>
  <c r="F213"/>
  <c r="B213"/>
  <c r="K212"/>
  <c r="G212"/>
  <c r="C212"/>
  <c r="L211"/>
  <c r="H211"/>
  <c r="D211"/>
  <c r="M210"/>
  <c r="I210"/>
  <c r="E210"/>
  <c r="A210"/>
  <c r="J209"/>
  <c r="F209"/>
  <c r="B209"/>
  <c r="K208"/>
  <c r="G208"/>
  <c r="C208"/>
  <c r="L207"/>
  <c r="H207"/>
  <c r="D207"/>
  <c r="M206"/>
  <c r="I206"/>
  <c r="E206"/>
  <c r="A206"/>
  <c r="J205"/>
  <c r="F205"/>
  <c r="B205"/>
  <c r="K204"/>
  <c r="G204"/>
  <c r="C204"/>
  <c r="L203"/>
  <c r="H203"/>
  <c r="D203"/>
  <c r="M202"/>
  <c r="I202"/>
  <c r="E202"/>
  <c r="A202"/>
  <c r="J201"/>
  <c r="F201"/>
  <c r="B201"/>
  <c r="K200"/>
  <c r="G200"/>
  <c r="C200"/>
  <c r="L199"/>
  <c r="H199"/>
  <c r="D199"/>
  <c r="M198"/>
  <c r="I198"/>
  <c r="E198"/>
  <c r="A198"/>
  <c r="J197"/>
  <c r="F197"/>
  <c r="B197"/>
  <c r="K196"/>
  <c r="G196"/>
  <c r="C196"/>
  <c r="L195"/>
  <c r="H195"/>
  <c r="D195"/>
  <c r="M194"/>
  <c r="I194"/>
  <c r="E194"/>
  <c r="A194"/>
  <c r="J193"/>
  <c r="F193"/>
  <c r="B193"/>
  <c r="K192"/>
  <c r="G192"/>
  <c r="C192"/>
  <c r="L191"/>
  <c r="H191"/>
  <c r="D191"/>
  <c r="M190"/>
  <c r="I190"/>
  <c r="E190"/>
  <c r="A190"/>
  <c r="J189"/>
  <c r="F189"/>
  <c r="B189"/>
  <c r="K188"/>
  <c r="G188"/>
  <c r="C188"/>
  <c r="L187"/>
  <c r="H187"/>
  <c r="D187"/>
  <c r="M186"/>
  <c r="I186"/>
  <c r="E186"/>
  <c r="A186"/>
  <c r="J185"/>
  <c r="F185"/>
  <c r="B185"/>
  <c r="K184"/>
  <c r="G184"/>
  <c r="C184"/>
  <c r="L183"/>
  <c r="H183"/>
  <c r="D183"/>
  <c r="M182"/>
  <c r="I182"/>
  <c r="E182"/>
  <c r="A182"/>
  <c r="J181"/>
  <c r="F181"/>
  <c r="B181"/>
  <c r="K180"/>
  <c r="G180"/>
  <c r="C180"/>
  <c r="L179"/>
  <c r="H179"/>
  <c r="D179"/>
  <c r="M178"/>
  <c r="I178"/>
  <c r="E178"/>
  <c r="A178"/>
  <c r="J177"/>
  <c r="F177"/>
  <c r="B177"/>
  <c r="K176"/>
  <c r="G176"/>
  <c r="C176"/>
  <c r="L175"/>
  <c r="H175"/>
  <c r="D175"/>
  <c r="M174"/>
  <c r="I174"/>
  <c r="E174"/>
  <c r="A174"/>
  <c r="J173"/>
  <c r="F173"/>
  <c r="B173"/>
  <c r="K172"/>
  <c r="G172"/>
  <c r="C172"/>
  <c r="L171"/>
  <c r="H171"/>
  <c r="D171"/>
  <c r="M170"/>
  <c r="I170"/>
  <c r="E170"/>
  <c r="A170"/>
  <c r="J169"/>
  <c r="F169"/>
  <c r="B169"/>
  <c r="K168"/>
  <c r="G168"/>
  <c r="C168"/>
  <c r="L167"/>
  <c r="H167"/>
  <c r="D167"/>
  <c r="M166"/>
  <c r="I166"/>
  <c r="E166"/>
  <c r="A166"/>
  <c r="J165"/>
  <c r="F165"/>
  <c r="B165"/>
  <c r="K164"/>
  <c r="G164"/>
  <c r="C164"/>
  <c r="L163"/>
  <c r="H163"/>
  <c r="D163"/>
  <c r="M162"/>
  <c r="I162"/>
  <c r="E162"/>
  <c r="A162"/>
  <c r="J161"/>
  <c r="F161"/>
  <c r="B161"/>
  <c r="K160"/>
  <c r="G160"/>
  <c r="C160"/>
  <c r="L159"/>
  <c r="H159"/>
  <c r="D159"/>
  <c r="M158"/>
  <c r="I158"/>
  <c r="E158"/>
  <c r="A158"/>
  <c r="J157"/>
  <c r="F157"/>
  <c r="B157"/>
  <c r="K156"/>
  <c r="G156"/>
  <c r="C156"/>
  <c r="L155"/>
  <c r="H155"/>
  <c r="D155"/>
  <c r="M154"/>
  <c r="I154"/>
  <c r="E154"/>
  <c r="A154"/>
  <c r="J153"/>
  <c r="F153"/>
  <c r="B153"/>
  <c r="K152"/>
  <c r="G152"/>
  <c r="C152"/>
  <c r="L151"/>
  <c r="H151"/>
  <c r="D151"/>
  <c r="M150"/>
  <c r="I150"/>
  <c r="E150"/>
  <c r="A150"/>
  <c r="J149"/>
  <c r="F149"/>
  <c r="B149"/>
  <c r="K148"/>
  <c r="G148"/>
  <c r="C148"/>
  <c r="L147"/>
  <c r="H147"/>
  <c r="D147"/>
  <c r="M146"/>
  <c r="I146"/>
  <c r="E146"/>
  <c r="A146"/>
  <c r="J145"/>
  <c r="F145"/>
  <c r="B145"/>
  <c r="K144"/>
  <c r="G144"/>
  <c r="C144"/>
  <c r="L143"/>
  <c r="H143"/>
  <c r="D143"/>
  <c r="M142"/>
  <c r="I142"/>
  <c r="E142"/>
  <c r="A142"/>
  <c r="J141"/>
  <c r="F141"/>
  <c r="B141"/>
  <c r="K140"/>
  <c r="G140"/>
  <c r="C140"/>
  <c r="L139"/>
  <c r="H139"/>
  <c r="D139"/>
  <c r="M138"/>
  <c r="I138"/>
  <c r="E138"/>
  <c r="A138"/>
  <c r="J137"/>
  <c r="F137"/>
  <c r="B137"/>
  <c r="K136"/>
  <c r="G136"/>
  <c r="C136"/>
  <c r="L135"/>
  <c r="H135"/>
  <c r="D135"/>
  <c r="M134"/>
  <c r="I134"/>
  <c r="E134"/>
  <c r="A134"/>
  <c r="J133"/>
  <c r="F133"/>
  <c r="B133"/>
  <c r="K132"/>
  <c r="G132"/>
  <c r="C132"/>
  <c r="L131"/>
  <c r="H131"/>
  <c r="D131"/>
  <c r="M130"/>
  <c r="I130"/>
  <c r="E130"/>
  <c r="A130"/>
  <c r="J129"/>
  <c r="F129"/>
  <c r="B129"/>
  <c r="K128"/>
  <c r="G128"/>
  <c r="C128"/>
  <c r="L127"/>
  <c r="H127"/>
  <c r="D127"/>
  <c r="M126"/>
  <c r="I126"/>
  <c r="E126"/>
  <c r="A126"/>
  <c r="J125"/>
  <c r="F125"/>
  <c r="B125"/>
  <c r="K124"/>
  <c r="G124"/>
  <c r="C124"/>
  <c r="L123"/>
  <c r="H123"/>
  <c r="D123"/>
  <c r="M122"/>
  <c r="I122"/>
  <c r="E122"/>
  <c r="A122"/>
  <c r="J121"/>
  <c r="F121"/>
  <c r="B121"/>
  <c r="K120"/>
  <c r="G120"/>
  <c r="C120"/>
  <c r="L119"/>
  <c r="H119"/>
  <c r="D119"/>
  <c r="M118"/>
  <c r="I118"/>
  <c r="E118"/>
  <c r="A118"/>
  <c r="J117"/>
  <c r="F117"/>
  <c r="B117"/>
  <c r="K116"/>
  <c r="G116"/>
  <c r="C116"/>
  <c r="L115"/>
  <c r="H115"/>
  <c r="D115"/>
  <c r="M114"/>
  <c r="I114"/>
  <c r="E114"/>
  <c r="A114"/>
  <c r="J113"/>
  <c r="F113"/>
  <c r="B113"/>
  <c r="K112"/>
  <c r="G112"/>
  <c r="C112"/>
  <c r="L111"/>
  <c r="H111"/>
  <c r="D111"/>
  <c r="M110"/>
  <c r="I110"/>
  <c r="E110"/>
  <c r="A110"/>
  <c r="J109"/>
  <c r="F109"/>
  <c r="B109"/>
  <c r="K108"/>
  <c r="G108"/>
  <c r="C108"/>
  <c r="L107"/>
  <c r="H107"/>
  <c r="D107"/>
  <c r="M106"/>
  <c r="I106"/>
  <c r="E106"/>
  <c r="A106"/>
  <c r="J105"/>
  <c r="F105"/>
  <c r="B105"/>
  <c r="K104"/>
  <c r="G104"/>
  <c r="C104"/>
  <c r="L103"/>
  <c r="H103"/>
  <c r="D103"/>
  <c r="M102"/>
  <c r="I102"/>
  <c r="E102"/>
  <c r="A102"/>
  <c r="J101"/>
  <c r="F101"/>
  <c r="B101"/>
  <c r="K100"/>
  <c r="G100"/>
  <c r="C100"/>
  <c r="L99"/>
  <c r="H99"/>
  <c r="D99"/>
  <c r="M98"/>
  <c r="I98"/>
  <c r="E98"/>
  <c r="A98"/>
  <c r="J97"/>
  <c r="F97"/>
  <c r="B97"/>
  <c r="K96"/>
  <c r="G96"/>
  <c r="C96"/>
  <c r="L95"/>
  <c r="H95"/>
  <c r="D95"/>
  <c r="M94"/>
  <c r="I94"/>
  <c r="E94"/>
  <c r="A94"/>
  <c r="J93"/>
  <c r="F93"/>
  <c r="B93"/>
  <c r="K92"/>
  <c r="G92"/>
  <c r="C92"/>
  <c r="L91"/>
  <c r="H91"/>
  <c r="D91"/>
  <c r="M90"/>
  <c r="I90"/>
  <c r="E90"/>
  <c r="A90"/>
  <c r="J89"/>
  <c r="F89"/>
  <c r="B89"/>
  <c r="K88"/>
  <c r="G88"/>
  <c r="C88"/>
  <c r="L87"/>
  <c r="H87"/>
  <c r="D87"/>
  <c r="M86"/>
  <c r="I86"/>
  <c r="E86"/>
  <c r="A86"/>
  <c r="J85"/>
  <c r="F85"/>
  <c r="B85"/>
  <c r="K84"/>
  <c r="G84"/>
  <c r="C84"/>
  <c r="L83"/>
  <c r="H83"/>
  <c r="D83"/>
  <c r="M82"/>
  <c r="I82"/>
  <c r="E82"/>
  <c r="A82"/>
  <c r="J81"/>
  <c r="F81"/>
  <c r="B81"/>
  <c r="K80"/>
  <c r="G80"/>
  <c r="C80"/>
  <c r="L79"/>
  <c r="H79"/>
  <c r="D79"/>
  <c r="M78"/>
  <c r="I78"/>
  <c r="E78"/>
  <c r="A78"/>
  <c r="J77"/>
  <c r="F77"/>
  <c r="B77"/>
  <c r="K76"/>
  <c r="G76"/>
  <c r="C76"/>
  <c r="L75"/>
  <c r="H75"/>
  <c r="D75"/>
  <c r="M74"/>
  <c r="I74"/>
  <c r="E74"/>
  <c r="A74"/>
  <c r="J73"/>
  <c r="F73"/>
  <c r="B73"/>
  <c r="K72"/>
  <c r="G72"/>
  <c r="C72"/>
  <c r="L71"/>
  <c r="H71"/>
  <c r="D71"/>
  <c r="M70"/>
  <c r="I70"/>
  <c r="E70"/>
  <c r="A70"/>
  <c r="J69"/>
  <c r="F69"/>
  <c r="B69"/>
  <c r="K68"/>
  <c r="G68"/>
  <c r="C68"/>
  <c r="L67"/>
  <c r="H67"/>
  <c r="D67"/>
  <c r="M66"/>
  <c r="I66"/>
  <c r="E66"/>
  <c r="A66"/>
  <c r="J65"/>
  <c r="F65"/>
  <c r="B65"/>
  <c r="K64"/>
  <c r="G64"/>
  <c r="C64"/>
  <c r="L63"/>
  <c r="H63"/>
  <c r="D63"/>
  <c r="M62"/>
  <c r="I62"/>
  <c r="E62"/>
  <c r="A62"/>
  <c r="J61"/>
  <c r="F61"/>
  <c r="B61"/>
  <c r="K60"/>
  <c r="G60"/>
  <c r="C60"/>
  <c r="L59"/>
  <c r="H59"/>
  <c r="D59"/>
  <c r="M58"/>
  <c r="I58"/>
  <c r="E58"/>
  <c r="A58"/>
  <c r="J57"/>
  <c r="F57"/>
  <c r="B57"/>
  <c r="K56"/>
  <c r="G56"/>
  <c r="C56"/>
  <c r="L55"/>
  <c r="H55"/>
  <c r="D55"/>
  <c r="M54"/>
  <c r="I54"/>
  <c r="E54"/>
  <c r="A54"/>
  <c r="J53"/>
  <c r="F53"/>
  <c r="B53"/>
  <c r="K52"/>
  <c r="G52"/>
  <c r="C52"/>
  <c r="L51"/>
  <c r="H51"/>
  <c r="D51"/>
  <c r="M50"/>
  <c r="I50"/>
  <c r="E50"/>
  <c r="A50"/>
  <c r="J49"/>
  <c r="F49"/>
  <c r="B49"/>
  <c r="K48"/>
  <c r="G48"/>
  <c r="C48"/>
  <c r="L47"/>
  <c r="H47"/>
  <c r="D47"/>
  <c r="M46"/>
  <c r="I46"/>
  <c r="E46"/>
  <c r="A46"/>
  <c r="J45"/>
  <c r="F45"/>
  <c r="B45"/>
  <c r="K44"/>
  <c r="G44"/>
  <c r="C44"/>
  <c r="L43"/>
  <c r="H43"/>
  <c r="D43"/>
  <c r="M42"/>
  <c r="I42"/>
  <c r="E42"/>
  <c r="A42"/>
  <c r="J41"/>
  <c r="F41"/>
  <c r="B41"/>
  <c r="K40"/>
  <c r="G40"/>
  <c r="C40"/>
  <c r="L39"/>
  <c r="H39"/>
  <c r="D39"/>
  <c r="M38"/>
  <c r="I38"/>
  <c r="E38"/>
  <c r="A38"/>
  <c r="J37"/>
  <c r="F37"/>
  <c r="B37"/>
  <c r="K36"/>
  <c r="G36"/>
  <c r="C36"/>
  <c r="L35"/>
  <c r="H35"/>
  <c r="D35"/>
  <c r="M34"/>
  <c r="I34"/>
  <c r="E34"/>
  <c r="A34"/>
  <c r="J33"/>
  <c r="F33"/>
  <c r="B33"/>
  <c r="K32"/>
  <c r="G32"/>
  <c r="C32"/>
  <c r="L31"/>
  <c r="H31"/>
  <c r="D31"/>
  <c r="M30"/>
  <c r="I30"/>
  <c r="E30"/>
  <c r="A30"/>
  <c r="J29"/>
  <c r="F29"/>
  <c r="B29"/>
  <c r="K28"/>
  <c r="G28"/>
  <c r="C28"/>
  <c r="L27"/>
  <c r="H27"/>
  <c r="D27"/>
  <c r="M26"/>
  <c r="I26"/>
  <c r="D347"/>
  <c r="I346"/>
  <c r="A346"/>
  <c r="F345"/>
  <c r="K344"/>
  <c r="C344"/>
  <c r="H343"/>
  <c r="M342"/>
  <c r="E342"/>
  <c r="J341"/>
  <c r="B341"/>
  <c r="G340"/>
  <c r="L339"/>
  <c r="D339"/>
  <c r="I338"/>
  <c r="A338"/>
  <c r="F337"/>
  <c r="K336"/>
  <c r="C336"/>
  <c r="H335"/>
  <c r="M334"/>
  <c r="E334"/>
  <c r="J333"/>
  <c r="B333"/>
  <c r="G332"/>
  <c r="L331"/>
  <c r="D331"/>
  <c r="I330"/>
  <c r="A330"/>
  <c r="F329"/>
  <c r="K328"/>
  <c r="C328"/>
  <c r="H327"/>
  <c r="M326"/>
  <c r="F326"/>
  <c r="B326"/>
  <c r="K325"/>
  <c r="G325"/>
  <c r="C325"/>
  <c r="L324"/>
  <c r="H324"/>
  <c r="D324"/>
  <c r="M323"/>
  <c r="I323"/>
  <c r="E323"/>
  <c r="A323"/>
  <c r="J322"/>
  <c r="F322"/>
  <c r="B322"/>
  <c r="K321"/>
  <c r="G321"/>
  <c r="C321"/>
  <c r="L320"/>
  <c r="H320"/>
  <c r="D320"/>
  <c r="M319"/>
  <c r="I319"/>
  <c r="E319"/>
  <c r="A319"/>
  <c r="J318"/>
  <c r="F318"/>
  <c r="B318"/>
  <c r="K317"/>
  <c r="G317"/>
  <c r="C317"/>
  <c r="L316"/>
  <c r="H316"/>
  <c r="D316"/>
  <c r="M315"/>
  <c r="I315"/>
  <c r="E315"/>
  <c r="A315"/>
  <c r="J314"/>
  <c r="F314"/>
  <c r="B314"/>
  <c r="K313"/>
  <c r="G313"/>
  <c r="C313"/>
  <c r="L312"/>
  <c r="H312"/>
  <c r="D312"/>
  <c r="M311"/>
  <c r="I311"/>
  <c r="E311"/>
  <c r="A311"/>
  <c r="J310"/>
  <c r="F310"/>
  <c r="B310"/>
  <c r="K309"/>
  <c r="G309"/>
  <c r="C309"/>
  <c r="L308"/>
  <c r="H308"/>
  <c r="D308"/>
  <c r="M307"/>
  <c r="I307"/>
  <c r="E307"/>
  <c r="A307"/>
  <c r="J306"/>
  <c r="F306"/>
  <c r="B306"/>
  <c r="K305"/>
  <c r="G305"/>
  <c r="C305"/>
  <c r="L304"/>
  <c r="H304"/>
  <c r="D304"/>
  <c r="M303"/>
  <c r="I303"/>
  <c r="E303"/>
  <c r="A303"/>
  <c r="J302"/>
  <c r="F302"/>
  <c r="B302"/>
  <c r="K301"/>
  <c r="G301"/>
  <c r="C301"/>
  <c r="L300"/>
  <c r="H300"/>
  <c r="D300"/>
  <c r="M299"/>
  <c r="I299"/>
  <c r="E299"/>
  <c r="A299"/>
  <c r="J298"/>
  <c r="F298"/>
  <c r="B298"/>
  <c r="K297"/>
  <c r="G297"/>
  <c r="C297"/>
  <c r="L296"/>
  <c r="H296"/>
  <c r="D296"/>
  <c r="M295"/>
  <c r="I295"/>
  <c r="E295"/>
  <c r="A295"/>
  <c r="J294"/>
  <c r="F294"/>
  <c r="B294"/>
  <c r="K293"/>
  <c r="G293"/>
  <c r="C293"/>
  <c r="L292"/>
  <c r="H292"/>
  <c r="D292"/>
  <c r="M291"/>
  <c r="I291"/>
  <c r="E291"/>
  <c r="A291"/>
  <c r="J290"/>
  <c r="F290"/>
  <c r="B290"/>
  <c r="K289"/>
  <c r="G289"/>
  <c r="C289"/>
  <c r="L288"/>
  <c r="H288"/>
  <c r="D288"/>
  <c r="M287"/>
  <c r="I287"/>
  <c r="E287"/>
  <c r="A287"/>
  <c r="J286"/>
  <c r="F286"/>
  <c r="B286"/>
  <c r="K285"/>
  <c r="G285"/>
  <c r="C285"/>
  <c r="L284"/>
  <c r="H284"/>
  <c r="D284"/>
  <c r="M283"/>
  <c r="I283"/>
  <c r="E283"/>
  <c r="A283"/>
  <c r="J282"/>
  <c r="F282"/>
  <c r="B282"/>
  <c r="K281"/>
  <c r="G281"/>
  <c r="C281"/>
  <c r="L280"/>
  <c r="H280"/>
  <c r="D280"/>
  <c r="M279"/>
  <c r="I279"/>
  <c r="E279"/>
  <c r="A279"/>
  <c r="J278"/>
  <c r="F278"/>
  <c r="B278"/>
  <c r="K277"/>
  <c r="G277"/>
  <c r="C277"/>
  <c r="L276"/>
  <c r="H276"/>
  <c r="D276"/>
  <c r="M275"/>
  <c r="I275"/>
  <c r="E275"/>
  <c r="A275"/>
  <c r="J274"/>
  <c r="F274"/>
  <c r="B274"/>
  <c r="K273"/>
  <c r="G273"/>
  <c r="C273"/>
  <c r="L272"/>
  <c r="H272"/>
  <c r="D272"/>
  <c r="M271"/>
  <c r="I271"/>
  <c r="E271"/>
  <c r="A271"/>
  <c r="J270"/>
  <c r="F270"/>
  <c r="B270"/>
  <c r="K269"/>
  <c r="G269"/>
  <c r="C269"/>
  <c r="L268"/>
  <c r="H268"/>
  <c r="D268"/>
  <c r="M267"/>
  <c r="I267"/>
  <c r="E267"/>
  <c r="A267"/>
  <c r="J266"/>
  <c r="F266"/>
  <c r="B266"/>
  <c r="K265"/>
  <c r="G265"/>
  <c r="C265"/>
  <c r="L264"/>
  <c r="H264"/>
  <c r="D264"/>
  <c r="M263"/>
  <c r="I263"/>
  <c r="E263"/>
  <c r="A263"/>
  <c r="J262"/>
  <c r="F262"/>
  <c r="B262"/>
  <c r="K261"/>
  <c r="G261"/>
  <c r="C261"/>
  <c r="L260"/>
  <c r="H260"/>
  <c r="D260"/>
  <c r="M259"/>
  <c r="I259"/>
  <c r="E259"/>
  <c r="A259"/>
  <c r="J258"/>
  <c r="F258"/>
  <c r="B258"/>
  <c r="K257"/>
  <c r="G257"/>
  <c r="C257"/>
  <c r="L256"/>
  <c r="H256"/>
  <c r="D256"/>
  <c r="M255"/>
  <c r="I255"/>
  <c r="E255"/>
  <c r="A255"/>
  <c r="J254"/>
  <c r="F254"/>
  <c r="B254"/>
  <c r="K253"/>
  <c r="G253"/>
  <c r="C253"/>
  <c r="L252"/>
  <c r="H252"/>
  <c r="D252"/>
  <c r="M251"/>
  <c r="I251"/>
  <c r="E251"/>
  <c r="A251"/>
  <c r="J250"/>
  <c r="F250"/>
  <c r="B250"/>
  <c r="K249"/>
  <c r="G249"/>
  <c r="C249"/>
  <c r="L248"/>
  <c r="H248"/>
  <c r="D248"/>
  <c r="M247"/>
  <c r="I247"/>
  <c r="E247"/>
  <c r="A247"/>
  <c r="J246"/>
  <c r="F246"/>
  <c r="B246"/>
  <c r="K245"/>
  <c r="G245"/>
  <c r="C245"/>
  <c r="L244"/>
  <c r="H244"/>
  <c r="D244"/>
  <c r="M243"/>
  <c r="I243"/>
  <c r="E243"/>
  <c r="A243"/>
  <c r="J242"/>
  <c r="F242"/>
  <c r="B242"/>
  <c r="K241"/>
  <c r="G241"/>
  <c r="C241"/>
  <c r="L240"/>
  <c r="H240"/>
  <c r="D240"/>
  <c r="M239"/>
  <c r="I239"/>
  <c r="E239"/>
  <c r="A239"/>
  <c r="J238"/>
  <c r="F238"/>
  <c r="B238"/>
  <c r="K237"/>
  <c r="G237"/>
  <c r="C237"/>
  <c r="L236"/>
  <c r="H236"/>
  <c r="D236"/>
  <c r="M235"/>
  <c r="I235"/>
  <c r="E235"/>
  <c r="A235"/>
  <c r="J234"/>
  <c r="F234"/>
  <c r="B234"/>
  <c r="K233"/>
  <c r="G233"/>
  <c r="C233"/>
  <c r="L232"/>
  <c r="H232"/>
  <c r="D232"/>
  <c r="M231"/>
  <c r="I231"/>
  <c r="E231"/>
  <c r="A231"/>
  <c r="J230"/>
  <c r="F230"/>
  <c r="B230"/>
  <c r="K229"/>
  <c r="G229"/>
  <c r="C229"/>
  <c r="L228"/>
  <c r="H228"/>
  <c r="D228"/>
  <c r="M227"/>
  <c r="I227"/>
  <c r="E227"/>
  <c r="A227"/>
  <c r="J226"/>
  <c r="F226"/>
  <c r="B226"/>
  <c r="K225"/>
  <c r="G225"/>
  <c r="C225"/>
  <c r="L224"/>
  <c r="H224"/>
  <c r="D224"/>
  <c r="M223"/>
  <c r="I223"/>
  <c r="E223"/>
  <c r="A223"/>
  <c r="J222"/>
  <c r="F222"/>
  <c r="B222"/>
  <c r="K221"/>
  <c r="G221"/>
  <c r="C221"/>
  <c r="L220"/>
  <c r="H220"/>
  <c r="D220"/>
  <c r="M219"/>
  <c r="I219"/>
  <c r="E219"/>
  <c r="A219"/>
  <c r="J218"/>
  <c r="F218"/>
  <c r="B218"/>
  <c r="K217"/>
  <c r="G217"/>
  <c r="C217"/>
  <c r="L216"/>
  <c r="H216"/>
  <c r="D216"/>
  <c r="M215"/>
  <c r="I215"/>
  <c r="E215"/>
  <c r="A215"/>
  <c r="J214"/>
  <c r="F214"/>
  <c r="B214"/>
  <c r="K213"/>
  <c r="G213"/>
  <c r="C213"/>
  <c r="L212"/>
  <c r="H212"/>
  <c r="D212"/>
  <c r="M211"/>
  <c r="I211"/>
  <c r="E211"/>
  <c r="A211"/>
  <c r="J210"/>
  <c r="F210"/>
  <c r="B210"/>
  <c r="K209"/>
  <c r="G209"/>
  <c r="C209"/>
  <c r="L208"/>
  <c r="H208"/>
  <c r="D208"/>
  <c r="M207"/>
  <c r="I207"/>
  <c r="E207"/>
  <c r="A207"/>
  <c r="J206"/>
  <c r="F206"/>
  <c r="B206"/>
  <c r="K205"/>
  <c r="G205"/>
  <c r="C205"/>
  <c r="L204"/>
  <c r="H204"/>
  <c r="D204"/>
  <c r="M203"/>
  <c r="I203"/>
  <c r="E203"/>
  <c r="A203"/>
  <c r="J202"/>
  <c r="F202"/>
  <c r="B202"/>
  <c r="K201"/>
  <c r="G201"/>
  <c r="C201"/>
  <c r="L200"/>
  <c r="H200"/>
  <c r="D200"/>
  <c r="M199"/>
  <c r="I199"/>
  <c r="E199"/>
  <c r="A199"/>
  <c r="J198"/>
  <c r="F198"/>
  <c r="B198"/>
  <c r="K197"/>
  <c r="G197"/>
  <c r="C197"/>
  <c r="L196"/>
  <c r="H196"/>
  <c r="D196"/>
  <c r="M195"/>
  <c r="I195"/>
  <c r="E195"/>
  <c r="A195"/>
  <c r="J194"/>
  <c r="F194"/>
  <c r="B194"/>
  <c r="K193"/>
  <c r="G193"/>
  <c r="C193"/>
  <c r="L192"/>
  <c r="H192"/>
  <c r="D192"/>
  <c r="M191"/>
  <c r="I191"/>
  <c r="E191"/>
  <c r="A191"/>
  <c r="J190"/>
  <c r="F190"/>
  <c r="B190"/>
  <c r="K189"/>
  <c r="G189"/>
  <c r="C189"/>
  <c r="L188"/>
  <c r="H188"/>
  <c r="D188"/>
  <c r="M187"/>
  <c r="I187"/>
  <c r="E187"/>
  <c r="A187"/>
  <c r="J186"/>
  <c r="F186"/>
  <c r="B186"/>
  <c r="K185"/>
  <c r="G185"/>
  <c r="C185"/>
  <c r="L184"/>
  <c r="H184"/>
  <c r="D184"/>
  <c r="M183"/>
  <c r="I183"/>
  <c r="E183"/>
  <c r="A183"/>
  <c r="J182"/>
  <c r="F182"/>
  <c r="B182"/>
  <c r="K181"/>
  <c r="G181"/>
  <c r="C181"/>
  <c r="L180"/>
  <c r="H180"/>
  <c r="D180"/>
  <c r="M179"/>
  <c r="I179"/>
  <c r="E179"/>
  <c r="A179"/>
  <c r="J178"/>
  <c r="F178"/>
  <c r="B178"/>
  <c r="K177"/>
  <c r="G177"/>
  <c r="C177"/>
  <c r="L176"/>
  <c r="H176"/>
  <c r="D176"/>
  <c r="M175"/>
  <c r="I175"/>
  <c r="E175"/>
  <c r="A175"/>
  <c r="J174"/>
  <c r="F174"/>
  <c r="B174"/>
  <c r="K173"/>
  <c r="G173"/>
  <c r="C173"/>
  <c r="L172"/>
  <c r="H172"/>
  <c r="D172"/>
  <c r="M171"/>
  <c r="I171"/>
  <c r="E171"/>
  <c r="A171"/>
  <c r="J170"/>
  <c r="F170"/>
  <c r="B170"/>
  <c r="K169"/>
  <c r="G169"/>
  <c r="C169"/>
  <c r="L168"/>
  <c r="H168"/>
  <c r="D168"/>
  <c r="M167"/>
  <c r="I167"/>
  <c r="E167"/>
  <c r="A167"/>
  <c r="J166"/>
  <c r="F166"/>
  <c r="B166"/>
  <c r="K165"/>
  <c r="G165"/>
  <c r="C165"/>
  <c r="L164"/>
  <c r="H164"/>
  <c r="D164"/>
  <c r="M163"/>
  <c r="I163"/>
  <c r="E163"/>
  <c r="A163"/>
  <c r="J162"/>
  <c r="F162"/>
  <c r="B162"/>
  <c r="K161"/>
  <c r="G161"/>
  <c r="C161"/>
  <c r="L160"/>
  <c r="H160"/>
  <c r="D160"/>
  <c r="M159"/>
  <c r="I159"/>
  <c r="E159"/>
  <c r="A159"/>
  <c r="J158"/>
  <c r="F158"/>
  <c r="B158"/>
  <c r="K157"/>
  <c r="G157"/>
  <c r="C157"/>
  <c r="L156"/>
  <c r="H156"/>
  <c r="D156"/>
  <c r="M155"/>
  <c r="I155"/>
  <c r="E155"/>
  <c r="A155"/>
  <c r="J154"/>
  <c r="F154"/>
  <c r="B154"/>
  <c r="K153"/>
  <c r="G153"/>
  <c r="C153"/>
  <c r="L152"/>
  <c r="H152"/>
  <c r="D152"/>
  <c r="M151"/>
  <c r="I151"/>
  <c r="E151"/>
  <c r="A151"/>
  <c r="J150"/>
  <c r="F150"/>
  <c r="B150"/>
  <c r="K149"/>
  <c r="G149"/>
  <c r="C149"/>
  <c r="L148"/>
  <c r="H148"/>
  <c r="D148"/>
  <c r="M147"/>
  <c r="I147"/>
  <c r="E147"/>
  <c r="A147"/>
  <c r="J146"/>
  <c r="F146"/>
  <c r="B146"/>
  <c r="K145"/>
  <c r="G145"/>
  <c r="C145"/>
  <c r="L144"/>
  <c r="H144"/>
  <c r="D144"/>
  <c r="M143"/>
  <c r="I143"/>
  <c r="E143"/>
  <c r="A143"/>
  <c r="J142"/>
  <c r="F142"/>
  <c r="B142"/>
  <c r="K141"/>
  <c r="G141"/>
  <c r="C141"/>
  <c r="L140"/>
  <c r="H140"/>
  <c r="D140"/>
  <c r="M139"/>
  <c r="I139"/>
  <c r="E139"/>
  <c r="A139"/>
  <c r="J138"/>
  <c r="F138"/>
  <c r="B138"/>
  <c r="K137"/>
  <c r="G137"/>
  <c r="C137"/>
  <c r="L136"/>
  <c r="H136"/>
  <c r="D136"/>
  <c r="M135"/>
  <c r="I135"/>
  <c r="E135"/>
  <c r="A135"/>
  <c r="J134"/>
  <c r="F134"/>
  <c r="B134"/>
  <c r="K133"/>
  <c r="G133"/>
  <c r="C133"/>
  <c r="L132"/>
  <c r="H132"/>
  <c r="D132"/>
  <c r="M131"/>
  <c r="I131"/>
  <c r="E131"/>
  <c r="A131"/>
  <c r="J130"/>
  <c r="F130"/>
  <c r="B130"/>
  <c r="K129"/>
  <c r="G129"/>
  <c r="C129"/>
  <c r="L128"/>
  <c r="H128"/>
  <c r="D128"/>
  <c r="M127"/>
  <c r="I127"/>
  <c r="E127"/>
  <c r="A127"/>
  <c r="J126"/>
  <c r="F126"/>
  <c r="B126"/>
  <c r="K125"/>
  <c r="G125"/>
  <c r="C125"/>
  <c r="L124"/>
  <c r="H124"/>
  <c r="D124"/>
  <c r="M123"/>
  <c r="I123"/>
  <c r="E123"/>
  <c r="A123"/>
  <c r="J122"/>
  <c r="F122"/>
  <c r="B122"/>
  <c r="K121"/>
  <c r="G121"/>
  <c r="C121"/>
  <c r="L120"/>
  <c r="H120"/>
  <c r="D120"/>
  <c r="M119"/>
  <c r="I119"/>
  <c r="E119"/>
  <c r="A119"/>
  <c r="J118"/>
  <c r="F118"/>
  <c r="B118"/>
  <c r="K117"/>
  <c r="G117"/>
  <c r="C117"/>
  <c r="L116"/>
  <c r="H116"/>
  <c r="D116"/>
  <c r="M115"/>
  <c r="I115"/>
  <c r="E115"/>
  <c r="A115"/>
  <c r="J114"/>
  <c r="F114"/>
  <c r="B114"/>
  <c r="K113"/>
  <c r="G113"/>
  <c r="C113"/>
  <c r="L112"/>
  <c r="H112"/>
  <c r="D112"/>
  <c r="M111"/>
  <c r="I111"/>
  <c r="E111"/>
  <c r="A111"/>
  <c r="J110"/>
  <c r="F110"/>
  <c r="B110"/>
  <c r="K109"/>
  <c r="G109"/>
  <c r="C109"/>
  <c r="L108"/>
  <c r="H108"/>
  <c r="D108"/>
  <c r="M107"/>
  <c r="I107"/>
  <c r="E107"/>
  <c r="A107"/>
  <c r="J106"/>
  <c r="F106"/>
  <c r="B106"/>
  <c r="K105"/>
  <c r="G105"/>
  <c r="C105"/>
  <c r="L104"/>
  <c r="H104"/>
  <c r="D104"/>
  <c r="M103"/>
  <c r="I103"/>
  <c r="E103"/>
  <c r="A103"/>
  <c r="J102"/>
  <c r="F102"/>
  <c r="B102"/>
  <c r="K101"/>
  <c r="G101"/>
  <c r="C101"/>
  <c r="L100"/>
  <c r="H100"/>
  <c r="D100"/>
  <c r="M99"/>
  <c r="I99"/>
  <c r="E99"/>
  <c r="A99"/>
  <c r="J98"/>
  <c r="F98"/>
  <c r="B98"/>
  <c r="K97"/>
  <c r="G97"/>
  <c r="C97"/>
  <c r="L96"/>
  <c r="H96"/>
  <c r="D96"/>
  <c r="M95"/>
  <c r="I95"/>
  <c r="E95"/>
  <c r="A95"/>
  <c r="J94"/>
  <c r="F94"/>
  <c r="B94"/>
  <c r="K93"/>
  <c r="G93"/>
  <c r="C93"/>
  <c r="L92"/>
  <c r="H92"/>
  <c r="D92"/>
  <c r="M91"/>
  <c r="I91"/>
  <c r="E91"/>
  <c r="A91"/>
  <c r="J90"/>
  <c r="F90"/>
  <c r="B90"/>
  <c r="K89"/>
  <c r="G89"/>
  <c r="C89"/>
  <c r="L88"/>
  <c r="H88"/>
  <c r="D88"/>
  <c r="M87"/>
  <c r="I87"/>
  <c r="E87"/>
  <c r="A87"/>
  <c r="J86"/>
  <c r="F86"/>
  <c r="B86"/>
  <c r="K85"/>
  <c r="G85"/>
  <c r="C85"/>
  <c r="L84"/>
  <c r="H84"/>
  <c r="D84"/>
  <c r="M83"/>
  <c r="I83"/>
  <c r="E83"/>
  <c r="A83"/>
  <c r="J82"/>
  <c r="F82"/>
  <c r="B82"/>
  <c r="K81"/>
  <c r="G81"/>
  <c r="C81"/>
  <c r="L80"/>
  <c r="H80"/>
  <c r="D80"/>
  <c r="M79"/>
  <c r="I79"/>
  <c r="E79"/>
  <c r="A79"/>
  <c r="J78"/>
  <c r="F78"/>
  <c r="B78"/>
  <c r="K77"/>
  <c r="G77"/>
  <c r="C77"/>
  <c r="L76"/>
  <c r="H76"/>
  <c r="D76"/>
  <c r="M75"/>
  <c r="I75"/>
  <c r="E75"/>
  <c r="A75"/>
  <c r="J74"/>
  <c r="F74"/>
  <c r="B74"/>
  <c r="K73"/>
  <c r="G73"/>
  <c r="C73"/>
  <c r="L72"/>
  <c r="H72"/>
  <c r="D72"/>
  <c r="M71"/>
  <c r="I71"/>
  <c r="E71"/>
  <c r="A71"/>
  <c r="J70"/>
  <c r="F70"/>
  <c r="B70"/>
  <c r="K69"/>
  <c r="G69"/>
  <c r="C69"/>
  <c r="L68"/>
  <c r="H68"/>
  <c r="D68"/>
  <c r="M67"/>
  <c r="I67"/>
  <c r="E67"/>
  <c r="A67"/>
  <c r="J66"/>
  <c r="F66"/>
  <c r="B66"/>
  <c r="K65"/>
  <c r="G65"/>
  <c r="C65"/>
  <c r="L64"/>
  <c r="H64"/>
  <c r="D64"/>
  <c r="M63"/>
  <c r="I63"/>
  <c r="E63"/>
  <c r="A63"/>
  <c r="J62"/>
  <c r="F62"/>
  <c r="B62"/>
  <c r="K61"/>
  <c r="G61"/>
  <c r="C61"/>
  <c r="L60"/>
  <c r="H60"/>
  <c r="D60"/>
  <c r="M59"/>
  <c r="I59"/>
  <c r="E59"/>
  <c r="A59"/>
  <c r="J58"/>
  <c r="F58"/>
  <c r="B58"/>
  <c r="K57"/>
  <c r="G57"/>
  <c r="C57"/>
  <c r="L56"/>
  <c r="H56"/>
  <c r="D56"/>
  <c r="M55"/>
  <c r="I55"/>
  <c r="E55"/>
  <c r="A55"/>
  <c r="J54"/>
  <c r="F54"/>
  <c r="B54"/>
  <c r="K53"/>
  <c r="G53"/>
  <c r="C53"/>
  <c r="L52"/>
  <c r="H52"/>
  <c r="D52"/>
  <c r="M51"/>
  <c r="I51"/>
  <c r="E51"/>
  <c r="A51"/>
  <c r="J50"/>
  <c r="F50"/>
  <c r="B50"/>
  <c r="K49"/>
  <c r="G49"/>
  <c r="C49"/>
  <c r="L48"/>
  <c r="H48"/>
  <c r="D48"/>
  <c r="M47"/>
  <c r="I47"/>
  <c r="E47"/>
  <c r="A47"/>
  <c r="J46"/>
  <c r="F46"/>
  <c r="B46"/>
  <c r="K45"/>
  <c r="G45"/>
  <c r="C45"/>
  <c r="L44"/>
  <c r="H44"/>
  <c r="D44"/>
  <c r="M43"/>
  <c r="I43"/>
  <c r="E43"/>
  <c r="A43"/>
  <c r="J42"/>
  <c r="F42"/>
  <c r="B42"/>
  <c r="K41"/>
  <c r="G41"/>
  <c r="C41"/>
  <c r="L40"/>
  <c r="H40"/>
  <c r="D40"/>
  <c r="M39"/>
  <c r="I39"/>
  <c r="E39"/>
  <c r="A39"/>
  <c r="J38"/>
  <c r="F38"/>
  <c r="B38"/>
  <c r="K37"/>
  <c r="G37"/>
  <c r="C37"/>
  <c r="L36"/>
  <c r="H36"/>
  <c r="D36"/>
  <c r="M35"/>
  <c r="I35"/>
  <c r="E35"/>
  <c r="A35"/>
  <c r="J34"/>
  <c r="F34"/>
  <c r="B34"/>
  <c r="K33"/>
  <c r="G33"/>
  <c r="C33"/>
  <c r="L32"/>
  <c r="H32"/>
  <c r="D32"/>
  <c r="M31"/>
  <c r="I31"/>
  <c r="E31"/>
  <c r="A31"/>
  <c r="J30"/>
  <c r="F30"/>
  <c r="B30"/>
  <c r="K29"/>
  <c r="G29"/>
  <c r="C29"/>
  <c r="L28"/>
  <c r="H28"/>
  <c r="D28"/>
  <c r="M27"/>
  <c r="I27"/>
  <c r="E27"/>
  <c r="A27"/>
  <c r="J26"/>
  <c r="F26"/>
  <c r="B26"/>
  <c r="K25"/>
  <c r="G25"/>
  <c r="C25"/>
  <c r="L24"/>
  <c r="H24"/>
  <c r="D24"/>
  <c r="M23"/>
  <c r="I23"/>
  <c r="E23"/>
  <c r="A23"/>
  <c r="J22"/>
  <c r="F22"/>
  <c r="B22"/>
  <c r="F347"/>
  <c r="K346"/>
  <c r="C346"/>
  <c r="H345"/>
  <c r="M344"/>
  <c r="E344"/>
  <c r="J343"/>
  <c r="B343"/>
  <c r="G342"/>
  <c r="L341"/>
  <c r="D341"/>
  <c r="I340"/>
  <c r="A340"/>
  <c r="F339"/>
  <c r="K338"/>
  <c r="C338"/>
  <c r="H337"/>
  <c r="M336"/>
  <c r="E336"/>
  <c r="J335"/>
  <c r="B335"/>
  <c r="G334"/>
  <c r="L333"/>
  <c r="D333"/>
  <c r="I332"/>
  <c r="A332"/>
  <c r="F331"/>
  <c r="K330"/>
  <c r="C330"/>
  <c r="H329"/>
  <c r="M328"/>
  <c r="E328"/>
  <c r="J327"/>
  <c r="B327"/>
  <c r="G326"/>
  <c r="C326"/>
  <c r="L325"/>
  <c r="H325"/>
  <c r="D325"/>
  <c r="M324"/>
  <c r="I324"/>
  <c r="E324"/>
  <c r="A324"/>
  <c r="J323"/>
  <c r="F323"/>
  <c r="B323"/>
  <c r="K322"/>
  <c r="G322"/>
  <c r="C322"/>
  <c r="L321"/>
  <c r="H321"/>
  <c r="D321"/>
  <c r="M320"/>
  <c r="I320"/>
  <c r="E320"/>
  <c r="A320"/>
  <c r="J319"/>
  <c r="F319"/>
  <c r="B319"/>
  <c r="K318"/>
  <c r="G318"/>
  <c r="C318"/>
  <c r="L317"/>
  <c r="H317"/>
  <c r="D317"/>
  <c r="M316"/>
  <c r="I316"/>
  <c r="E316"/>
  <c r="A316"/>
  <c r="J315"/>
  <c r="F315"/>
  <c r="B315"/>
  <c r="K314"/>
  <c r="G314"/>
  <c r="C314"/>
  <c r="L313"/>
  <c r="H313"/>
  <c r="D313"/>
  <c r="M312"/>
  <c r="I312"/>
  <c r="E312"/>
  <c r="A312"/>
  <c r="J311"/>
  <c r="F311"/>
  <c r="B311"/>
  <c r="K310"/>
  <c r="G310"/>
  <c r="C310"/>
  <c r="L309"/>
  <c r="H309"/>
  <c r="D309"/>
  <c r="M308"/>
  <c r="I308"/>
  <c r="E308"/>
  <c r="A308"/>
  <c r="J307"/>
  <c r="F307"/>
  <c r="B307"/>
  <c r="K306"/>
  <c r="G306"/>
  <c r="C306"/>
  <c r="L305"/>
  <c r="H305"/>
  <c r="D305"/>
  <c r="M304"/>
  <c r="I304"/>
  <c r="E304"/>
  <c r="A304"/>
  <c r="J303"/>
  <c r="F303"/>
  <c r="B303"/>
  <c r="K302"/>
  <c r="G302"/>
  <c r="C302"/>
  <c r="L301"/>
  <c r="H301"/>
  <c r="D301"/>
  <c r="M300"/>
  <c r="I300"/>
  <c r="E300"/>
  <c r="A300"/>
  <c r="J299"/>
  <c r="F299"/>
  <c r="B299"/>
  <c r="K298"/>
  <c r="G298"/>
  <c r="C298"/>
  <c r="L297"/>
  <c r="H297"/>
  <c r="D297"/>
  <c r="M296"/>
  <c r="I296"/>
  <c r="E296"/>
  <c r="A296"/>
  <c r="J295"/>
  <c r="F295"/>
  <c r="B295"/>
  <c r="K294"/>
  <c r="G294"/>
  <c r="C294"/>
  <c r="L293"/>
  <c r="H293"/>
  <c r="D293"/>
  <c r="M292"/>
  <c r="I292"/>
  <c r="E292"/>
  <c r="A292"/>
  <c r="J291"/>
  <c r="F291"/>
  <c r="B291"/>
  <c r="K290"/>
  <c r="G290"/>
  <c r="C290"/>
  <c r="L289"/>
  <c r="H289"/>
  <c r="D289"/>
  <c r="M288"/>
  <c r="I288"/>
  <c r="E288"/>
  <c r="A288"/>
  <c r="J287"/>
  <c r="F287"/>
  <c r="B287"/>
  <c r="K286"/>
  <c r="G286"/>
  <c r="C286"/>
  <c r="L285"/>
  <c r="H285"/>
  <c r="D285"/>
  <c r="M284"/>
  <c r="I284"/>
  <c r="E284"/>
  <c r="A284"/>
  <c r="J283"/>
  <c r="F283"/>
  <c r="B283"/>
  <c r="K282"/>
  <c r="G282"/>
  <c r="C282"/>
  <c r="L281"/>
  <c r="H281"/>
  <c r="D281"/>
  <c r="M280"/>
  <c r="I280"/>
  <c r="E280"/>
  <c r="A280"/>
  <c r="J279"/>
  <c r="F279"/>
  <c r="B279"/>
  <c r="K278"/>
  <c r="G278"/>
  <c r="C278"/>
  <c r="L277"/>
  <c r="H277"/>
  <c r="D277"/>
  <c r="M276"/>
  <c r="I276"/>
  <c r="E276"/>
  <c r="A276"/>
  <c r="J275"/>
  <c r="F275"/>
  <c r="B275"/>
  <c r="K274"/>
  <c r="G274"/>
  <c r="C274"/>
  <c r="L273"/>
  <c r="H273"/>
  <c r="D273"/>
  <c r="M272"/>
  <c r="I272"/>
  <c r="E272"/>
  <c r="A272"/>
  <c r="J271"/>
  <c r="F271"/>
  <c r="B271"/>
  <c r="K270"/>
  <c r="G270"/>
  <c r="C270"/>
  <c r="L269"/>
  <c r="H269"/>
  <c r="D269"/>
  <c r="M268"/>
  <c r="I268"/>
  <c r="E268"/>
  <c r="A268"/>
  <c r="J267"/>
  <c r="F267"/>
  <c r="B267"/>
  <c r="K266"/>
  <c r="G266"/>
  <c r="C266"/>
  <c r="L265"/>
  <c r="H265"/>
  <c r="D265"/>
  <c r="M264"/>
  <c r="I264"/>
  <c r="E264"/>
  <c r="A264"/>
  <c r="J263"/>
  <c r="F263"/>
  <c r="B263"/>
  <c r="K262"/>
  <c r="G262"/>
  <c r="C262"/>
  <c r="L261"/>
  <c r="H261"/>
  <c r="D261"/>
  <c r="M260"/>
  <c r="I260"/>
  <c r="E260"/>
  <c r="A260"/>
  <c r="J259"/>
  <c r="F259"/>
  <c r="B259"/>
  <c r="K258"/>
  <c r="G258"/>
  <c r="C258"/>
  <c r="L257"/>
  <c r="H257"/>
  <c r="D257"/>
  <c r="M256"/>
  <c r="I256"/>
  <c r="E256"/>
  <c r="A256"/>
  <c r="J255"/>
  <c r="F255"/>
  <c r="B255"/>
  <c r="K254"/>
  <c r="G254"/>
  <c r="C254"/>
  <c r="L253"/>
  <c r="H253"/>
  <c r="D253"/>
  <c r="M252"/>
  <c r="I252"/>
  <c r="E252"/>
  <c r="A252"/>
  <c r="J251"/>
  <c r="F251"/>
  <c r="B251"/>
  <c r="K250"/>
  <c r="G250"/>
  <c r="C250"/>
  <c r="L249"/>
  <c r="H249"/>
  <c r="D249"/>
  <c r="M248"/>
  <c r="I248"/>
  <c r="E248"/>
  <c r="A248"/>
  <c r="J247"/>
  <c r="F247"/>
  <c r="B247"/>
  <c r="K246"/>
  <c r="G246"/>
  <c r="C246"/>
  <c r="L245"/>
  <c r="H245"/>
  <c r="D245"/>
  <c r="M244"/>
  <c r="I244"/>
  <c r="E244"/>
  <c r="A244"/>
  <c r="J243"/>
  <c r="F243"/>
  <c r="B243"/>
  <c r="K242"/>
  <c r="G242"/>
  <c r="C242"/>
  <c r="L241"/>
  <c r="H241"/>
  <c r="D241"/>
  <c r="M240"/>
  <c r="I240"/>
  <c r="E240"/>
  <c r="A240"/>
  <c r="J239"/>
  <c r="F239"/>
  <c r="B239"/>
  <c r="K238"/>
  <c r="G238"/>
  <c r="C238"/>
  <c r="L237"/>
  <c r="H237"/>
  <c r="D237"/>
  <c r="M236"/>
  <c r="I236"/>
  <c r="E236"/>
  <c r="A236"/>
  <c r="J235"/>
  <c r="F235"/>
  <c r="B235"/>
  <c r="K234"/>
  <c r="G234"/>
  <c r="C234"/>
  <c r="L233"/>
  <c r="H233"/>
  <c r="D233"/>
  <c r="M232"/>
  <c r="I232"/>
  <c r="E232"/>
  <c r="A232"/>
  <c r="J231"/>
  <c r="F231"/>
  <c r="B231"/>
  <c r="K230"/>
  <c r="G230"/>
  <c r="C230"/>
  <c r="L229"/>
  <c r="H229"/>
  <c r="D229"/>
  <c r="M228"/>
  <c r="I228"/>
  <c r="E228"/>
  <c r="A228"/>
  <c r="J227"/>
  <c r="F227"/>
  <c r="B227"/>
  <c r="K226"/>
  <c r="G226"/>
  <c r="C226"/>
  <c r="L225"/>
  <c r="H225"/>
  <c r="D225"/>
  <c r="M224"/>
  <c r="I224"/>
  <c r="E224"/>
  <c r="A224"/>
  <c r="J223"/>
  <c r="F223"/>
  <c r="B223"/>
  <c r="K222"/>
  <c r="G222"/>
  <c r="C222"/>
  <c r="L221"/>
  <c r="H221"/>
  <c r="D221"/>
  <c r="M220"/>
  <c r="I220"/>
  <c r="E220"/>
  <c r="A220"/>
  <c r="J219"/>
  <c r="F219"/>
  <c r="B219"/>
  <c r="K218"/>
  <c r="G218"/>
  <c r="C218"/>
  <c r="L217"/>
  <c r="H217"/>
  <c r="D217"/>
  <c r="M216"/>
  <c r="I216"/>
  <c r="E216"/>
  <c r="A216"/>
  <c r="J215"/>
  <c r="F215"/>
  <c r="B215"/>
  <c r="K214"/>
  <c r="G214"/>
  <c r="C214"/>
  <c r="L213"/>
  <c r="H213"/>
  <c r="D213"/>
  <c r="M212"/>
  <c r="I212"/>
  <c r="E212"/>
  <c r="A212"/>
  <c r="J211"/>
  <c r="F211"/>
  <c r="B211"/>
  <c r="K210"/>
  <c r="G210"/>
  <c r="C210"/>
  <c r="L209"/>
  <c r="H209"/>
  <c r="D209"/>
  <c r="M208"/>
  <c r="I208"/>
  <c r="E208"/>
  <c r="A208"/>
  <c r="J207"/>
  <c r="F207"/>
  <c r="B207"/>
  <c r="K206"/>
  <c r="G206"/>
  <c r="C206"/>
  <c r="L205"/>
  <c r="H205"/>
  <c r="D205"/>
  <c r="M204"/>
  <c r="I204"/>
  <c r="E204"/>
  <c r="A204"/>
  <c r="J203"/>
  <c r="F203"/>
  <c r="B203"/>
  <c r="K202"/>
  <c r="G202"/>
  <c r="C202"/>
  <c r="L201"/>
  <c r="H201"/>
  <c r="D201"/>
  <c r="M200"/>
  <c r="I200"/>
  <c r="E200"/>
  <c r="A200"/>
  <c r="J199"/>
  <c r="F199"/>
  <c r="B199"/>
  <c r="K198"/>
  <c r="G198"/>
  <c r="C198"/>
  <c r="L197"/>
  <c r="H197"/>
  <c r="D197"/>
  <c r="M196"/>
  <c r="I196"/>
  <c r="E196"/>
  <c r="A196"/>
  <c r="J195"/>
  <c r="F195"/>
  <c r="B195"/>
  <c r="K194"/>
  <c r="G194"/>
  <c r="C194"/>
  <c r="L193"/>
  <c r="H193"/>
  <c r="D193"/>
  <c r="M192"/>
  <c r="I192"/>
  <c r="E192"/>
  <c r="A192"/>
  <c r="J191"/>
  <c r="F191"/>
  <c r="B191"/>
  <c r="K190"/>
  <c r="G190"/>
  <c r="C190"/>
  <c r="L189"/>
  <c r="H189"/>
  <c r="D189"/>
  <c r="M188"/>
  <c r="I188"/>
  <c r="E188"/>
  <c r="A188"/>
  <c r="J187"/>
  <c r="F187"/>
  <c r="B187"/>
  <c r="K186"/>
  <c r="G186"/>
  <c r="C186"/>
  <c r="L185"/>
  <c r="H185"/>
  <c r="D185"/>
  <c r="M184"/>
  <c r="I184"/>
  <c r="E184"/>
  <c r="A184"/>
  <c r="J183"/>
  <c r="F183"/>
  <c r="B183"/>
  <c r="K182"/>
  <c r="G182"/>
  <c r="C182"/>
  <c r="L181"/>
  <c r="H181"/>
  <c r="D181"/>
  <c r="M180"/>
  <c r="I180"/>
  <c r="E180"/>
  <c r="A180"/>
  <c r="J179"/>
  <c r="F179"/>
  <c r="B179"/>
  <c r="K178"/>
  <c r="G178"/>
  <c r="C178"/>
  <c r="L177"/>
  <c r="H177"/>
  <c r="D177"/>
  <c r="M176"/>
  <c r="I176"/>
  <c r="E176"/>
  <c r="A176"/>
  <c r="J175"/>
  <c r="F175"/>
  <c r="B175"/>
  <c r="K174"/>
  <c r="G174"/>
  <c r="C174"/>
  <c r="L173"/>
  <c r="H173"/>
  <c r="D173"/>
  <c r="M172"/>
  <c r="I172"/>
  <c r="E172"/>
  <c r="A172"/>
  <c r="J171"/>
  <c r="F171"/>
  <c r="B171"/>
  <c r="K170"/>
  <c r="G170"/>
  <c r="C170"/>
  <c r="L169"/>
  <c r="H169"/>
  <c r="D169"/>
  <c r="M168"/>
  <c r="I168"/>
  <c r="E168"/>
  <c r="A168"/>
  <c r="J167"/>
  <c r="F167"/>
  <c r="B167"/>
  <c r="K166"/>
  <c r="G166"/>
  <c r="C166"/>
  <c r="L165"/>
  <c r="H165"/>
  <c r="D165"/>
  <c r="M164"/>
  <c r="I164"/>
  <c r="E164"/>
  <c r="A164"/>
  <c r="J163"/>
  <c r="F163"/>
  <c r="B163"/>
  <c r="K162"/>
  <c r="G162"/>
  <c r="C162"/>
  <c r="L161"/>
  <c r="H161"/>
  <c r="D161"/>
  <c r="M160"/>
  <c r="I160"/>
  <c r="E160"/>
  <c r="A160"/>
  <c r="J159"/>
  <c r="F159"/>
  <c r="B159"/>
  <c r="K158"/>
  <c r="G158"/>
  <c r="C158"/>
  <c r="L157"/>
  <c r="H157"/>
  <c r="D157"/>
  <c r="M156"/>
  <c r="I156"/>
  <c r="E156"/>
  <c r="A156"/>
  <c r="J155"/>
  <c r="F155"/>
  <c r="B155"/>
  <c r="K154"/>
  <c r="G154"/>
  <c r="C154"/>
  <c r="L153"/>
  <c r="H153"/>
  <c r="D153"/>
  <c r="M152"/>
  <c r="I152"/>
  <c r="E152"/>
  <c r="A152"/>
  <c r="J151"/>
  <c r="F151"/>
  <c r="B151"/>
  <c r="K150"/>
  <c r="G150"/>
  <c r="C150"/>
  <c r="L149"/>
  <c r="H149"/>
  <c r="D149"/>
  <c r="M148"/>
  <c r="I148"/>
  <c r="E148"/>
  <c r="A148"/>
  <c r="J147"/>
  <c r="F147"/>
  <c r="B147"/>
  <c r="K146"/>
  <c r="G146"/>
  <c r="C146"/>
  <c r="L145"/>
  <c r="H145"/>
  <c r="D145"/>
  <c r="M144"/>
  <c r="I144"/>
  <c r="E144"/>
  <c r="A144"/>
  <c r="J143"/>
  <c r="F143"/>
  <c r="B143"/>
  <c r="K142"/>
  <c r="G142"/>
  <c r="C142"/>
  <c r="L141"/>
  <c r="H141"/>
  <c r="D141"/>
  <c r="M140"/>
  <c r="I140"/>
  <c r="E140"/>
  <c r="A140"/>
  <c r="J139"/>
  <c r="F139"/>
  <c r="B139"/>
  <c r="K138"/>
  <c r="G138"/>
  <c r="C138"/>
  <c r="L137"/>
  <c r="H137"/>
  <c r="D137"/>
  <c r="M136"/>
  <c r="I136"/>
  <c r="E136"/>
  <c r="A136"/>
  <c r="J135"/>
  <c r="F135"/>
  <c r="B135"/>
  <c r="K134"/>
  <c r="G134"/>
  <c r="C134"/>
  <c r="L133"/>
  <c r="H133"/>
  <c r="D133"/>
  <c r="M132"/>
  <c r="I132"/>
  <c r="E132"/>
  <c r="A132"/>
  <c r="J131"/>
  <c r="F131"/>
  <c r="B131"/>
  <c r="K130"/>
  <c r="G130"/>
  <c r="C130"/>
  <c r="L129"/>
  <c r="H129"/>
  <c r="D129"/>
  <c r="M128"/>
  <c r="I128"/>
  <c r="E128"/>
  <c r="A128"/>
  <c r="J127"/>
  <c r="F127"/>
  <c r="B127"/>
  <c r="K126"/>
  <c r="G126"/>
  <c r="C126"/>
  <c r="L125"/>
  <c r="H125"/>
  <c r="D125"/>
  <c r="M124"/>
  <c r="I124"/>
  <c r="E124"/>
  <c r="A124"/>
  <c r="J123"/>
  <c r="F123"/>
  <c r="B123"/>
  <c r="K122"/>
  <c r="G122"/>
  <c r="C122"/>
  <c r="L121"/>
  <c r="H121"/>
  <c r="D121"/>
  <c r="M120"/>
  <c r="I120"/>
  <c r="E120"/>
  <c r="A120"/>
  <c r="J119"/>
  <c r="F119"/>
  <c r="B119"/>
  <c r="K118"/>
  <c r="G118"/>
  <c r="C118"/>
  <c r="L117"/>
  <c r="H117"/>
  <c r="D117"/>
  <c r="M116"/>
  <c r="I116"/>
  <c r="E116"/>
  <c r="A116"/>
  <c r="J115"/>
  <c r="F115"/>
  <c r="B115"/>
  <c r="K114"/>
  <c r="G114"/>
  <c r="C114"/>
  <c r="L113"/>
  <c r="H113"/>
  <c r="D113"/>
  <c r="M112"/>
  <c r="I112"/>
  <c r="E112"/>
  <c r="A112"/>
  <c r="J111"/>
  <c r="F111"/>
  <c r="B111"/>
  <c r="K110"/>
  <c r="G110"/>
  <c r="C110"/>
  <c r="L109"/>
  <c r="H109"/>
  <c r="D109"/>
  <c r="M108"/>
  <c r="I108"/>
  <c r="E108"/>
  <c r="A108"/>
  <c r="J107"/>
  <c r="F107"/>
  <c r="B107"/>
  <c r="K106"/>
  <c r="G106"/>
  <c r="C106"/>
  <c r="L105"/>
  <c r="H105"/>
  <c r="D105"/>
  <c r="M104"/>
  <c r="I104"/>
  <c r="E104"/>
  <c r="A104"/>
  <c r="J103"/>
  <c r="F103"/>
  <c r="B103"/>
  <c r="K102"/>
  <c r="G102"/>
  <c r="C102"/>
  <c r="L101"/>
  <c r="H101"/>
  <c r="D101"/>
  <c r="M100"/>
  <c r="I100"/>
  <c r="E100"/>
  <c r="A100"/>
  <c r="J99"/>
  <c r="F99"/>
  <c r="B99"/>
  <c r="K98"/>
  <c r="G98"/>
  <c r="C98"/>
  <c r="L97"/>
  <c r="H97"/>
  <c r="D97"/>
  <c r="M96"/>
  <c r="I96"/>
  <c r="E96"/>
  <c r="A96"/>
  <c r="J95"/>
  <c r="F95"/>
  <c r="B95"/>
  <c r="K94"/>
  <c r="G94"/>
  <c r="C94"/>
  <c r="L93"/>
  <c r="H93"/>
  <c r="D93"/>
  <c r="M92"/>
  <c r="I92"/>
  <c r="E92"/>
  <c r="A92"/>
  <c r="J91"/>
  <c r="F91"/>
  <c r="B91"/>
  <c r="K90"/>
  <c r="G90"/>
  <c r="C90"/>
  <c r="L89"/>
  <c r="H89"/>
  <c r="D89"/>
  <c r="M88"/>
  <c r="I88"/>
  <c r="E88"/>
  <c r="A88"/>
  <c r="J87"/>
  <c r="F87"/>
  <c r="B87"/>
  <c r="K86"/>
  <c r="G86"/>
  <c r="C86"/>
  <c r="L85"/>
  <c r="H85"/>
  <c r="D85"/>
  <c r="M84"/>
  <c r="I84"/>
  <c r="E84"/>
  <c r="A84"/>
  <c r="J83"/>
  <c r="F83"/>
  <c r="B83"/>
  <c r="K82"/>
  <c r="G82"/>
  <c r="C82"/>
  <c r="L81"/>
  <c r="H81"/>
  <c r="D81"/>
  <c r="M80"/>
  <c r="I80"/>
  <c r="E80"/>
  <c r="A80"/>
  <c r="J79"/>
  <c r="F79"/>
  <c r="B79"/>
  <c r="K78"/>
  <c r="G78"/>
  <c r="C78"/>
  <c r="L77"/>
  <c r="H77"/>
  <c r="D77"/>
  <c r="M76"/>
  <c r="I76"/>
  <c r="E76"/>
  <c r="A76"/>
  <c r="J75"/>
  <c r="F75"/>
  <c r="B75"/>
  <c r="K74"/>
  <c r="G74"/>
  <c r="C74"/>
  <c r="L73"/>
  <c r="H73"/>
  <c r="D73"/>
  <c r="M72"/>
  <c r="I72"/>
  <c r="E72"/>
  <c r="A72"/>
  <c r="J71"/>
  <c r="F71"/>
  <c r="B71"/>
  <c r="K70"/>
  <c r="G70"/>
  <c r="C70"/>
  <c r="L69"/>
  <c r="H69"/>
  <c r="D69"/>
  <c r="M68"/>
  <c r="I68"/>
  <c r="E68"/>
  <c r="A68"/>
  <c r="J67"/>
  <c r="F67"/>
  <c r="B67"/>
  <c r="K66"/>
  <c r="G66"/>
  <c r="C66"/>
  <c r="L65"/>
  <c r="H65"/>
  <c r="D65"/>
  <c r="M64"/>
  <c r="I64"/>
  <c r="E64"/>
  <c r="A64"/>
  <c r="J63"/>
  <c r="F63"/>
  <c r="B63"/>
  <c r="K62"/>
  <c r="G62"/>
  <c r="C62"/>
  <c r="L61"/>
  <c r="H61"/>
  <c r="D61"/>
  <c r="M60"/>
  <c r="I60"/>
  <c r="E60"/>
  <c r="A60"/>
  <c r="J59"/>
  <c r="F59"/>
  <c r="B59"/>
  <c r="K58"/>
  <c r="G58"/>
  <c r="C58"/>
  <c r="L57"/>
  <c r="H57"/>
  <c r="D57"/>
  <c r="M56"/>
  <c r="I56"/>
  <c r="E56"/>
  <c r="A56"/>
  <c r="J55"/>
  <c r="F55"/>
  <c r="B55"/>
  <c r="K54"/>
  <c r="G54"/>
  <c r="C54"/>
  <c r="L53"/>
  <c r="H53"/>
  <c r="D53"/>
  <c r="M52"/>
  <c r="I52"/>
  <c r="E52"/>
  <c r="A52"/>
  <c r="J51"/>
  <c r="F51"/>
  <c r="B51"/>
  <c r="K50"/>
  <c r="G50"/>
  <c r="C50"/>
  <c r="L49"/>
  <c r="H49"/>
  <c r="D49"/>
  <c r="M48"/>
  <c r="I48"/>
  <c r="E48"/>
  <c r="A48"/>
  <c r="J47"/>
  <c r="F47"/>
  <c r="B47"/>
  <c r="K46"/>
  <c r="G46"/>
  <c r="C46"/>
  <c r="L45"/>
  <c r="H45"/>
  <c r="D45"/>
  <c r="M44"/>
  <c r="I44"/>
  <c r="E44"/>
  <c r="A44"/>
  <c r="J43"/>
  <c r="F43"/>
  <c r="B43"/>
  <c r="K42"/>
  <c r="G42"/>
  <c r="C42"/>
  <c r="L41"/>
  <c r="H41"/>
  <c r="D41"/>
  <c r="M40"/>
  <c r="I40"/>
  <c r="E40"/>
  <c r="A40"/>
  <c r="J39"/>
  <c r="F39"/>
  <c r="B39"/>
  <c r="K38"/>
  <c r="G38"/>
  <c r="C38"/>
  <c r="L37"/>
  <c r="H37"/>
  <c r="D37"/>
  <c r="M36"/>
  <c r="I36"/>
  <c r="E36"/>
  <c r="A36"/>
  <c r="J35"/>
  <c r="F35"/>
  <c r="B35"/>
  <c r="K34"/>
  <c r="G34"/>
  <c r="C34"/>
  <c r="L33"/>
  <c r="H33"/>
  <c r="D33"/>
  <c r="M32"/>
  <c r="I32"/>
  <c r="E32"/>
  <c r="A32"/>
  <c r="J31"/>
  <c r="F31"/>
  <c r="B31"/>
  <c r="K30"/>
  <c r="G30"/>
  <c r="C30"/>
  <c r="L29"/>
  <c r="H29"/>
  <c r="D29"/>
  <c r="M28"/>
  <c r="I28"/>
  <c r="E28"/>
  <c r="A28"/>
  <c r="J27"/>
  <c r="F27"/>
  <c r="B27"/>
  <c r="K26"/>
  <c r="G26"/>
  <c r="H347"/>
  <c r="M346"/>
  <c r="E346"/>
  <c r="J345"/>
  <c r="B345"/>
  <c r="G344"/>
  <c r="L343"/>
  <c r="D343"/>
  <c r="I342"/>
  <c r="A342"/>
  <c r="F341"/>
  <c r="K340"/>
  <c r="C340"/>
  <c r="H339"/>
  <c r="M338"/>
  <c r="E338"/>
  <c r="J337"/>
  <c r="B337"/>
  <c r="G336"/>
  <c r="L335"/>
  <c r="D335"/>
  <c r="I334"/>
  <c r="A334"/>
  <c r="F333"/>
  <c r="K332"/>
  <c r="C332"/>
  <c r="H331"/>
  <c r="M330"/>
  <c r="E330"/>
  <c r="J329"/>
  <c r="B329"/>
  <c r="G328"/>
  <c r="L327"/>
  <c r="D327"/>
  <c r="I326"/>
  <c r="D326"/>
  <c r="M325"/>
  <c r="I325"/>
  <c r="E325"/>
  <c r="A325"/>
  <c r="J324"/>
  <c r="F324"/>
  <c r="B324"/>
  <c r="K323"/>
  <c r="G323"/>
  <c r="C323"/>
  <c r="L322"/>
  <c r="H322"/>
  <c r="D322"/>
  <c r="M321"/>
  <c r="I321"/>
  <c r="E321"/>
  <c r="A321"/>
  <c r="J320"/>
  <c r="F320"/>
  <c r="B320"/>
  <c r="K319"/>
  <c r="G319"/>
  <c r="C319"/>
  <c r="L318"/>
  <c r="H318"/>
  <c r="D318"/>
  <c r="M317"/>
  <c r="I317"/>
  <c r="E317"/>
  <c r="A317"/>
  <c r="J316"/>
  <c r="F316"/>
  <c r="B316"/>
  <c r="K315"/>
  <c r="G315"/>
  <c r="C315"/>
  <c r="L314"/>
  <c r="H314"/>
  <c r="D314"/>
  <c r="M313"/>
  <c r="I313"/>
  <c r="E313"/>
  <c r="A313"/>
  <c r="J312"/>
  <c r="F312"/>
  <c r="B312"/>
  <c r="K311"/>
  <c r="G311"/>
  <c r="C311"/>
  <c r="L310"/>
  <c r="H310"/>
  <c r="D310"/>
  <c r="M309"/>
  <c r="I309"/>
  <c r="E309"/>
  <c r="A309"/>
  <c r="J308"/>
  <c r="F308"/>
  <c r="B308"/>
  <c r="K307"/>
  <c r="G307"/>
  <c r="C307"/>
  <c r="L306"/>
  <c r="H306"/>
  <c r="D306"/>
  <c r="M305"/>
  <c r="I305"/>
  <c r="E305"/>
  <c r="A305"/>
  <c r="J304"/>
  <c r="F304"/>
  <c r="B304"/>
  <c r="K303"/>
  <c r="G303"/>
  <c r="C303"/>
  <c r="L302"/>
  <c r="H302"/>
  <c r="D302"/>
  <c r="M301"/>
  <c r="I301"/>
  <c r="E301"/>
  <c r="A301"/>
  <c r="J300"/>
  <c r="F300"/>
  <c r="B300"/>
  <c r="K299"/>
  <c r="G299"/>
  <c r="C299"/>
  <c r="L298"/>
  <c r="H298"/>
  <c r="D298"/>
  <c r="M297"/>
  <c r="I297"/>
  <c r="E297"/>
  <c r="A297"/>
  <c r="J296"/>
  <c r="F296"/>
  <c r="B296"/>
  <c r="K295"/>
  <c r="G295"/>
  <c r="C295"/>
  <c r="L294"/>
  <c r="H294"/>
  <c r="D294"/>
  <c r="M293"/>
  <c r="I293"/>
  <c r="E293"/>
  <c r="A293"/>
  <c r="J292"/>
  <c r="F292"/>
  <c r="B292"/>
  <c r="K291"/>
  <c r="G291"/>
  <c r="C291"/>
  <c r="L290"/>
  <c r="H290"/>
  <c r="D290"/>
  <c r="M289"/>
  <c r="I289"/>
  <c r="E289"/>
  <c r="A289"/>
  <c r="J288"/>
  <c r="F288"/>
  <c r="B288"/>
  <c r="K287"/>
  <c r="G287"/>
  <c r="C287"/>
  <c r="L286"/>
  <c r="H286"/>
  <c r="D286"/>
  <c r="M285"/>
  <c r="I285"/>
  <c r="E285"/>
  <c r="A285"/>
  <c r="J284"/>
  <c r="F284"/>
  <c r="B284"/>
  <c r="K283"/>
  <c r="G283"/>
  <c r="C283"/>
  <c r="L282"/>
  <c r="H282"/>
  <c r="D282"/>
  <c r="M281"/>
  <c r="I281"/>
  <c r="E281"/>
  <c r="A281"/>
  <c r="J280"/>
  <c r="F280"/>
  <c r="B280"/>
  <c r="K279"/>
  <c r="G279"/>
  <c r="C279"/>
  <c r="L278"/>
  <c r="H278"/>
  <c r="D278"/>
  <c r="M277"/>
  <c r="I277"/>
  <c r="E277"/>
  <c r="A277"/>
  <c r="J276"/>
  <c r="F276"/>
  <c r="B276"/>
  <c r="K275"/>
  <c r="G275"/>
  <c r="C275"/>
  <c r="L274"/>
  <c r="H274"/>
  <c r="D274"/>
  <c r="M273"/>
  <c r="I273"/>
  <c r="E273"/>
  <c r="A273"/>
  <c r="J272"/>
  <c r="F272"/>
  <c r="B272"/>
  <c r="K271"/>
  <c r="G271"/>
  <c r="C271"/>
  <c r="L270"/>
  <c r="H270"/>
  <c r="D270"/>
  <c r="M269"/>
  <c r="I269"/>
  <c r="E269"/>
  <c r="A269"/>
  <c r="J268"/>
  <c r="F268"/>
  <c r="B268"/>
  <c r="K267"/>
  <c r="G267"/>
  <c r="C267"/>
  <c r="L266"/>
  <c r="H266"/>
  <c r="D266"/>
  <c r="M265"/>
  <c r="I265"/>
  <c r="E265"/>
  <c r="A265"/>
  <c r="J264"/>
  <c r="F264"/>
  <c r="B264"/>
  <c r="K263"/>
  <c r="G263"/>
  <c r="C263"/>
  <c r="L262"/>
  <c r="H262"/>
  <c r="D262"/>
  <c r="M261"/>
  <c r="I261"/>
  <c r="E261"/>
  <c r="A261"/>
  <c r="J260"/>
  <c r="F260"/>
  <c r="B260"/>
  <c r="K259"/>
  <c r="G259"/>
  <c r="C259"/>
  <c r="L258"/>
  <c r="H258"/>
  <c r="D258"/>
  <c r="M257"/>
  <c r="I257"/>
  <c r="E257"/>
  <c r="A257"/>
  <c r="J256"/>
  <c r="F256"/>
  <c r="B256"/>
  <c r="K255"/>
  <c r="G255"/>
  <c r="C255"/>
  <c r="L254"/>
  <c r="H254"/>
  <c r="D254"/>
  <c r="M253"/>
  <c r="I253"/>
  <c r="E253"/>
  <c r="A253"/>
  <c r="J252"/>
  <c r="F252"/>
  <c r="B252"/>
  <c r="K251"/>
  <c r="G251"/>
  <c r="C251"/>
  <c r="L250"/>
  <c r="H250"/>
  <c r="D250"/>
  <c r="M249"/>
  <c r="I249"/>
  <c r="E249"/>
  <c r="A249"/>
  <c r="J248"/>
  <c r="F248"/>
  <c r="B248"/>
  <c r="K247"/>
  <c r="G247"/>
  <c r="C247"/>
  <c r="L246"/>
  <c r="H246"/>
  <c r="D246"/>
  <c r="M245"/>
  <c r="I245"/>
  <c r="E245"/>
  <c r="A245"/>
  <c r="J244"/>
  <c r="F244"/>
  <c r="B244"/>
  <c r="K243"/>
  <c r="G243"/>
  <c r="C243"/>
  <c r="L242"/>
  <c r="H242"/>
  <c r="D242"/>
  <c r="M241"/>
  <c r="I241"/>
  <c r="E241"/>
  <c r="A241"/>
  <c r="J240"/>
  <c r="F240"/>
  <c r="B240"/>
  <c r="K239"/>
  <c r="G239"/>
  <c r="C239"/>
  <c r="L238"/>
  <c r="H238"/>
  <c r="D238"/>
  <c r="M237"/>
  <c r="I237"/>
  <c r="E237"/>
  <c r="A237"/>
  <c r="J236"/>
  <c r="F236"/>
  <c r="B236"/>
  <c r="K235"/>
  <c r="G235"/>
  <c r="C235"/>
  <c r="L234"/>
  <c r="H234"/>
  <c r="D234"/>
  <c r="M233"/>
  <c r="I233"/>
  <c r="E233"/>
  <c r="A233"/>
  <c r="J232"/>
  <c r="F232"/>
  <c r="B232"/>
  <c r="K231"/>
  <c r="G231"/>
  <c r="C231"/>
  <c r="L230"/>
  <c r="H230"/>
  <c r="D230"/>
  <c r="M229"/>
  <c r="I229"/>
  <c r="E229"/>
  <c r="A229"/>
  <c r="J228"/>
  <c r="F228"/>
  <c r="B228"/>
  <c r="K227"/>
  <c r="G227"/>
  <c r="C227"/>
  <c r="L226"/>
  <c r="H226"/>
  <c r="D226"/>
  <c r="M225"/>
  <c r="I225"/>
  <c r="E225"/>
  <c r="A225"/>
  <c r="J224"/>
  <c r="F224"/>
  <c r="B224"/>
  <c r="K223"/>
  <c r="G223"/>
  <c r="C223"/>
  <c r="L222"/>
  <c r="H222"/>
  <c r="D222"/>
  <c r="M221"/>
  <c r="I221"/>
  <c r="E221"/>
  <c r="A221"/>
  <c r="J220"/>
  <c r="F220"/>
  <c r="B220"/>
  <c r="K219"/>
  <c r="G219"/>
  <c r="C219"/>
  <c r="L218"/>
  <c r="H218"/>
  <c r="D218"/>
  <c r="M217"/>
  <c r="I217"/>
  <c r="E217"/>
  <c r="A217"/>
  <c r="J216"/>
  <c r="F216"/>
  <c r="B216"/>
  <c r="K215"/>
  <c r="G215"/>
  <c r="C215"/>
  <c r="L214"/>
  <c r="H214"/>
  <c r="D214"/>
  <c r="M213"/>
  <c r="I213"/>
  <c r="E213"/>
  <c r="A213"/>
  <c r="J212"/>
  <c r="F212"/>
  <c r="B212"/>
  <c r="K211"/>
  <c r="G211"/>
  <c r="C211"/>
  <c r="L210"/>
  <c r="H210"/>
  <c r="D210"/>
  <c r="M209"/>
  <c r="I209"/>
  <c r="E209"/>
  <c r="A209"/>
  <c r="J208"/>
  <c r="F208"/>
  <c r="B208"/>
  <c r="K207"/>
  <c r="G207"/>
  <c r="C207"/>
  <c r="L206"/>
  <c r="H206"/>
  <c r="D206"/>
  <c r="M205"/>
  <c r="I205"/>
  <c r="E205"/>
  <c r="A205"/>
  <c r="J204"/>
  <c r="F204"/>
  <c r="B204"/>
  <c r="K203"/>
  <c r="G203"/>
  <c r="C203"/>
  <c r="L202"/>
  <c r="H202"/>
  <c r="D202"/>
  <c r="M201"/>
  <c r="I201"/>
  <c r="E201"/>
  <c r="A201"/>
  <c r="J200"/>
  <c r="F200"/>
  <c r="B200"/>
  <c r="K199"/>
  <c r="G199"/>
  <c r="C199"/>
  <c r="L198"/>
  <c r="H198"/>
  <c r="D198"/>
  <c r="M197"/>
  <c r="I197"/>
  <c r="E197"/>
  <c r="A197"/>
  <c r="J196"/>
  <c r="F196"/>
  <c r="B196"/>
  <c r="K195"/>
  <c r="G195"/>
  <c r="C195"/>
  <c r="L194"/>
  <c r="H194"/>
  <c r="D194"/>
  <c r="M193"/>
  <c r="I193"/>
  <c r="E193"/>
  <c r="A193"/>
  <c r="J192"/>
  <c r="F192"/>
  <c r="B192"/>
  <c r="K191"/>
  <c r="G191"/>
  <c r="C191"/>
  <c r="L190"/>
  <c r="H190"/>
  <c r="D190"/>
  <c r="M189"/>
  <c r="I189"/>
  <c r="E189"/>
  <c r="A189"/>
  <c r="J188"/>
  <c r="F188"/>
  <c r="B188"/>
  <c r="K187"/>
  <c r="G187"/>
  <c r="C187"/>
  <c r="L186"/>
  <c r="H186"/>
  <c r="D186"/>
  <c r="M185"/>
  <c r="I185"/>
  <c r="E185"/>
  <c r="A185"/>
  <c r="J184"/>
  <c r="F184"/>
  <c r="B184"/>
  <c r="K183"/>
  <c r="G183"/>
  <c r="C183"/>
  <c r="L182"/>
  <c r="H182"/>
  <c r="D182"/>
  <c r="M181"/>
  <c r="I181"/>
  <c r="E181"/>
  <c r="A181"/>
  <c r="J180"/>
  <c r="F180"/>
  <c r="B180"/>
  <c r="K179"/>
  <c r="G179"/>
  <c r="C179"/>
  <c r="L178"/>
  <c r="H178"/>
  <c r="D178"/>
  <c r="M177"/>
  <c r="I177"/>
  <c r="E177"/>
  <c r="A177"/>
  <c r="J176"/>
  <c r="F176"/>
  <c r="B176"/>
  <c r="K175"/>
  <c r="G175"/>
  <c r="C175"/>
  <c r="L174"/>
  <c r="H174"/>
  <c r="D174"/>
  <c r="M173"/>
  <c r="I173"/>
  <c r="E173"/>
  <c r="A173"/>
  <c r="J172"/>
  <c r="F172"/>
  <c r="B172"/>
  <c r="K171"/>
  <c r="G171"/>
  <c r="C171"/>
  <c r="L170"/>
  <c r="H170"/>
  <c r="D170"/>
  <c r="M169"/>
  <c r="I169"/>
  <c r="E169"/>
  <c r="A169"/>
  <c r="J168"/>
  <c r="F168"/>
  <c r="B168"/>
  <c r="K167"/>
  <c r="G167"/>
  <c r="C167"/>
  <c r="L166"/>
  <c r="H166"/>
  <c r="D166"/>
  <c r="M165"/>
  <c r="I165"/>
  <c r="E165"/>
  <c r="A165"/>
  <c r="J164"/>
  <c r="F164"/>
  <c r="B164"/>
  <c r="K163"/>
  <c r="G163"/>
  <c r="C163"/>
  <c r="L162"/>
  <c r="H162"/>
  <c r="D162"/>
  <c r="M161"/>
  <c r="I161"/>
  <c r="E161"/>
  <c r="A161"/>
  <c r="J160"/>
  <c r="F160"/>
  <c r="B160"/>
  <c r="K159"/>
  <c r="G159"/>
  <c r="C159"/>
  <c r="L158"/>
  <c r="H158"/>
  <c r="D158"/>
  <c r="M157"/>
  <c r="I157"/>
  <c r="E157"/>
  <c r="A157"/>
  <c r="J156"/>
  <c r="F156"/>
  <c r="B156"/>
  <c r="K155"/>
  <c r="G155"/>
  <c r="C155"/>
  <c r="L154"/>
  <c r="H154"/>
  <c r="D154"/>
  <c r="M153"/>
  <c r="I153"/>
  <c r="E153"/>
  <c r="A153"/>
  <c r="J152"/>
  <c r="F152"/>
  <c r="B152"/>
  <c r="K151"/>
  <c r="G151"/>
  <c r="C151"/>
  <c r="L150"/>
  <c r="H150"/>
  <c r="D150"/>
  <c r="M149"/>
  <c r="I149"/>
  <c r="E149"/>
  <c r="A149"/>
  <c r="J148"/>
  <c r="F148"/>
  <c r="B148"/>
  <c r="K147"/>
  <c r="G147"/>
  <c r="C147"/>
  <c r="L146"/>
  <c r="H146"/>
  <c r="D146"/>
  <c r="M145"/>
  <c r="I145"/>
  <c r="E145"/>
  <c r="A145"/>
  <c r="J144"/>
  <c r="F144"/>
  <c r="B144"/>
  <c r="K143"/>
  <c r="G143"/>
  <c r="C143"/>
  <c r="L142"/>
  <c r="H142"/>
  <c r="D142"/>
  <c r="M141"/>
  <c r="I141"/>
  <c r="E141"/>
  <c r="A141"/>
  <c r="J140"/>
  <c r="F140"/>
  <c r="B140"/>
  <c r="K139"/>
  <c r="G139"/>
  <c r="C139"/>
  <c r="L138"/>
  <c r="H138"/>
  <c r="D138"/>
  <c r="M137"/>
  <c r="I137"/>
  <c r="E137"/>
  <c r="A137"/>
  <c r="J136"/>
  <c r="F136"/>
  <c r="B136"/>
  <c r="K135"/>
  <c r="G135"/>
  <c r="C135"/>
  <c r="L134"/>
  <c r="H134"/>
  <c r="D134"/>
  <c r="M133"/>
  <c r="I133"/>
  <c r="E133"/>
  <c r="A133"/>
  <c r="J132"/>
  <c r="F132"/>
  <c r="B132"/>
  <c r="K131"/>
  <c r="G131"/>
  <c r="C131"/>
  <c r="L130"/>
  <c r="H130"/>
  <c r="D130"/>
  <c r="M129"/>
  <c r="I129"/>
  <c r="E129"/>
  <c r="A129"/>
  <c r="J128"/>
  <c r="F128"/>
  <c r="B128"/>
  <c r="K127"/>
  <c r="G127"/>
  <c r="C127"/>
  <c r="L126"/>
  <c r="H126"/>
  <c r="D126"/>
  <c r="M125"/>
  <c r="I125"/>
  <c r="E125"/>
  <c r="A125"/>
  <c r="J124"/>
  <c r="F124"/>
  <c r="B124"/>
  <c r="K123"/>
  <c r="G123"/>
  <c r="C123"/>
  <c r="L122"/>
  <c r="H122"/>
  <c r="D122"/>
  <c r="M121"/>
  <c r="I121"/>
  <c r="E121"/>
  <c r="A121"/>
  <c r="J120"/>
  <c r="F120"/>
  <c r="B120"/>
  <c r="K119"/>
  <c r="G119"/>
  <c r="C119"/>
  <c r="L118"/>
  <c r="H118"/>
  <c r="D118"/>
  <c r="M117"/>
  <c r="I117"/>
  <c r="E117"/>
  <c r="A117"/>
  <c r="J116"/>
  <c r="F116"/>
  <c r="B116"/>
  <c r="K115"/>
  <c r="G115"/>
  <c r="C115"/>
  <c r="L114"/>
  <c r="H114"/>
  <c r="D114"/>
  <c r="M113"/>
  <c r="I113"/>
  <c r="E113"/>
  <c r="A113"/>
  <c r="J112"/>
  <c r="F112"/>
  <c r="B112"/>
  <c r="K111"/>
  <c r="G111"/>
  <c r="C111"/>
  <c r="L110"/>
  <c r="H110"/>
  <c r="D110"/>
  <c r="M109"/>
  <c r="I109"/>
  <c r="E109"/>
  <c r="A109"/>
  <c r="J108"/>
  <c r="F108"/>
  <c r="B108"/>
  <c r="K107"/>
  <c r="G107"/>
  <c r="C107"/>
  <c r="L106"/>
  <c r="H106"/>
  <c r="D106"/>
  <c r="M105"/>
  <c r="I105"/>
  <c r="E105"/>
  <c r="A105"/>
  <c r="J104"/>
  <c r="F104"/>
  <c r="B104"/>
  <c r="K103"/>
  <c r="G103"/>
  <c r="C103"/>
  <c r="L102"/>
  <c r="H102"/>
  <c r="D102"/>
  <c r="M101"/>
  <c r="I101"/>
  <c r="E101"/>
  <c r="A101"/>
  <c r="J100"/>
  <c r="F100"/>
  <c r="B100"/>
  <c r="K99"/>
  <c r="G99"/>
  <c r="C99"/>
  <c r="L98"/>
  <c r="H98"/>
  <c r="D98"/>
  <c r="M97"/>
  <c r="I97"/>
  <c r="E97"/>
  <c r="A97"/>
  <c r="J96"/>
  <c r="F96"/>
  <c r="B96"/>
  <c r="K95"/>
  <c r="G95"/>
  <c r="C95"/>
  <c r="L94"/>
  <c r="H94"/>
  <c r="D94"/>
  <c r="M93"/>
  <c r="I93"/>
  <c r="E93"/>
  <c r="A93"/>
  <c r="J92"/>
  <c r="F92"/>
  <c r="B92"/>
  <c r="K91"/>
  <c r="G91"/>
  <c r="C91"/>
  <c r="L90"/>
  <c r="H90"/>
  <c r="D90"/>
  <c r="M89"/>
  <c r="I89"/>
  <c r="E89"/>
  <c r="A89"/>
  <c r="J88"/>
  <c r="F88"/>
  <c r="B88"/>
  <c r="K87"/>
  <c r="G87"/>
  <c r="C87"/>
  <c r="L86"/>
  <c r="H86"/>
  <c r="D86"/>
  <c r="M85"/>
  <c r="I85"/>
  <c r="E85"/>
  <c r="A85"/>
  <c r="J84"/>
  <c r="F84"/>
  <c r="B84"/>
  <c r="K83"/>
  <c r="G83"/>
  <c r="C83"/>
  <c r="L82"/>
  <c r="H82"/>
  <c r="D82"/>
  <c r="M81"/>
  <c r="I81"/>
  <c r="E81"/>
  <c r="A81"/>
  <c r="J80"/>
  <c r="F80"/>
  <c r="B80"/>
  <c r="K79"/>
  <c r="G79"/>
  <c r="C79"/>
  <c r="L78"/>
  <c r="H78"/>
  <c r="D78"/>
  <c r="M77"/>
  <c r="I77"/>
  <c r="E77"/>
  <c r="A77"/>
  <c r="J76"/>
  <c r="F76"/>
  <c r="B76"/>
  <c r="K75"/>
  <c r="G75"/>
  <c r="C75"/>
  <c r="L74"/>
  <c r="H74"/>
  <c r="D74"/>
  <c r="M73"/>
  <c r="I73"/>
  <c r="E73"/>
  <c r="A73"/>
  <c r="J72"/>
  <c r="F72"/>
  <c r="B72"/>
  <c r="K71"/>
  <c r="G71"/>
  <c r="C71"/>
  <c r="L70"/>
  <c r="H70"/>
  <c r="D70"/>
  <c r="M69"/>
  <c r="I69"/>
  <c r="E69"/>
  <c r="A69"/>
  <c r="J68"/>
  <c r="F68"/>
  <c r="B68"/>
  <c r="K67"/>
  <c r="G67"/>
  <c r="C67"/>
  <c r="L66"/>
  <c r="H66"/>
  <c r="D66"/>
  <c r="M65"/>
  <c r="I65"/>
  <c r="E65"/>
  <c r="A65"/>
  <c r="J64"/>
  <c r="F64"/>
  <c r="B64"/>
  <c r="K63"/>
  <c r="G63"/>
  <c r="C63"/>
  <c r="L62"/>
  <c r="H62"/>
  <c r="D62"/>
  <c r="M61"/>
  <c r="I61"/>
  <c r="E61"/>
  <c r="A61"/>
  <c r="J60"/>
  <c r="F60"/>
  <c r="B60"/>
  <c r="K59"/>
  <c r="G59"/>
  <c r="C59"/>
  <c r="L58"/>
  <c r="H58"/>
  <c r="D58"/>
  <c r="M57"/>
  <c r="I57"/>
  <c r="E57"/>
  <c r="A57"/>
  <c r="J56"/>
  <c r="F56"/>
  <c r="B56"/>
  <c r="K55"/>
  <c r="G55"/>
  <c r="C55"/>
  <c r="L54"/>
  <c r="H54"/>
  <c r="D54"/>
  <c r="M53"/>
  <c r="I53"/>
  <c r="E53"/>
  <c r="A53"/>
  <c r="J52"/>
  <c r="F52"/>
  <c r="B52"/>
  <c r="K51"/>
  <c r="G51"/>
  <c r="C51"/>
  <c r="L50"/>
  <c r="H50"/>
  <c r="D50"/>
  <c r="M49"/>
  <c r="I49"/>
  <c r="E49"/>
  <c r="A49"/>
  <c r="J48"/>
  <c r="F48"/>
  <c r="B48"/>
  <c r="K47"/>
  <c r="G47"/>
  <c r="C47"/>
  <c r="L46"/>
  <c r="H46"/>
  <c r="D46"/>
  <c r="M45"/>
  <c r="I45"/>
  <c r="E45"/>
  <c r="A45"/>
  <c r="J44"/>
  <c r="F44"/>
  <c r="B44"/>
  <c r="K43"/>
  <c r="G43"/>
  <c r="C43"/>
  <c r="L42"/>
  <c r="H42"/>
  <c r="D42"/>
  <c r="M41"/>
  <c r="I41"/>
  <c r="E41"/>
  <c r="A41"/>
  <c r="J40"/>
  <c r="F40"/>
  <c r="B40"/>
  <c r="K39"/>
  <c r="G39"/>
  <c r="C39"/>
  <c r="L38"/>
  <c r="H38"/>
  <c r="D38"/>
  <c r="M37"/>
  <c r="I37"/>
  <c r="E37"/>
  <c r="A37"/>
  <c r="J36"/>
  <c r="F36"/>
  <c r="B36"/>
  <c r="K35"/>
  <c r="G35"/>
  <c r="C35"/>
  <c r="L34"/>
  <c r="H34"/>
  <c r="D34"/>
  <c r="M33"/>
  <c r="I33"/>
  <c r="E33"/>
  <c r="A33"/>
  <c r="J32"/>
  <c r="F32"/>
  <c r="B32"/>
  <c r="K31"/>
  <c r="G31"/>
  <c r="C31"/>
  <c r="L30"/>
  <c r="H30"/>
  <c r="D30"/>
  <c r="M29"/>
  <c r="I29"/>
  <c r="E29"/>
  <c r="A29"/>
  <c r="J28"/>
  <c r="F28"/>
  <c r="B28"/>
  <c r="K27"/>
  <c r="G27"/>
  <c r="C27"/>
  <c r="L26"/>
  <c r="H26"/>
  <c r="D26"/>
  <c r="M25"/>
  <c r="I25"/>
  <c r="E25"/>
  <c r="A25"/>
  <c r="J24"/>
  <c r="F24"/>
  <c r="B24"/>
  <c r="K23"/>
  <c r="G23"/>
  <c r="C23"/>
  <c r="L22"/>
  <c r="H22"/>
  <c r="D22"/>
  <c r="L25"/>
  <c r="D25"/>
  <c r="I24"/>
  <c r="A24"/>
  <c r="F23"/>
  <c r="K22"/>
  <c r="C22"/>
  <c r="K21"/>
  <c r="G21"/>
  <c r="C21"/>
  <c r="L20"/>
  <c r="H20"/>
  <c r="D20"/>
  <c r="M19"/>
  <c r="I19"/>
  <c r="E19"/>
  <c r="A19"/>
  <c r="J18"/>
  <c r="F18"/>
  <c r="B18"/>
  <c r="K17"/>
  <c r="G17"/>
  <c r="C17"/>
  <c r="L16"/>
  <c r="H16"/>
  <c r="D16"/>
  <c r="M15"/>
  <c r="I15"/>
  <c r="E15"/>
  <c r="A15"/>
  <c r="J14"/>
  <c r="F14"/>
  <c r="B14"/>
  <c r="K13"/>
  <c r="G13"/>
  <c r="C13"/>
  <c r="L12"/>
  <c r="H12"/>
  <c r="D12"/>
  <c r="M11"/>
  <c r="I11"/>
  <c r="E11"/>
  <c r="A11"/>
  <c r="J10"/>
  <c r="F10"/>
  <c r="B10"/>
  <c r="K9"/>
  <c r="G9"/>
  <c r="C9"/>
  <c r="L8"/>
  <c r="H8"/>
  <c r="D8"/>
  <c r="M7"/>
  <c r="I7"/>
  <c r="E7"/>
  <c r="A7"/>
  <c r="J6"/>
  <c r="F6"/>
  <c r="B6"/>
  <c r="K5"/>
  <c r="G5"/>
  <c r="C5"/>
  <c r="L4"/>
  <c r="H4"/>
  <c r="D4"/>
  <c r="M3"/>
  <c r="I3"/>
  <c r="E3"/>
  <c r="A3"/>
  <c r="J2"/>
  <c r="F2"/>
  <c r="B2"/>
  <c r="K1"/>
  <c r="G1"/>
  <c r="C1"/>
  <c r="L1304" i="2"/>
  <c r="H1304"/>
  <c r="D1304"/>
  <c r="M1303"/>
  <c r="I1303"/>
  <c r="E1303"/>
  <c r="A1303"/>
  <c r="J1302"/>
  <c r="F1302"/>
  <c r="B1302"/>
  <c r="K1301"/>
  <c r="G1301"/>
  <c r="C1301"/>
  <c r="L1300"/>
  <c r="H1300"/>
  <c r="D1300"/>
  <c r="M1299"/>
  <c r="I1299"/>
  <c r="E1299"/>
  <c r="A1299"/>
  <c r="J1298"/>
  <c r="F1298"/>
  <c r="B1298"/>
  <c r="K1297"/>
  <c r="G1297"/>
  <c r="C1297"/>
  <c r="L1296"/>
  <c r="H1296"/>
  <c r="D1296"/>
  <c r="M1295"/>
  <c r="I1295"/>
  <c r="E1295"/>
  <c r="A1295"/>
  <c r="J1294"/>
  <c r="F1294"/>
  <c r="B1294"/>
  <c r="K1293"/>
  <c r="G1293"/>
  <c r="C1293"/>
  <c r="L1292"/>
  <c r="H1292"/>
  <c r="D1292"/>
  <c r="M1291"/>
  <c r="I1291"/>
  <c r="E1291"/>
  <c r="A1291"/>
  <c r="J1290"/>
  <c r="F1290"/>
  <c r="B1290"/>
  <c r="K1289"/>
  <c r="G1289"/>
  <c r="C1289"/>
  <c r="L1288"/>
  <c r="H1288"/>
  <c r="D1288"/>
  <c r="M1287"/>
  <c r="I1287"/>
  <c r="E1287"/>
  <c r="A1287"/>
  <c r="J1286"/>
  <c r="F1286"/>
  <c r="B1286"/>
  <c r="K1285"/>
  <c r="G1285"/>
  <c r="C1285"/>
  <c r="L1284"/>
  <c r="H1284"/>
  <c r="D1284"/>
  <c r="M1283"/>
  <c r="I1283"/>
  <c r="E1283"/>
  <c r="A1283"/>
  <c r="J1282"/>
  <c r="F1282"/>
  <c r="B1282"/>
  <c r="K1281"/>
  <c r="G1281"/>
  <c r="C1281"/>
  <c r="L1280"/>
  <c r="H1280"/>
  <c r="D1280"/>
  <c r="M1279"/>
  <c r="I1279"/>
  <c r="E1279"/>
  <c r="A1279"/>
  <c r="J1278"/>
  <c r="F1278"/>
  <c r="B1278"/>
  <c r="K1277"/>
  <c r="G1277"/>
  <c r="C1277"/>
  <c r="L1276"/>
  <c r="H1276"/>
  <c r="D1276"/>
  <c r="M1275"/>
  <c r="I1275"/>
  <c r="E1275"/>
  <c r="A1275"/>
  <c r="J1274"/>
  <c r="F1274"/>
  <c r="B1274"/>
  <c r="K1273"/>
  <c r="G1273"/>
  <c r="C1273"/>
  <c r="L1272"/>
  <c r="H1272"/>
  <c r="D1272"/>
  <c r="M1271"/>
  <c r="I1271"/>
  <c r="E1271"/>
  <c r="A1271"/>
  <c r="J1270"/>
  <c r="F1270"/>
  <c r="B1270"/>
  <c r="K1269"/>
  <c r="G1269"/>
  <c r="C1269"/>
  <c r="L1268"/>
  <c r="H1268"/>
  <c r="D1268"/>
  <c r="M1267"/>
  <c r="I1267"/>
  <c r="E1267"/>
  <c r="A1267"/>
  <c r="J1266"/>
  <c r="F1266"/>
  <c r="B1266"/>
  <c r="K1265"/>
  <c r="G1265"/>
  <c r="C1265"/>
  <c r="L1264"/>
  <c r="H1264"/>
  <c r="D1264"/>
  <c r="M1263"/>
  <c r="I1263"/>
  <c r="E1263"/>
  <c r="A1263"/>
  <c r="J1262"/>
  <c r="F1262"/>
  <c r="B1262"/>
  <c r="K1261"/>
  <c r="G1261"/>
  <c r="C1261"/>
  <c r="L1260"/>
  <c r="H1260"/>
  <c r="D1260"/>
  <c r="M1259"/>
  <c r="I1259"/>
  <c r="E1259"/>
  <c r="A1259"/>
  <c r="J1258"/>
  <c r="F1258"/>
  <c r="B1258"/>
  <c r="K1257"/>
  <c r="G1257"/>
  <c r="C1257"/>
  <c r="L1256"/>
  <c r="H1256"/>
  <c r="D1256"/>
  <c r="M1255"/>
  <c r="I1255"/>
  <c r="E1255"/>
  <c r="A1255"/>
  <c r="J1254"/>
  <c r="F1254"/>
  <c r="B1254"/>
  <c r="K1253"/>
  <c r="G1253"/>
  <c r="C1253"/>
  <c r="L1252"/>
  <c r="H1252"/>
  <c r="D1252"/>
  <c r="M1251"/>
  <c r="I1251"/>
  <c r="E1251"/>
  <c r="A1251"/>
  <c r="J1250"/>
  <c r="F1250"/>
  <c r="B1250"/>
  <c r="K1249"/>
  <c r="G1249"/>
  <c r="C1249"/>
  <c r="L1248"/>
  <c r="H1248"/>
  <c r="D1248"/>
  <c r="M1247"/>
  <c r="I1247"/>
  <c r="E1247"/>
  <c r="A1247"/>
  <c r="J1246"/>
  <c r="F1246"/>
  <c r="B1246"/>
  <c r="K1245"/>
  <c r="G1245"/>
  <c r="C1245"/>
  <c r="L1244"/>
  <c r="H1244"/>
  <c r="D1244"/>
  <c r="M1243"/>
  <c r="I1243"/>
  <c r="E1243"/>
  <c r="A1243"/>
  <c r="J1242"/>
  <c r="F1242"/>
  <c r="B1242"/>
  <c r="K1241"/>
  <c r="G1241"/>
  <c r="C1241"/>
  <c r="L1240"/>
  <c r="H1240"/>
  <c r="D1240"/>
  <c r="M1239"/>
  <c r="I1239"/>
  <c r="E1239"/>
  <c r="A1239"/>
  <c r="J1238"/>
  <c r="F1238"/>
  <c r="B1238"/>
  <c r="K1237"/>
  <c r="G1237"/>
  <c r="C1237"/>
  <c r="L1236"/>
  <c r="H1236"/>
  <c r="D1236"/>
  <c r="M1235"/>
  <c r="I1235"/>
  <c r="E1235"/>
  <c r="A1235"/>
  <c r="J1234"/>
  <c r="F1234"/>
  <c r="B1234"/>
  <c r="K1233"/>
  <c r="G1233"/>
  <c r="C1233"/>
  <c r="L1232"/>
  <c r="H1232"/>
  <c r="D1232"/>
  <c r="M1231"/>
  <c r="I1231"/>
  <c r="E1231"/>
  <c r="A1231"/>
  <c r="J1230"/>
  <c r="F1230"/>
  <c r="B1230"/>
  <c r="K1229"/>
  <c r="G1229"/>
  <c r="C1229"/>
  <c r="L1228"/>
  <c r="H1228"/>
  <c r="D1228"/>
  <c r="M1227"/>
  <c r="I1227"/>
  <c r="E1227"/>
  <c r="A1227"/>
  <c r="J1226"/>
  <c r="F1226"/>
  <c r="B1226"/>
  <c r="K1225"/>
  <c r="G1225"/>
  <c r="C1225"/>
  <c r="L1224"/>
  <c r="H1224"/>
  <c r="D1224"/>
  <c r="M1223"/>
  <c r="I1223"/>
  <c r="E1223"/>
  <c r="A1223"/>
  <c r="J1222"/>
  <c r="F1222"/>
  <c r="B1222"/>
  <c r="K1221"/>
  <c r="G1221"/>
  <c r="C1221"/>
  <c r="L1220"/>
  <c r="H1220"/>
  <c r="D1220"/>
  <c r="M1219"/>
  <c r="I1219"/>
  <c r="E1219"/>
  <c r="A1219"/>
  <c r="J1218"/>
  <c r="F1218"/>
  <c r="B1218"/>
  <c r="K1217"/>
  <c r="G1217"/>
  <c r="C1217"/>
  <c r="L1216"/>
  <c r="H1216"/>
  <c r="D1216"/>
  <c r="M1215"/>
  <c r="I1215"/>
  <c r="E1215"/>
  <c r="A1215"/>
  <c r="J1214"/>
  <c r="F1214"/>
  <c r="B1214"/>
  <c r="K1213"/>
  <c r="G1213"/>
  <c r="C1213"/>
  <c r="L1212"/>
  <c r="H1212"/>
  <c r="D1212"/>
  <c r="M1211"/>
  <c r="I1211"/>
  <c r="E1211"/>
  <c r="A1211"/>
  <c r="J1210"/>
  <c r="F1210"/>
  <c r="B1210"/>
  <c r="K1209"/>
  <c r="G1209"/>
  <c r="C1209"/>
  <c r="L1208"/>
  <c r="H1208"/>
  <c r="D1208"/>
  <c r="M1207"/>
  <c r="I1207"/>
  <c r="E1207"/>
  <c r="A1207"/>
  <c r="J1206"/>
  <c r="F1206"/>
  <c r="B1206"/>
  <c r="K1205"/>
  <c r="G1205"/>
  <c r="C1205"/>
  <c r="L1204"/>
  <c r="H1204"/>
  <c r="D1204"/>
  <c r="M1203"/>
  <c r="I1203"/>
  <c r="E1203"/>
  <c r="A1203"/>
  <c r="J1202"/>
  <c r="F1202"/>
  <c r="B1202"/>
  <c r="K1201"/>
  <c r="G1201"/>
  <c r="C1201"/>
  <c r="L1200"/>
  <c r="H1200"/>
  <c r="D1200"/>
  <c r="M1199"/>
  <c r="I1199"/>
  <c r="E1199"/>
  <c r="A1199"/>
  <c r="J1198"/>
  <c r="F1198"/>
  <c r="B1198"/>
  <c r="K1197"/>
  <c r="G1197"/>
  <c r="C1197"/>
  <c r="L1196"/>
  <c r="H1196"/>
  <c r="D1196"/>
  <c r="M1195"/>
  <c r="I1195"/>
  <c r="E1195"/>
  <c r="A1195"/>
  <c r="J1194"/>
  <c r="F1194"/>
  <c r="B1194"/>
  <c r="K1193"/>
  <c r="G1193"/>
  <c r="C1193"/>
  <c r="L1192"/>
  <c r="H1192"/>
  <c r="D1192"/>
  <c r="M1191"/>
  <c r="I1191"/>
  <c r="E1191"/>
  <c r="A1191"/>
  <c r="J1190"/>
  <c r="F1190"/>
  <c r="B1190"/>
  <c r="K1189"/>
  <c r="G1189"/>
  <c r="C1189"/>
  <c r="L1188"/>
  <c r="H1188"/>
  <c r="D1188"/>
  <c r="M1187"/>
  <c r="I1187"/>
  <c r="E1187"/>
  <c r="A1187"/>
  <c r="J1186"/>
  <c r="F1186"/>
  <c r="B1186"/>
  <c r="K1185"/>
  <c r="G1185"/>
  <c r="C1185"/>
  <c r="L1184"/>
  <c r="H1184"/>
  <c r="D1184"/>
  <c r="M1183"/>
  <c r="I1183"/>
  <c r="E1183"/>
  <c r="A1183"/>
  <c r="J1182"/>
  <c r="F1182"/>
  <c r="B1182"/>
  <c r="K1181"/>
  <c r="G1181"/>
  <c r="C1181"/>
  <c r="L1180"/>
  <c r="H1180"/>
  <c r="D1180"/>
  <c r="M1179"/>
  <c r="I1179"/>
  <c r="E1179"/>
  <c r="A1179"/>
  <c r="J1178"/>
  <c r="F1178"/>
  <c r="B1178"/>
  <c r="K1177"/>
  <c r="G1177"/>
  <c r="C1177"/>
  <c r="L1176"/>
  <c r="H1176"/>
  <c r="D1176"/>
  <c r="M1175"/>
  <c r="I1175"/>
  <c r="E1175"/>
  <c r="A1175"/>
  <c r="J1174"/>
  <c r="F1174"/>
  <c r="B1174"/>
  <c r="K1173"/>
  <c r="G1173"/>
  <c r="C1173"/>
  <c r="L1172"/>
  <c r="H1172"/>
  <c r="D1172"/>
  <c r="M1171"/>
  <c r="I1171"/>
  <c r="E1171"/>
  <c r="A1171"/>
  <c r="J1170"/>
  <c r="F1170"/>
  <c r="B1170"/>
  <c r="K1169"/>
  <c r="G1169"/>
  <c r="C1169"/>
  <c r="L1168"/>
  <c r="H1168"/>
  <c r="D1168"/>
  <c r="M1167"/>
  <c r="I1167"/>
  <c r="E1167"/>
  <c r="A1167"/>
  <c r="J1166"/>
  <c r="F1166"/>
  <c r="B1166"/>
  <c r="K1165"/>
  <c r="G1165"/>
  <c r="C1165"/>
  <c r="L1164"/>
  <c r="H1164"/>
  <c r="D1164"/>
  <c r="M1163"/>
  <c r="I1163"/>
  <c r="E1163"/>
  <c r="A1163"/>
  <c r="J1162"/>
  <c r="F1162"/>
  <c r="B1162"/>
  <c r="K1161"/>
  <c r="G1161"/>
  <c r="C1161"/>
  <c r="L1160"/>
  <c r="H1160"/>
  <c r="D1160"/>
  <c r="M1159"/>
  <c r="I1159"/>
  <c r="E1159"/>
  <c r="A1159"/>
  <c r="J1158"/>
  <c r="F1158"/>
  <c r="B1158"/>
  <c r="K1157"/>
  <c r="G1157"/>
  <c r="C1157"/>
  <c r="L1156"/>
  <c r="H1156"/>
  <c r="D1156"/>
  <c r="M1155"/>
  <c r="I1155"/>
  <c r="E1155"/>
  <c r="A1155"/>
  <c r="J1154"/>
  <c r="F1154"/>
  <c r="B1154"/>
  <c r="K1153"/>
  <c r="G1153"/>
  <c r="C1153"/>
  <c r="L1152"/>
  <c r="H1152"/>
  <c r="D1152"/>
  <c r="M1151"/>
  <c r="I1151"/>
  <c r="E1151"/>
  <c r="A1151"/>
  <c r="J1150"/>
  <c r="F1150"/>
  <c r="B1150"/>
  <c r="K1149"/>
  <c r="G1149"/>
  <c r="C1149"/>
  <c r="L1148"/>
  <c r="H1148"/>
  <c r="D1148"/>
  <c r="M1147"/>
  <c r="I1147"/>
  <c r="E1147"/>
  <c r="A1147"/>
  <c r="J1146"/>
  <c r="F1146"/>
  <c r="B1146"/>
  <c r="K1145"/>
  <c r="G1145"/>
  <c r="C1145"/>
  <c r="L1144"/>
  <c r="H1144"/>
  <c r="D1144"/>
  <c r="M1143"/>
  <c r="I1143"/>
  <c r="E1143"/>
  <c r="A1143"/>
  <c r="J1142"/>
  <c r="F1142"/>
  <c r="B1142"/>
  <c r="K1141"/>
  <c r="G1141"/>
  <c r="C1141"/>
  <c r="L1140"/>
  <c r="H1140"/>
  <c r="D1140"/>
  <c r="M1139"/>
  <c r="I1139"/>
  <c r="E1139"/>
  <c r="A1139"/>
  <c r="J1138"/>
  <c r="F1138"/>
  <c r="B1138"/>
  <c r="K1137"/>
  <c r="G1137"/>
  <c r="C1137"/>
  <c r="L1136"/>
  <c r="H1136"/>
  <c r="D1136"/>
  <c r="M1135"/>
  <c r="I1135"/>
  <c r="E1135"/>
  <c r="A1135"/>
  <c r="J1134"/>
  <c r="F1134"/>
  <c r="B1134"/>
  <c r="K1133"/>
  <c r="G1133"/>
  <c r="C1133"/>
  <c r="L1132"/>
  <c r="H1132"/>
  <c r="D1132"/>
  <c r="M1131"/>
  <c r="I1131"/>
  <c r="E1131"/>
  <c r="A1131"/>
  <c r="J1130"/>
  <c r="F1130"/>
  <c r="B1130"/>
  <c r="K1129"/>
  <c r="G1129"/>
  <c r="C1129"/>
  <c r="L1128"/>
  <c r="H1128"/>
  <c r="D1128"/>
  <c r="M1127"/>
  <c r="I1127"/>
  <c r="E1127"/>
  <c r="A1127"/>
  <c r="J1126"/>
  <c r="F1126"/>
  <c r="B1126"/>
  <c r="K1125"/>
  <c r="G1125"/>
  <c r="C1125"/>
  <c r="L1124"/>
  <c r="H1124"/>
  <c r="D1124"/>
  <c r="M1123"/>
  <c r="I1123"/>
  <c r="E1123"/>
  <c r="A1123"/>
  <c r="J1122"/>
  <c r="F1122"/>
  <c r="B1122"/>
  <c r="K1121"/>
  <c r="G1121"/>
  <c r="C1121"/>
  <c r="L1120"/>
  <c r="H1120"/>
  <c r="D1120"/>
  <c r="M1119"/>
  <c r="I1119"/>
  <c r="E1119"/>
  <c r="A1119"/>
  <c r="J1118"/>
  <c r="F1118"/>
  <c r="B1118"/>
  <c r="K1117"/>
  <c r="G1117"/>
  <c r="C1117"/>
  <c r="L1116"/>
  <c r="H1116"/>
  <c r="D1116"/>
  <c r="M1115"/>
  <c r="I1115"/>
  <c r="E1115"/>
  <c r="A1115"/>
  <c r="J1114"/>
  <c r="F1114"/>
  <c r="B1114"/>
  <c r="K1113"/>
  <c r="G1113"/>
  <c r="C1113"/>
  <c r="L1112"/>
  <c r="H1112"/>
  <c r="D1112"/>
  <c r="M1111"/>
  <c r="I1111"/>
  <c r="E1111"/>
  <c r="A1111"/>
  <c r="J1110"/>
  <c r="F1110"/>
  <c r="B1110"/>
  <c r="K1109"/>
  <c r="G1109"/>
  <c r="C1109"/>
  <c r="L1108"/>
  <c r="H1108"/>
  <c r="D1108"/>
  <c r="M1107"/>
  <c r="I1107"/>
  <c r="E1107"/>
  <c r="A1107"/>
  <c r="J1106"/>
  <c r="F1106"/>
  <c r="B1106"/>
  <c r="K1105"/>
  <c r="G1105"/>
  <c r="C1105"/>
  <c r="L1104"/>
  <c r="H1104"/>
  <c r="D1104"/>
  <c r="M1103"/>
  <c r="I1103"/>
  <c r="E1103"/>
  <c r="A1103"/>
  <c r="J1102"/>
  <c r="F1102"/>
  <c r="B1102"/>
  <c r="K1101"/>
  <c r="G1101"/>
  <c r="C1101"/>
  <c r="L1100"/>
  <c r="H1100"/>
  <c r="D1100"/>
  <c r="M1099"/>
  <c r="I1099"/>
  <c r="E1099"/>
  <c r="A1099"/>
  <c r="J1098"/>
  <c r="F1098"/>
  <c r="B1098"/>
  <c r="K1097"/>
  <c r="G1097"/>
  <c r="C1097"/>
  <c r="L1096"/>
  <c r="H1096"/>
  <c r="D1096"/>
  <c r="M1095"/>
  <c r="I1095"/>
  <c r="E1095"/>
  <c r="A1095"/>
  <c r="J1094"/>
  <c r="F1094"/>
  <c r="B1094"/>
  <c r="K1093"/>
  <c r="G1093"/>
  <c r="C1093"/>
  <c r="L1092"/>
  <c r="H1092"/>
  <c r="D1092"/>
  <c r="M1091"/>
  <c r="I1091"/>
  <c r="E1091"/>
  <c r="A1091"/>
  <c r="J1090"/>
  <c r="F1090"/>
  <c r="B1090"/>
  <c r="K1089"/>
  <c r="G1089"/>
  <c r="C1089"/>
  <c r="L1088"/>
  <c r="H1088"/>
  <c r="D1088"/>
  <c r="M1087"/>
  <c r="I1087"/>
  <c r="E1087"/>
  <c r="A1087"/>
  <c r="J1086"/>
  <c r="F1086"/>
  <c r="B1086"/>
  <c r="K1085"/>
  <c r="G1085"/>
  <c r="C1085"/>
  <c r="L1084"/>
  <c r="H1084"/>
  <c r="D1084"/>
  <c r="M1083"/>
  <c r="I1083"/>
  <c r="E1083"/>
  <c r="A1083"/>
  <c r="J1082"/>
  <c r="F1082"/>
  <c r="B1082"/>
  <c r="K1081"/>
  <c r="G1081"/>
  <c r="C1081"/>
  <c r="L1080"/>
  <c r="H1080"/>
  <c r="D1080"/>
  <c r="M1079"/>
  <c r="I1079"/>
  <c r="E1079"/>
  <c r="A1079"/>
  <c r="J1078"/>
  <c r="F1078"/>
  <c r="B1078"/>
  <c r="K1077"/>
  <c r="G1077"/>
  <c r="C1077"/>
  <c r="L1076"/>
  <c r="H1076"/>
  <c r="D1076"/>
  <c r="M1075"/>
  <c r="I1075"/>
  <c r="E1075"/>
  <c r="A1075"/>
  <c r="J1074"/>
  <c r="F1074"/>
  <c r="B1074"/>
  <c r="K1073"/>
  <c r="G1073"/>
  <c r="C1073"/>
  <c r="L1072"/>
  <c r="H1072"/>
  <c r="D1072"/>
  <c r="M1071"/>
  <c r="I1071"/>
  <c r="E1071"/>
  <c r="A1071"/>
  <c r="J1070"/>
  <c r="F1070"/>
  <c r="B1070"/>
  <c r="K1069"/>
  <c r="G1069"/>
  <c r="C1069"/>
  <c r="L1068"/>
  <c r="H1068"/>
  <c r="D1068"/>
  <c r="M1067"/>
  <c r="I1067"/>
  <c r="E1067"/>
  <c r="A1067"/>
  <c r="J1066"/>
  <c r="F1066"/>
  <c r="B1066"/>
  <c r="K1065"/>
  <c r="G1065"/>
  <c r="C1065"/>
  <c r="L1064"/>
  <c r="H1064"/>
  <c r="D1064"/>
  <c r="M1063"/>
  <c r="I1063"/>
  <c r="E1063"/>
  <c r="A1063"/>
  <c r="J1062"/>
  <c r="F1062"/>
  <c r="B1062"/>
  <c r="K1061"/>
  <c r="G1061"/>
  <c r="C1061"/>
  <c r="L1060"/>
  <c r="H1060"/>
  <c r="D1060"/>
  <c r="M1059"/>
  <c r="I1059"/>
  <c r="E1059"/>
  <c r="A1059"/>
  <c r="J1058"/>
  <c r="F1058"/>
  <c r="B1058"/>
  <c r="K1057"/>
  <c r="G1057"/>
  <c r="C1057"/>
  <c r="L1056"/>
  <c r="H1056"/>
  <c r="D1056"/>
  <c r="M1055"/>
  <c r="I1055"/>
  <c r="E1055"/>
  <c r="A1055"/>
  <c r="J1054"/>
  <c r="F1054"/>
  <c r="B1054"/>
  <c r="K1053"/>
  <c r="G1053"/>
  <c r="C1053"/>
  <c r="L1052"/>
  <c r="H1052"/>
  <c r="D1052"/>
  <c r="M1051"/>
  <c r="I1051"/>
  <c r="E1051"/>
  <c r="A1051"/>
  <c r="J1050"/>
  <c r="F1050"/>
  <c r="B1050"/>
  <c r="K1049"/>
  <c r="G1049"/>
  <c r="C1049"/>
  <c r="L1048"/>
  <c r="H1048"/>
  <c r="D1048"/>
  <c r="M1047"/>
  <c r="I1047"/>
  <c r="E1047"/>
  <c r="A1047"/>
  <c r="J1046"/>
  <c r="F1046"/>
  <c r="B1046"/>
  <c r="K1045"/>
  <c r="G1045"/>
  <c r="C1045"/>
  <c r="L1044"/>
  <c r="H1044"/>
  <c r="D1044"/>
  <c r="M1043"/>
  <c r="I1043"/>
  <c r="E1043"/>
  <c r="A1043"/>
  <c r="J1042"/>
  <c r="F1042"/>
  <c r="B1042"/>
  <c r="K1041"/>
  <c r="G1041"/>
  <c r="C1041"/>
  <c r="L1040"/>
  <c r="H1040"/>
  <c r="D1040"/>
  <c r="M1039"/>
  <c r="I1039"/>
  <c r="E1039"/>
  <c r="A1039"/>
  <c r="J1038"/>
  <c r="F1038"/>
  <c r="B1038"/>
  <c r="K1037"/>
  <c r="G1037"/>
  <c r="C1037"/>
  <c r="L1036"/>
  <c r="H1036"/>
  <c r="D1036"/>
  <c r="M1035"/>
  <c r="I1035"/>
  <c r="E1035"/>
  <c r="A1035"/>
  <c r="J1034"/>
  <c r="F1034"/>
  <c r="B1034"/>
  <c r="K1033"/>
  <c r="G1033"/>
  <c r="C1033"/>
  <c r="L1032"/>
  <c r="H1032"/>
  <c r="D1032"/>
  <c r="M1031"/>
  <c r="I1031"/>
  <c r="E1031"/>
  <c r="A1031"/>
  <c r="J1030"/>
  <c r="F1030"/>
  <c r="B1030"/>
  <c r="K1029"/>
  <c r="G1029"/>
  <c r="C1029"/>
  <c r="L1028"/>
  <c r="H1028"/>
  <c r="D1028"/>
  <c r="M1027"/>
  <c r="I1027"/>
  <c r="E1027"/>
  <c r="A1027"/>
  <c r="J1026"/>
  <c r="F1026"/>
  <c r="B1026"/>
  <c r="K1025"/>
  <c r="G1025"/>
  <c r="C1025"/>
  <c r="L1024"/>
  <c r="H1024"/>
  <c r="D1024"/>
  <c r="M1023"/>
  <c r="I1023"/>
  <c r="E1023"/>
  <c r="A1023"/>
  <c r="J1022"/>
  <c r="F1022"/>
  <c r="B1022"/>
  <c r="K1021"/>
  <c r="G1021"/>
  <c r="C1021"/>
  <c r="L1020"/>
  <c r="H1020"/>
  <c r="D1020"/>
  <c r="M1019"/>
  <c r="I1019"/>
  <c r="E1019"/>
  <c r="A1019"/>
  <c r="J1018"/>
  <c r="F1018"/>
  <c r="B1018"/>
  <c r="K1017"/>
  <c r="G1017"/>
  <c r="C1017"/>
  <c r="L1016"/>
  <c r="H1016"/>
  <c r="D1016"/>
  <c r="M1015"/>
  <c r="I1015"/>
  <c r="E1015"/>
  <c r="A1015"/>
  <c r="J1014"/>
  <c r="F1014"/>
  <c r="B1014"/>
  <c r="K1013"/>
  <c r="G1013"/>
  <c r="C1013"/>
  <c r="A26" i="3"/>
  <c r="F25"/>
  <c r="K24"/>
  <c r="C24"/>
  <c r="H23"/>
  <c r="M22"/>
  <c r="E22"/>
  <c r="L21"/>
  <c r="H21"/>
  <c r="D21"/>
  <c r="M20"/>
  <c r="I20"/>
  <c r="E20"/>
  <c r="A20"/>
  <c r="J19"/>
  <c r="F19"/>
  <c r="B19"/>
  <c r="K18"/>
  <c r="G18"/>
  <c r="C18"/>
  <c r="L17"/>
  <c r="H17"/>
  <c r="D17"/>
  <c r="M16"/>
  <c r="I16"/>
  <c r="E16"/>
  <c r="A16"/>
  <c r="J15"/>
  <c r="F15"/>
  <c r="B15"/>
  <c r="K14"/>
  <c r="G14"/>
  <c r="C14"/>
  <c r="L13"/>
  <c r="H13"/>
  <c r="D13"/>
  <c r="M12"/>
  <c r="I12"/>
  <c r="E12"/>
  <c r="A12"/>
  <c r="J11"/>
  <c r="F11"/>
  <c r="B11"/>
  <c r="K10"/>
  <c r="G10"/>
  <c r="C10"/>
  <c r="L9"/>
  <c r="H9"/>
  <c r="D9"/>
  <c r="M8"/>
  <c r="I8"/>
  <c r="E8"/>
  <c r="A8"/>
  <c r="J7"/>
  <c r="F7"/>
  <c r="B7"/>
  <c r="K6"/>
  <c r="G6"/>
  <c r="C6"/>
  <c r="L5"/>
  <c r="H5"/>
  <c r="D5"/>
  <c r="M4"/>
  <c r="I4"/>
  <c r="E4"/>
  <c r="A4"/>
  <c r="J3"/>
  <c r="F3"/>
  <c r="B3"/>
  <c r="K2"/>
  <c r="G2"/>
  <c r="C2"/>
  <c r="L1"/>
  <c r="H1"/>
  <c r="D1"/>
  <c r="M1304" i="2"/>
  <c r="I1304"/>
  <c r="E1304"/>
  <c r="A1304"/>
  <c r="J1303"/>
  <c r="F1303"/>
  <c r="B1303"/>
  <c r="K1302"/>
  <c r="G1302"/>
  <c r="C1302"/>
  <c r="L1301"/>
  <c r="H1301"/>
  <c r="D1301"/>
  <c r="M1300"/>
  <c r="I1300"/>
  <c r="E1300"/>
  <c r="A1300"/>
  <c r="J1299"/>
  <c r="F1299"/>
  <c r="B1299"/>
  <c r="K1298"/>
  <c r="G1298"/>
  <c r="C1298"/>
  <c r="L1297"/>
  <c r="H1297"/>
  <c r="D1297"/>
  <c r="M1296"/>
  <c r="I1296"/>
  <c r="E1296"/>
  <c r="A1296"/>
  <c r="J1295"/>
  <c r="F1295"/>
  <c r="B1295"/>
  <c r="K1294"/>
  <c r="G1294"/>
  <c r="C1294"/>
  <c r="L1293"/>
  <c r="H1293"/>
  <c r="D1293"/>
  <c r="M1292"/>
  <c r="I1292"/>
  <c r="E1292"/>
  <c r="A1292"/>
  <c r="J1291"/>
  <c r="F1291"/>
  <c r="B1291"/>
  <c r="K1290"/>
  <c r="G1290"/>
  <c r="C1290"/>
  <c r="L1289"/>
  <c r="H1289"/>
  <c r="D1289"/>
  <c r="M1288"/>
  <c r="I1288"/>
  <c r="E1288"/>
  <c r="A1288"/>
  <c r="J1287"/>
  <c r="F1287"/>
  <c r="B1287"/>
  <c r="K1286"/>
  <c r="G1286"/>
  <c r="C1286"/>
  <c r="L1285"/>
  <c r="H1285"/>
  <c r="D1285"/>
  <c r="M1284"/>
  <c r="I1284"/>
  <c r="E1284"/>
  <c r="A1284"/>
  <c r="J1283"/>
  <c r="F1283"/>
  <c r="B1283"/>
  <c r="K1282"/>
  <c r="G1282"/>
  <c r="C1282"/>
  <c r="L1281"/>
  <c r="H1281"/>
  <c r="D1281"/>
  <c r="M1280"/>
  <c r="I1280"/>
  <c r="E1280"/>
  <c r="A1280"/>
  <c r="J1279"/>
  <c r="F1279"/>
  <c r="B1279"/>
  <c r="K1278"/>
  <c r="G1278"/>
  <c r="C1278"/>
  <c r="L1277"/>
  <c r="H1277"/>
  <c r="D1277"/>
  <c r="M1276"/>
  <c r="I1276"/>
  <c r="E1276"/>
  <c r="A1276"/>
  <c r="J1275"/>
  <c r="F1275"/>
  <c r="B1275"/>
  <c r="K1274"/>
  <c r="G1274"/>
  <c r="C1274"/>
  <c r="L1273"/>
  <c r="H1273"/>
  <c r="D1273"/>
  <c r="M1272"/>
  <c r="I1272"/>
  <c r="E1272"/>
  <c r="A1272"/>
  <c r="J1271"/>
  <c r="F1271"/>
  <c r="B1271"/>
  <c r="K1270"/>
  <c r="G1270"/>
  <c r="C1270"/>
  <c r="L1269"/>
  <c r="H1269"/>
  <c r="D1269"/>
  <c r="M1268"/>
  <c r="I1268"/>
  <c r="E1268"/>
  <c r="A1268"/>
  <c r="J1267"/>
  <c r="F1267"/>
  <c r="B1267"/>
  <c r="K1266"/>
  <c r="G1266"/>
  <c r="C1266"/>
  <c r="L1265"/>
  <c r="H1265"/>
  <c r="D1265"/>
  <c r="M1264"/>
  <c r="I1264"/>
  <c r="E1264"/>
  <c r="A1264"/>
  <c r="J1263"/>
  <c r="F1263"/>
  <c r="B1263"/>
  <c r="K1262"/>
  <c r="G1262"/>
  <c r="C1262"/>
  <c r="L1261"/>
  <c r="H1261"/>
  <c r="D1261"/>
  <c r="M1260"/>
  <c r="I1260"/>
  <c r="E1260"/>
  <c r="A1260"/>
  <c r="J1259"/>
  <c r="F1259"/>
  <c r="B1259"/>
  <c r="K1258"/>
  <c r="G1258"/>
  <c r="C1258"/>
  <c r="L1257"/>
  <c r="H1257"/>
  <c r="D1257"/>
  <c r="M1256"/>
  <c r="I1256"/>
  <c r="E1256"/>
  <c r="A1256"/>
  <c r="J1255"/>
  <c r="F1255"/>
  <c r="B1255"/>
  <c r="K1254"/>
  <c r="G1254"/>
  <c r="C1254"/>
  <c r="L1253"/>
  <c r="H1253"/>
  <c r="D1253"/>
  <c r="M1252"/>
  <c r="I1252"/>
  <c r="E1252"/>
  <c r="A1252"/>
  <c r="J1251"/>
  <c r="F1251"/>
  <c r="B1251"/>
  <c r="K1250"/>
  <c r="G1250"/>
  <c r="C1250"/>
  <c r="L1249"/>
  <c r="H1249"/>
  <c r="D1249"/>
  <c r="M1248"/>
  <c r="I1248"/>
  <c r="E1248"/>
  <c r="A1248"/>
  <c r="J1247"/>
  <c r="F1247"/>
  <c r="B1247"/>
  <c r="K1246"/>
  <c r="G1246"/>
  <c r="C1246"/>
  <c r="L1245"/>
  <c r="H1245"/>
  <c r="D1245"/>
  <c r="M1244"/>
  <c r="I1244"/>
  <c r="E1244"/>
  <c r="A1244"/>
  <c r="J1243"/>
  <c r="F1243"/>
  <c r="B1243"/>
  <c r="K1242"/>
  <c r="G1242"/>
  <c r="C1242"/>
  <c r="L1241"/>
  <c r="H1241"/>
  <c r="D1241"/>
  <c r="M1240"/>
  <c r="I1240"/>
  <c r="E1240"/>
  <c r="A1240"/>
  <c r="J1239"/>
  <c r="F1239"/>
  <c r="B1239"/>
  <c r="K1238"/>
  <c r="G1238"/>
  <c r="C1238"/>
  <c r="L1237"/>
  <c r="H1237"/>
  <c r="D1237"/>
  <c r="M1236"/>
  <c r="I1236"/>
  <c r="E1236"/>
  <c r="A1236"/>
  <c r="J1235"/>
  <c r="F1235"/>
  <c r="B1235"/>
  <c r="K1234"/>
  <c r="G1234"/>
  <c r="C1234"/>
  <c r="L1233"/>
  <c r="H1233"/>
  <c r="D1233"/>
  <c r="M1232"/>
  <c r="I1232"/>
  <c r="E1232"/>
  <c r="A1232"/>
  <c r="J1231"/>
  <c r="F1231"/>
  <c r="B1231"/>
  <c r="K1230"/>
  <c r="G1230"/>
  <c r="C1230"/>
  <c r="L1229"/>
  <c r="H1229"/>
  <c r="D1229"/>
  <c r="M1228"/>
  <c r="I1228"/>
  <c r="E1228"/>
  <c r="A1228"/>
  <c r="J1227"/>
  <c r="F1227"/>
  <c r="B1227"/>
  <c r="K1226"/>
  <c r="G1226"/>
  <c r="C1226"/>
  <c r="L1225"/>
  <c r="H1225"/>
  <c r="D1225"/>
  <c r="M1224"/>
  <c r="I1224"/>
  <c r="E1224"/>
  <c r="A1224"/>
  <c r="J1223"/>
  <c r="F1223"/>
  <c r="B1223"/>
  <c r="K1222"/>
  <c r="G1222"/>
  <c r="C1222"/>
  <c r="L1221"/>
  <c r="H1221"/>
  <c r="D1221"/>
  <c r="M1220"/>
  <c r="I1220"/>
  <c r="E1220"/>
  <c r="A1220"/>
  <c r="J1219"/>
  <c r="F1219"/>
  <c r="B1219"/>
  <c r="K1218"/>
  <c r="G1218"/>
  <c r="C1218"/>
  <c r="L1217"/>
  <c r="H1217"/>
  <c r="D1217"/>
  <c r="M1216"/>
  <c r="I1216"/>
  <c r="E1216"/>
  <c r="A1216"/>
  <c r="J1215"/>
  <c r="F1215"/>
  <c r="B1215"/>
  <c r="K1214"/>
  <c r="G1214"/>
  <c r="C1214"/>
  <c r="L1213"/>
  <c r="H1213"/>
  <c r="D1213"/>
  <c r="M1212"/>
  <c r="I1212"/>
  <c r="E1212"/>
  <c r="A1212"/>
  <c r="J1211"/>
  <c r="F1211"/>
  <c r="B1211"/>
  <c r="K1210"/>
  <c r="G1210"/>
  <c r="C1210"/>
  <c r="L1209"/>
  <c r="H1209"/>
  <c r="D1209"/>
  <c r="M1208"/>
  <c r="I1208"/>
  <c r="E1208"/>
  <c r="A1208"/>
  <c r="J1207"/>
  <c r="F1207"/>
  <c r="B1207"/>
  <c r="K1206"/>
  <c r="G1206"/>
  <c r="C1206"/>
  <c r="L1205"/>
  <c r="H1205"/>
  <c r="D1205"/>
  <c r="M1204"/>
  <c r="I1204"/>
  <c r="E1204"/>
  <c r="A1204"/>
  <c r="J1203"/>
  <c r="F1203"/>
  <c r="B1203"/>
  <c r="K1202"/>
  <c r="G1202"/>
  <c r="C1202"/>
  <c r="L1201"/>
  <c r="H1201"/>
  <c r="D1201"/>
  <c r="M1200"/>
  <c r="I1200"/>
  <c r="E1200"/>
  <c r="A1200"/>
  <c r="J1199"/>
  <c r="F1199"/>
  <c r="B1199"/>
  <c r="K1198"/>
  <c r="G1198"/>
  <c r="C1198"/>
  <c r="L1197"/>
  <c r="H1197"/>
  <c r="D1197"/>
  <c r="M1196"/>
  <c r="I1196"/>
  <c r="E1196"/>
  <c r="A1196"/>
  <c r="J1195"/>
  <c r="F1195"/>
  <c r="B1195"/>
  <c r="K1194"/>
  <c r="G1194"/>
  <c r="C1194"/>
  <c r="L1193"/>
  <c r="H1193"/>
  <c r="D1193"/>
  <c r="M1192"/>
  <c r="I1192"/>
  <c r="E1192"/>
  <c r="A1192"/>
  <c r="J1191"/>
  <c r="F1191"/>
  <c r="B1191"/>
  <c r="K1190"/>
  <c r="G1190"/>
  <c r="C1190"/>
  <c r="L1189"/>
  <c r="H1189"/>
  <c r="D1189"/>
  <c r="M1188"/>
  <c r="I1188"/>
  <c r="E1188"/>
  <c r="A1188"/>
  <c r="J1187"/>
  <c r="F1187"/>
  <c r="B1187"/>
  <c r="K1186"/>
  <c r="G1186"/>
  <c r="C1186"/>
  <c r="L1185"/>
  <c r="H1185"/>
  <c r="D1185"/>
  <c r="M1184"/>
  <c r="I1184"/>
  <c r="E1184"/>
  <c r="A1184"/>
  <c r="J1183"/>
  <c r="F1183"/>
  <c r="B1183"/>
  <c r="K1182"/>
  <c r="G1182"/>
  <c r="C1182"/>
  <c r="L1181"/>
  <c r="H1181"/>
  <c r="D1181"/>
  <c r="M1180"/>
  <c r="I1180"/>
  <c r="E1180"/>
  <c r="A1180"/>
  <c r="J1179"/>
  <c r="F1179"/>
  <c r="B1179"/>
  <c r="K1178"/>
  <c r="G1178"/>
  <c r="C1178"/>
  <c r="L1177"/>
  <c r="H1177"/>
  <c r="D1177"/>
  <c r="M1176"/>
  <c r="I1176"/>
  <c r="E1176"/>
  <c r="A1176"/>
  <c r="J1175"/>
  <c r="F1175"/>
  <c r="B1175"/>
  <c r="K1174"/>
  <c r="G1174"/>
  <c r="C1174"/>
  <c r="L1173"/>
  <c r="H1173"/>
  <c r="D1173"/>
  <c r="M1172"/>
  <c r="I1172"/>
  <c r="E1172"/>
  <c r="A1172"/>
  <c r="J1171"/>
  <c r="F1171"/>
  <c r="B1171"/>
  <c r="K1170"/>
  <c r="G1170"/>
  <c r="C1170"/>
  <c r="L1169"/>
  <c r="H1169"/>
  <c r="D1169"/>
  <c r="M1168"/>
  <c r="I1168"/>
  <c r="E1168"/>
  <c r="A1168"/>
  <c r="J1167"/>
  <c r="F1167"/>
  <c r="B1167"/>
  <c r="K1166"/>
  <c r="G1166"/>
  <c r="C1166"/>
  <c r="L1165"/>
  <c r="H1165"/>
  <c r="D1165"/>
  <c r="M1164"/>
  <c r="I1164"/>
  <c r="E1164"/>
  <c r="A1164"/>
  <c r="J1163"/>
  <c r="F1163"/>
  <c r="B1163"/>
  <c r="K1162"/>
  <c r="G1162"/>
  <c r="C1162"/>
  <c r="L1161"/>
  <c r="H1161"/>
  <c r="D1161"/>
  <c r="M1160"/>
  <c r="I1160"/>
  <c r="E1160"/>
  <c r="A1160"/>
  <c r="J1159"/>
  <c r="F1159"/>
  <c r="B1159"/>
  <c r="K1158"/>
  <c r="G1158"/>
  <c r="C1158"/>
  <c r="L1157"/>
  <c r="H1157"/>
  <c r="D1157"/>
  <c r="M1156"/>
  <c r="I1156"/>
  <c r="E1156"/>
  <c r="A1156"/>
  <c r="J1155"/>
  <c r="F1155"/>
  <c r="B1155"/>
  <c r="K1154"/>
  <c r="G1154"/>
  <c r="C1154"/>
  <c r="L1153"/>
  <c r="H1153"/>
  <c r="D1153"/>
  <c r="M1152"/>
  <c r="I1152"/>
  <c r="E1152"/>
  <c r="A1152"/>
  <c r="J1151"/>
  <c r="F1151"/>
  <c r="B1151"/>
  <c r="K1150"/>
  <c r="G1150"/>
  <c r="C1150"/>
  <c r="L1149"/>
  <c r="H1149"/>
  <c r="D1149"/>
  <c r="M1148"/>
  <c r="I1148"/>
  <c r="E1148"/>
  <c r="A1148"/>
  <c r="J1147"/>
  <c r="F1147"/>
  <c r="B1147"/>
  <c r="K1146"/>
  <c r="G1146"/>
  <c r="C1146"/>
  <c r="L1145"/>
  <c r="H1145"/>
  <c r="D1145"/>
  <c r="M1144"/>
  <c r="I1144"/>
  <c r="E1144"/>
  <c r="A1144"/>
  <c r="J1143"/>
  <c r="F1143"/>
  <c r="B1143"/>
  <c r="K1142"/>
  <c r="G1142"/>
  <c r="C1142"/>
  <c r="L1141"/>
  <c r="H1141"/>
  <c r="D1141"/>
  <c r="M1140"/>
  <c r="I1140"/>
  <c r="E1140"/>
  <c r="A1140"/>
  <c r="J1139"/>
  <c r="F1139"/>
  <c r="B1139"/>
  <c r="K1138"/>
  <c r="G1138"/>
  <c r="C1138"/>
  <c r="L1137"/>
  <c r="H1137"/>
  <c r="D1137"/>
  <c r="M1136"/>
  <c r="I1136"/>
  <c r="E1136"/>
  <c r="A1136"/>
  <c r="J1135"/>
  <c r="F1135"/>
  <c r="B1135"/>
  <c r="K1134"/>
  <c r="G1134"/>
  <c r="C1134"/>
  <c r="L1133"/>
  <c r="H1133"/>
  <c r="D1133"/>
  <c r="M1132"/>
  <c r="I1132"/>
  <c r="E1132"/>
  <c r="A1132"/>
  <c r="J1131"/>
  <c r="F1131"/>
  <c r="B1131"/>
  <c r="K1130"/>
  <c r="G1130"/>
  <c r="C1130"/>
  <c r="L1129"/>
  <c r="H1129"/>
  <c r="D1129"/>
  <c r="M1128"/>
  <c r="I1128"/>
  <c r="E1128"/>
  <c r="A1128"/>
  <c r="J1127"/>
  <c r="F1127"/>
  <c r="B1127"/>
  <c r="K1126"/>
  <c r="G1126"/>
  <c r="C1126"/>
  <c r="L1125"/>
  <c r="H1125"/>
  <c r="D1125"/>
  <c r="M1124"/>
  <c r="I1124"/>
  <c r="E1124"/>
  <c r="A1124"/>
  <c r="J1123"/>
  <c r="F1123"/>
  <c r="B1123"/>
  <c r="K1122"/>
  <c r="G1122"/>
  <c r="C1122"/>
  <c r="L1121"/>
  <c r="H1121"/>
  <c r="D1121"/>
  <c r="M1120"/>
  <c r="I1120"/>
  <c r="E1120"/>
  <c r="A1120"/>
  <c r="J1119"/>
  <c r="F1119"/>
  <c r="B1119"/>
  <c r="K1118"/>
  <c r="G1118"/>
  <c r="C1118"/>
  <c r="L1117"/>
  <c r="H1117"/>
  <c r="D1117"/>
  <c r="M1116"/>
  <c r="I1116"/>
  <c r="E1116"/>
  <c r="A1116"/>
  <c r="J1115"/>
  <c r="F1115"/>
  <c r="B1115"/>
  <c r="K1114"/>
  <c r="G1114"/>
  <c r="C1114"/>
  <c r="L1113"/>
  <c r="H1113"/>
  <c r="D1113"/>
  <c r="M1112"/>
  <c r="I1112"/>
  <c r="E1112"/>
  <c r="A1112"/>
  <c r="J1111"/>
  <c r="F1111"/>
  <c r="B1111"/>
  <c r="K1110"/>
  <c r="G1110"/>
  <c r="C1110"/>
  <c r="L1109"/>
  <c r="H1109"/>
  <c r="D1109"/>
  <c r="M1108"/>
  <c r="I1108"/>
  <c r="E1108"/>
  <c r="A1108"/>
  <c r="J1107"/>
  <c r="F1107"/>
  <c r="B1107"/>
  <c r="K1106"/>
  <c r="G1106"/>
  <c r="C1106"/>
  <c r="L1105"/>
  <c r="H1105"/>
  <c r="D1105"/>
  <c r="M1104"/>
  <c r="I1104"/>
  <c r="E1104"/>
  <c r="A1104"/>
  <c r="J1103"/>
  <c r="F1103"/>
  <c r="B1103"/>
  <c r="K1102"/>
  <c r="G1102"/>
  <c r="C1102"/>
  <c r="L1101"/>
  <c r="H1101"/>
  <c r="D1101"/>
  <c r="M1100"/>
  <c r="I1100"/>
  <c r="E1100"/>
  <c r="A1100"/>
  <c r="J1099"/>
  <c r="F1099"/>
  <c r="B1099"/>
  <c r="K1098"/>
  <c r="G1098"/>
  <c r="C1098"/>
  <c r="L1097"/>
  <c r="H1097"/>
  <c r="D1097"/>
  <c r="M1096"/>
  <c r="I1096"/>
  <c r="E1096"/>
  <c r="A1096"/>
  <c r="J1095"/>
  <c r="F1095"/>
  <c r="B1095"/>
  <c r="K1094"/>
  <c r="G1094"/>
  <c r="C1094"/>
  <c r="L1093"/>
  <c r="H1093"/>
  <c r="D1093"/>
  <c r="M1092"/>
  <c r="I1092"/>
  <c r="E1092"/>
  <c r="A1092"/>
  <c r="J1091"/>
  <c r="F1091"/>
  <c r="B1091"/>
  <c r="K1090"/>
  <c r="G1090"/>
  <c r="C1090"/>
  <c r="L1089"/>
  <c r="H1089"/>
  <c r="D1089"/>
  <c r="M1088"/>
  <c r="I1088"/>
  <c r="E1088"/>
  <c r="A1088"/>
  <c r="J1087"/>
  <c r="F1087"/>
  <c r="B1087"/>
  <c r="K1086"/>
  <c r="G1086"/>
  <c r="C1086"/>
  <c r="L1085"/>
  <c r="H1085"/>
  <c r="D1085"/>
  <c r="M1084"/>
  <c r="I1084"/>
  <c r="E1084"/>
  <c r="A1084"/>
  <c r="J1083"/>
  <c r="F1083"/>
  <c r="B1083"/>
  <c r="K1082"/>
  <c r="G1082"/>
  <c r="C1082"/>
  <c r="L1081"/>
  <c r="H1081"/>
  <c r="D1081"/>
  <c r="M1080"/>
  <c r="I1080"/>
  <c r="E1080"/>
  <c r="A1080"/>
  <c r="J1079"/>
  <c r="F1079"/>
  <c r="B1079"/>
  <c r="K1078"/>
  <c r="G1078"/>
  <c r="C1078"/>
  <c r="L1077"/>
  <c r="H1077"/>
  <c r="D1077"/>
  <c r="M1076"/>
  <c r="I1076"/>
  <c r="E1076"/>
  <c r="A1076"/>
  <c r="J1075"/>
  <c r="F1075"/>
  <c r="B1075"/>
  <c r="K1074"/>
  <c r="G1074"/>
  <c r="C1074"/>
  <c r="L1073"/>
  <c r="H1073"/>
  <c r="D1073"/>
  <c r="M1072"/>
  <c r="I1072"/>
  <c r="E1072"/>
  <c r="A1072"/>
  <c r="J1071"/>
  <c r="F1071"/>
  <c r="B1071"/>
  <c r="K1070"/>
  <c r="G1070"/>
  <c r="C1070"/>
  <c r="L1069"/>
  <c r="H1069"/>
  <c r="D1069"/>
  <c r="M1068"/>
  <c r="I1068"/>
  <c r="E1068"/>
  <c r="A1068"/>
  <c r="J1067"/>
  <c r="F1067"/>
  <c r="B1067"/>
  <c r="K1066"/>
  <c r="G1066"/>
  <c r="C1066"/>
  <c r="L1065"/>
  <c r="H1065"/>
  <c r="D1065"/>
  <c r="M1064"/>
  <c r="I1064"/>
  <c r="E1064"/>
  <c r="A1064"/>
  <c r="J1063"/>
  <c r="F1063"/>
  <c r="B1063"/>
  <c r="K1062"/>
  <c r="G1062"/>
  <c r="C1062"/>
  <c r="L1061"/>
  <c r="H1061"/>
  <c r="D1061"/>
  <c r="M1060"/>
  <c r="I1060"/>
  <c r="E1060"/>
  <c r="A1060"/>
  <c r="J1059"/>
  <c r="F1059"/>
  <c r="B1059"/>
  <c r="K1058"/>
  <c r="G1058"/>
  <c r="C1058"/>
  <c r="L1057"/>
  <c r="H1057"/>
  <c r="D1057"/>
  <c r="M1056"/>
  <c r="I1056"/>
  <c r="E1056"/>
  <c r="A1056"/>
  <c r="J1055"/>
  <c r="F1055"/>
  <c r="B1055"/>
  <c r="K1054"/>
  <c r="G1054"/>
  <c r="C1054"/>
  <c r="L1053"/>
  <c r="H1053"/>
  <c r="D1053"/>
  <c r="M1052"/>
  <c r="I1052"/>
  <c r="E1052"/>
  <c r="A1052"/>
  <c r="J1051"/>
  <c r="F1051"/>
  <c r="B1051"/>
  <c r="K1050"/>
  <c r="G1050"/>
  <c r="C1050"/>
  <c r="L1049"/>
  <c r="H1049"/>
  <c r="D1049"/>
  <c r="M1048"/>
  <c r="I1048"/>
  <c r="E1048"/>
  <c r="A1048"/>
  <c r="J1047"/>
  <c r="F1047"/>
  <c r="B1047"/>
  <c r="K1046"/>
  <c r="G1046"/>
  <c r="C1046"/>
  <c r="L1045"/>
  <c r="H1045"/>
  <c r="D1045"/>
  <c r="M1044"/>
  <c r="I1044"/>
  <c r="E1044"/>
  <c r="A1044"/>
  <c r="J1043"/>
  <c r="F1043"/>
  <c r="B1043"/>
  <c r="K1042"/>
  <c r="G1042"/>
  <c r="C1042"/>
  <c r="L1041"/>
  <c r="H1041"/>
  <c r="D1041"/>
  <c r="M1040"/>
  <c r="I1040"/>
  <c r="E1040"/>
  <c r="A1040"/>
  <c r="J1039"/>
  <c r="F1039"/>
  <c r="B1039"/>
  <c r="K1038"/>
  <c r="G1038"/>
  <c r="C1038"/>
  <c r="L1037"/>
  <c r="H1037"/>
  <c r="D1037"/>
  <c r="M1036"/>
  <c r="I1036"/>
  <c r="E1036"/>
  <c r="A1036"/>
  <c r="J1035"/>
  <c r="F1035"/>
  <c r="B1035"/>
  <c r="K1034"/>
  <c r="G1034"/>
  <c r="C1034"/>
  <c r="L1033"/>
  <c r="H1033"/>
  <c r="D1033"/>
  <c r="M1032"/>
  <c r="I1032"/>
  <c r="E1032"/>
  <c r="A1032"/>
  <c r="J1031"/>
  <c r="F1031"/>
  <c r="B1031"/>
  <c r="K1030"/>
  <c r="G1030"/>
  <c r="C1030"/>
  <c r="L1029"/>
  <c r="H1029"/>
  <c r="D1029"/>
  <c r="M1028"/>
  <c r="I1028"/>
  <c r="E1028"/>
  <c r="A1028"/>
  <c r="J1027"/>
  <c r="F1027"/>
  <c r="B1027"/>
  <c r="K1026"/>
  <c r="G1026"/>
  <c r="C1026"/>
  <c r="L1025"/>
  <c r="H1025"/>
  <c r="D1025"/>
  <c r="M1024"/>
  <c r="I1024"/>
  <c r="E1024"/>
  <c r="A1024"/>
  <c r="J1023"/>
  <c r="F1023"/>
  <c r="B1023"/>
  <c r="K1022"/>
  <c r="G1022"/>
  <c r="C1022"/>
  <c r="L1021"/>
  <c r="H1021"/>
  <c r="D1021"/>
  <c r="M1020"/>
  <c r="I1020"/>
  <c r="E1020"/>
  <c r="A1020"/>
  <c r="J1019"/>
  <c r="F1019"/>
  <c r="B1019"/>
  <c r="K1018"/>
  <c r="G1018"/>
  <c r="C1018"/>
  <c r="L1017"/>
  <c r="H1017"/>
  <c r="D1017"/>
  <c r="M1016"/>
  <c r="I1016"/>
  <c r="E1016"/>
  <c r="A1016"/>
  <c r="J1015"/>
  <c r="F1015"/>
  <c r="B1015"/>
  <c r="K1014"/>
  <c r="G1014"/>
  <c r="C1014"/>
  <c r="L1013"/>
  <c r="H1013"/>
  <c r="D1013"/>
  <c r="M1012"/>
  <c r="I1012"/>
  <c r="E1012"/>
  <c r="A1012"/>
  <c r="J1011"/>
  <c r="F1011"/>
  <c r="B1011"/>
  <c r="K1010"/>
  <c r="G1010"/>
  <c r="C1010"/>
  <c r="L1009"/>
  <c r="H1009"/>
  <c r="D1009"/>
  <c r="M1008"/>
  <c r="I1008"/>
  <c r="E1008"/>
  <c r="A1008"/>
  <c r="J1007"/>
  <c r="F1007"/>
  <c r="B1007"/>
  <c r="K1006"/>
  <c r="G1006"/>
  <c r="C1006"/>
  <c r="L1005"/>
  <c r="H1005"/>
  <c r="D1005"/>
  <c r="M1004"/>
  <c r="I1004"/>
  <c r="E1004"/>
  <c r="A1004"/>
  <c r="J1003"/>
  <c r="F1003"/>
  <c r="B1003"/>
  <c r="K1002"/>
  <c r="G1002"/>
  <c r="C1002"/>
  <c r="L1001"/>
  <c r="H1001"/>
  <c r="D1001"/>
  <c r="M1000"/>
  <c r="I1000"/>
  <c r="E1000"/>
  <c r="A1000"/>
  <c r="J999"/>
  <c r="F999"/>
  <c r="B999"/>
  <c r="K998"/>
  <c r="G998"/>
  <c r="C26" i="3"/>
  <c r="H25"/>
  <c r="M24"/>
  <c r="E24"/>
  <c r="J23"/>
  <c r="B23"/>
  <c r="G22"/>
  <c r="M21"/>
  <c r="I21"/>
  <c r="E21"/>
  <c r="A21"/>
  <c r="J20"/>
  <c r="F20"/>
  <c r="B20"/>
  <c r="K19"/>
  <c r="G19"/>
  <c r="C19"/>
  <c r="L18"/>
  <c r="H18"/>
  <c r="D18"/>
  <c r="M17"/>
  <c r="I17"/>
  <c r="E17"/>
  <c r="A17"/>
  <c r="J16"/>
  <c r="F16"/>
  <c r="B16"/>
  <c r="K15"/>
  <c r="G15"/>
  <c r="C15"/>
  <c r="L14"/>
  <c r="H14"/>
  <c r="D14"/>
  <c r="M13"/>
  <c r="I13"/>
  <c r="E13"/>
  <c r="A13"/>
  <c r="J12"/>
  <c r="F12"/>
  <c r="B12"/>
  <c r="K11"/>
  <c r="G11"/>
  <c r="C11"/>
  <c r="L10"/>
  <c r="H10"/>
  <c r="D10"/>
  <c r="M9"/>
  <c r="I9"/>
  <c r="E9"/>
  <c r="A9"/>
  <c r="J8"/>
  <c r="F8"/>
  <c r="B8"/>
  <c r="K7"/>
  <c r="G7"/>
  <c r="C7"/>
  <c r="L6"/>
  <c r="H6"/>
  <c r="D6"/>
  <c r="M5"/>
  <c r="I5"/>
  <c r="E5"/>
  <c r="A5"/>
  <c r="J4"/>
  <c r="F4"/>
  <c r="B4"/>
  <c r="K3"/>
  <c r="G3"/>
  <c r="C3"/>
  <c r="L2"/>
  <c r="H2"/>
  <c r="D2"/>
  <c r="M1"/>
  <c r="I1"/>
  <c r="E1"/>
  <c r="A1"/>
  <c r="J1304" i="2"/>
  <c r="F1304"/>
  <c r="B1304"/>
  <c r="K1303"/>
  <c r="G1303"/>
  <c r="C1303"/>
  <c r="L1302"/>
  <c r="H1302"/>
  <c r="D1302"/>
  <c r="M1301"/>
  <c r="I1301"/>
  <c r="E1301"/>
  <c r="A1301"/>
  <c r="J1300"/>
  <c r="F1300"/>
  <c r="B1300"/>
  <c r="K1299"/>
  <c r="G1299"/>
  <c r="C1299"/>
  <c r="L1298"/>
  <c r="H1298"/>
  <c r="D1298"/>
  <c r="M1297"/>
  <c r="I1297"/>
  <c r="E1297"/>
  <c r="A1297"/>
  <c r="J1296"/>
  <c r="F1296"/>
  <c r="B1296"/>
  <c r="K1295"/>
  <c r="G1295"/>
  <c r="C1295"/>
  <c r="L1294"/>
  <c r="H1294"/>
  <c r="D1294"/>
  <c r="M1293"/>
  <c r="I1293"/>
  <c r="E1293"/>
  <c r="A1293"/>
  <c r="J1292"/>
  <c r="F1292"/>
  <c r="B1292"/>
  <c r="K1291"/>
  <c r="G1291"/>
  <c r="C1291"/>
  <c r="L1290"/>
  <c r="H1290"/>
  <c r="D1290"/>
  <c r="M1289"/>
  <c r="I1289"/>
  <c r="E1289"/>
  <c r="A1289"/>
  <c r="J1288"/>
  <c r="F1288"/>
  <c r="B1288"/>
  <c r="K1287"/>
  <c r="G1287"/>
  <c r="C1287"/>
  <c r="L1286"/>
  <c r="H1286"/>
  <c r="D1286"/>
  <c r="M1285"/>
  <c r="I1285"/>
  <c r="E1285"/>
  <c r="A1285"/>
  <c r="J1284"/>
  <c r="F1284"/>
  <c r="B1284"/>
  <c r="K1283"/>
  <c r="G1283"/>
  <c r="C1283"/>
  <c r="L1282"/>
  <c r="H1282"/>
  <c r="D1282"/>
  <c r="M1281"/>
  <c r="I1281"/>
  <c r="E1281"/>
  <c r="A1281"/>
  <c r="J1280"/>
  <c r="F1280"/>
  <c r="B1280"/>
  <c r="K1279"/>
  <c r="G1279"/>
  <c r="C1279"/>
  <c r="L1278"/>
  <c r="H1278"/>
  <c r="D1278"/>
  <c r="M1277"/>
  <c r="I1277"/>
  <c r="E1277"/>
  <c r="A1277"/>
  <c r="J1276"/>
  <c r="F1276"/>
  <c r="B1276"/>
  <c r="K1275"/>
  <c r="G1275"/>
  <c r="C1275"/>
  <c r="L1274"/>
  <c r="H1274"/>
  <c r="D1274"/>
  <c r="M1273"/>
  <c r="I1273"/>
  <c r="E1273"/>
  <c r="A1273"/>
  <c r="J1272"/>
  <c r="F1272"/>
  <c r="B1272"/>
  <c r="K1271"/>
  <c r="G1271"/>
  <c r="C1271"/>
  <c r="L1270"/>
  <c r="H1270"/>
  <c r="D1270"/>
  <c r="M1269"/>
  <c r="I1269"/>
  <c r="E1269"/>
  <c r="A1269"/>
  <c r="J1268"/>
  <c r="F1268"/>
  <c r="B1268"/>
  <c r="K1267"/>
  <c r="G1267"/>
  <c r="C1267"/>
  <c r="L1266"/>
  <c r="H1266"/>
  <c r="D1266"/>
  <c r="M1265"/>
  <c r="I1265"/>
  <c r="E1265"/>
  <c r="A1265"/>
  <c r="J1264"/>
  <c r="F1264"/>
  <c r="B1264"/>
  <c r="K1263"/>
  <c r="G1263"/>
  <c r="C1263"/>
  <c r="L1262"/>
  <c r="H1262"/>
  <c r="D1262"/>
  <c r="M1261"/>
  <c r="I1261"/>
  <c r="E1261"/>
  <c r="A1261"/>
  <c r="J1260"/>
  <c r="F1260"/>
  <c r="B1260"/>
  <c r="K1259"/>
  <c r="G1259"/>
  <c r="C1259"/>
  <c r="L1258"/>
  <c r="H1258"/>
  <c r="D1258"/>
  <c r="M1257"/>
  <c r="I1257"/>
  <c r="E1257"/>
  <c r="A1257"/>
  <c r="J1256"/>
  <c r="F1256"/>
  <c r="B1256"/>
  <c r="K1255"/>
  <c r="G1255"/>
  <c r="C1255"/>
  <c r="L1254"/>
  <c r="H1254"/>
  <c r="D1254"/>
  <c r="M1253"/>
  <c r="I1253"/>
  <c r="E1253"/>
  <c r="A1253"/>
  <c r="J1252"/>
  <c r="F1252"/>
  <c r="B1252"/>
  <c r="K1251"/>
  <c r="G1251"/>
  <c r="C1251"/>
  <c r="L1250"/>
  <c r="H1250"/>
  <c r="D1250"/>
  <c r="M1249"/>
  <c r="I1249"/>
  <c r="E1249"/>
  <c r="A1249"/>
  <c r="J1248"/>
  <c r="F1248"/>
  <c r="B1248"/>
  <c r="K1247"/>
  <c r="G1247"/>
  <c r="C1247"/>
  <c r="L1246"/>
  <c r="H1246"/>
  <c r="D1246"/>
  <c r="M1245"/>
  <c r="I1245"/>
  <c r="E1245"/>
  <c r="A1245"/>
  <c r="J1244"/>
  <c r="F1244"/>
  <c r="B1244"/>
  <c r="K1243"/>
  <c r="G1243"/>
  <c r="C1243"/>
  <c r="L1242"/>
  <c r="H1242"/>
  <c r="D1242"/>
  <c r="M1241"/>
  <c r="I1241"/>
  <c r="E1241"/>
  <c r="A1241"/>
  <c r="J1240"/>
  <c r="F1240"/>
  <c r="B1240"/>
  <c r="K1239"/>
  <c r="G1239"/>
  <c r="C1239"/>
  <c r="L1238"/>
  <c r="H1238"/>
  <c r="D1238"/>
  <c r="M1237"/>
  <c r="I1237"/>
  <c r="E1237"/>
  <c r="A1237"/>
  <c r="J1236"/>
  <c r="F1236"/>
  <c r="B1236"/>
  <c r="K1235"/>
  <c r="G1235"/>
  <c r="C1235"/>
  <c r="L1234"/>
  <c r="H1234"/>
  <c r="D1234"/>
  <c r="M1233"/>
  <c r="I1233"/>
  <c r="E1233"/>
  <c r="A1233"/>
  <c r="J1232"/>
  <c r="F1232"/>
  <c r="B1232"/>
  <c r="K1231"/>
  <c r="G1231"/>
  <c r="C1231"/>
  <c r="L1230"/>
  <c r="H1230"/>
  <c r="D1230"/>
  <c r="M1229"/>
  <c r="I1229"/>
  <c r="E1229"/>
  <c r="A1229"/>
  <c r="J1228"/>
  <c r="F1228"/>
  <c r="B1228"/>
  <c r="K1227"/>
  <c r="G1227"/>
  <c r="C1227"/>
  <c r="L1226"/>
  <c r="H1226"/>
  <c r="D1226"/>
  <c r="M1225"/>
  <c r="I1225"/>
  <c r="E1225"/>
  <c r="A1225"/>
  <c r="J1224"/>
  <c r="F1224"/>
  <c r="B1224"/>
  <c r="K1223"/>
  <c r="G1223"/>
  <c r="C1223"/>
  <c r="L1222"/>
  <c r="H1222"/>
  <c r="D1222"/>
  <c r="M1221"/>
  <c r="I1221"/>
  <c r="E1221"/>
  <c r="A1221"/>
  <c r="J1220"/>
  <c r="F1220"/>
  <c r="B1220"/>
  <c r="K1219"/>
  <c r="G1219"/>
  <c r="C1219"/>
  <c r="L1218"/>
  <c r="H1218"/>
  <c r="D1218"/>
  <c r="M1217"/>
  <c r="I1217"/>
  <c r="E1217"/>
  <c r="A1217"/>
  <c r="J1216"/>
  <c r="F1216"/>
  <c r="B1216"/>
  <c r="K1215"/>
  <c r="G1215"/>
  <c r="C1215"/>
  <c r="L1214"/>
  <c r="H1214"/>
  <c r="D1214"/>
  <c r="M1213"/>
  <c r="I1213"/>
  <c r="E1213"/>
  <c r="A1213"/>
  <c r="J1212"/>
  <c r="F1212"/>
  <c r="B1212"/>
  <c r="K1211"/>
  <c r="G1211"/>
  <c r="C1211"/>
  <c r="L1210"/>
  <c r="H1210"/>
  <c r="D1210"/>
  <c r="M1209"/>
  <c r="I1209"/>
  <c r="E1209"/>
  <c r="A1209"/>
  <c r="J1208"/>
  <c r="F1208"/>
  <c r="B1208"/>
  <c r="K1207"/>
  <c r="G1207"/>
  <c r="C1207"/>
  <c r="L1206"/>
  <c r="H1206"/>
  <c r="D1206"/>
  <c r="M1205"/>
  <c r="I1205"/>
  <c r="E1205"/>
  <c r="A1205"/>
  <c r="J1204"/>
  <c r="F1204"/>
  <c r="B1204"/>
  <c r="K1203"/>
  <c r="G1203"/>
  <c r="C1203"/>
  <c r="L1202"/>
  <c r="H1202"/>
  <c r="D1202"/>
  <c r="M1201"/>
  <c r="I1201"/>
  <c r="E1201"/>
  <c r="A1201"/>
  <c r="J1200"/>
  <c r="F1200"/>
  <c r="B1200"/>
  <c r="K1199"/>
  <c r="G1199"/>
  <c r="C1199"/>
  <c r="L1198"/>
  <c r="H1198"/>
  <c r="D1198"/>
  <c r="M1197"/>
  <c r="I1197"/>
  <c r="E1197"/>
  <c r="A1197"/>
  <c r="J1196"/>
  <c r="F1196"/>
  <c r="B1196"/>
  <c r="K1195"/>
  <c r="G1195"/>
  <c r="C1195"/>
  <c r="L1194"/>
  <c r="H1194"/>
  <c r="D1194"/>
  <c r="M1193"/>
  <c r="I1193"/>
  <c r="E1193"/>
  <c r="A1193"/>
  <c r="J1192"/>
  <c r="F1192"/>
  <c r="B1192"/>
  <c r="K1191"/>
  <c r="G1191"/>
  <c r="C1191"/>
  <c r="L1190"/>
  <c r="H1190"/>
  <c r="D1190"/>
  <c r="M1189"/>
  <c r="I1189"/>
  <c r="E1189"/>
  <c r="A1189"/>
  <c r="J1188"/>
  <c r="F1188"/>
  <c r="B1188"/>
  <c r="K1187"/>
  <c r="G1187"/>
  <c r="C1187"/>
  <c r="L1186"/>
  <c r="H1186"/>
  <c r="D1186"/>
  <c r="M1185"/>
  <c r="I1185"/>
  <c r="E1185"/>
  <c r="A1185"/>
  <c r="J1184"/>
  <c r="F1184"/>
  <c r="B1184"/>
  <c r="K1183"/>
  <c r="G1183"/>
  <c r="C1183"/>
  <c r="L1182"/>
  <c r="H1182"/>
  <c r="D1182"/>
  <c r="M1181"/>
  <c r="I1181"/>
  <c r="E1181"/>
  <c r="A1181"/>
  <c r="J1180"/>
  <c r="F1180"/>
  <c r="B1180"/>
  <c r="K1179"/>
  <c r="G1179"/>
  <c r="C1179"/>
  <c r="L1178"/>
  <c r="H1178"/>
  <c r="D1178"/>
  <c r="M1177"/>
  <c r="I1177"/>
  <c r="E1177"/>
  <c r="A1177"/>
  <c r="J1176"/>
  <c r="F1176"/>
  <c r="B1176"/>
  <c r="K1175"/>
  <c r="G1175"/>
  <c r="C1175"/>
  <c r="L1174"/>
  <c r="H1174"/>
  <c r="D1174"/>
  <c r="M1173"/>
  <c r="I1173"/>
  <c r="E1173"/>
  <c r="A1173"/>
  <c r="J1172"/>
  <c r="F1172"/>
  <c r="B1172"/>
  <c r="K1171"/>
  <c r="G1171"/>
  <c r="C1171"/>
  <c r="L1170"/>
  <c r="H1170"/>
  <c r="D1170"/>
  <c r="M1169"/>
  <c r="I1169"/>
  <c r="E1169"/>
  <c r="A1169"/>
  <c r="J1168"/>
  <c r="F1168"/>
  <c r="B1168"/>
  <c r="K1167"/>
  <c r="G1167"/>
  <c r="C1167"/>
  <c r="L1166"/>
  <c r="H1166"/>
  <c r="D1166"/>
  <c r="M1165"/>
  <c r="I1165"/>
  <c r="E1165"/>
  <c r="A1165"/>
  <c r="J1164"/>
  <c r="F1164"/>
  <c r="B1164"/>
  <c r="K1163"/>
  <c r="G1163"/>
  <c r="C1163"/>
  <c r="L1162"/>
  <c r="H1162"/>
  <c r="D1162"/>
  <c r="M1161"/>
  <c r="I1161"/>
  <c r="E1161"/>
  <c r="A1161"/>
  <c r="J1160"/>
  <c r="F1160"/>
  <c r="B1160"/>
  <c r="K1159"/>
  <c r="G1159"/>
  <c r="C1159"/>
  <c r="L1158"/>
  <c r="H1158"/>
  <c r="D1158"/>
  <c r="M1157"/>
  <c r="I1157"/>
  <c r="E1157"/>
  <c r="A1157"/>
  <c r="J1156"/>
  <c r="F1156"/>
  <c r="B1156"/>
  <c r="K1155"/>
  <c r="G1155"/>
  <c r="C1155"/>
  <c r="L1154"/>
  <c r="H1154"/>
  <c r="D1154"/>
  <c r="M1153"/>
  <c r="I1153"/>
  <c r="E1153"/>
  <c r="A1153"/>
  <c r="J1152"/>
  <c r="F1152"/>
  <c r="B1152"/>
  <c r="K1151"/>
  <c r="G1151"/>
  <c r="C1151"/>
  <c r="L1150"/>
  <c r="H1150"/>
  <c r="D1150"/>
  <c r="M1149"/>
  <c r="I1149"/>
  <c r="E1149"/>
  <c r="A1149"/>
  <c r="J1148"/>
  <c r="F1148"/>
  <c r="B1148"/>
  <c r="K1147"/>
  <c r="G1147"/>
  <c r="C1147"/>
  <c r="L1146"/>
  <c r="H1146"/>
  <c r="D1146"/>
  <c r="M1145"/>
  <c r="I1145"/>
  <c r="E1145"/>
  <c r="A1145"/>
  <c r="J1144"/>
  <c r="F1144"/>
  <c r="B1144"/>
  <c r="K1143"/>
  <c r="G1143"/>
  <c r="C1143"/>
  <c r="L1142"/>
  <c r="H1142"/>
  <c r="D1142"/>
  <c r="M1141"/>
  <c r="I1141"/>
  <c r="E1141"/>
  <c r="A1141"/>
  <c r="J1140"/>
  <c r="F1140"/>
  <c r="B1140"/>
  <c r="K1139"/>
  <c r="G1139"/>
  <c r="C1139"/>
  <c r="L1138"/>
  <c r="H1138"/>
  <c r="D1138"/>
  <c r="M1137"/>
  <c r="I1137"/>
  <c r="E1137"/>
  <c r="A1137"/>
  <c r="J1136"/>
  <c r="F1136"/>
  <c r="B1136"/>
  <c r="K1135"/>
  <c r="G1135"/>
  <c r="C1135"/>
  <c r="L1134"/>
  <c r="H1134"/>
  <c r="D1134"/>
  <c r="M1133"/>
  <c r="I1133"/>
  <c r="E1133"/>
  <c r="A1133"/>
  <c r="J1132"/>
  <c r="F1132"/>
  <c r="B1132"/>
  <c r="K1131"/>
  <c r="G1131"/>
  <c r="C1131"/>
  <c r="L1130"/>
  <c r="H1130"/>
  <c r="D1130"/>
  <c r="M1129"/>
  <c r="I1129"/>
  <c r="E1129"/>
  <c r="A1129"/>
  <c r="J1128"/>
  <c r="F1128"/>
  <c r="B1128"/>
  <c r="K1127"/>
  <c r="G1127"/>
  <c r="C1127"/>
  <c r="L1126"/>
  <c r="H1126"/>
  <c r="D1126"/>
  <c r="M1125"/>
  <c r="I1125"/>
  <c r="E1125"/>
  <c r="A1125"/>
  <c r="J1124"/>
  <c r="F1124"/>
  <c r="B1124"/>
  <c r="K1123"/>
  <c r="G1123"/>
  <c r="C1123"/>
  <c r="L1122"/>
  <c r="H1122"/>
  <c r="D1122"/>
  <c r="M1121"/>
  <c r="I1121"/>
  <c r="E1121"/>
  <c r="A1121"/>
  <c r="J1120"/>
  <c r="F1120"/>
  <c r="B1120"/>
  <c r="K1119"/>
  <c r="G1119"/>
  <c r="C1119"/>
  <c r="L1118"/>
  <c r="H1118"/>
  <c r="D1118"/>
  <c r="M1117"/>
  <c r="I1117"/>
  <c r="E1117"/>
  <c r="A1117"/>
  <c r="J1116"/>
  <c r="F1116"/>
  <c r="B1116"/>
  <c r="K1115"/>
  <c r="G1115"/>
  <c r="C1115"/>
  <c r="L1114"/>
  <c r="H1114"/>
  <c r="D1114"/>
  <c r="M1113"/>
  <c r="I1113"/>
  <c r="E1113"/>
  <c r="A1113"/>
  <c r="J1112"/>
  <c r="F1112"/>
  <c r="B1112"/>
  <c r="K1111"/>
  <c r="G1111"/>
  <c r="C1111"/>
  <c r="L1110"/>
  <c r="H1110"/>
  <c r="D1110"/>
  <c r="M1109"/>
  <c r="I1109"/>
  <c r="E1109"/>
  <c r="A1109"/>
  <c r="J1108"/>
  <c r="F1108"/>
  <c r="B1108"/>
  <c r="K1107"/>
  <c r="G1107"/>
  <c r="C1107"/>
  <c r="L1106"/>
  <c r="H1106"/>
  <c r="D1106"/>
  <c r="M1105"/>
  <c r="I1105"/>
  <c r="E1105"/>
  <c r="A1105"/>
  <c r="J1104"/>
  <c r="F1104"/>
  <c r="B1104"/>
  <c r="K1103"/>
  <c r="G1103"/>
  <c r="C1103"/>
  <c r="L1102"/>
  <c r="H1102"/>
  <c r="D1102"/>
  <c r="M1101"/>
  <c r="I1101"/>
  <c r="E1101"/>
  <c r="A1101"/>
  <c r="J1100"/>
  <c r="F1100"/>
  <c r="B1100"/>
  <c r="K1099"/>
  <c r="G1099"/>
  <c r="C1099"/>
  <c r="L1098"/>
  <c r="H1098"/>
  <c r="D1098"/>
  <c r="M1097"/>
  <c r="I1097"/>
  <c r="E1097"/>
  <c r="A1097"/>
  <c r="J1096"/>
  <c r="F1096"/>
  <c r="B1096"/>
  <c r="K1095"/>
  <c r="G1095"/>
  <c r="C1095"/>
  <c r="L1094"/>
  <c r="H1094"/>
  <c r="D1094"/>
  <c r="M1093"/>
  <c r="I1093"/>
  <c r="E1093"/>
  <c r="A1093"/>
  <c r="J1092"/>
  <c r="F1092"/>
  <c r="B1092"/>
  <c r="K1091"/>
  <c r="G1091"/>
  <c r="C1091"/>
  <c r="L1090"/>
  <c r="H1090"/>
  <c r="D1090"/>
  <c r="M1089"/>
  <c r="I1089"/>
  <c r="E1089"/>
  <c r="A1089"/>
  <c r="J1088"/>
  <c r="F1088"/>
  <c r="B1088"/>
  <c r="K1087"/>
  <c r="G1087"/>
  <c r="C1087"/>
  <c r="L1086"/>
  <c r="H1086"/>
  <c r="D1086"/>
  <c r="M1085"/>
  <c r="I1085"/>
  <c r="E1085"/>
  <c r="A1085"/>
  <c r="J1084"/>
  <c r="F1084"/>
  <c r="B1084"/>
  <c r="K1083"/>
  <c r="G1083"/>
  <c r="C1083"/>
  <c r="L1082"/>
  <c r="H1082"/>
  <c r="D1082"/>
  <c r="M1081"/>
  <c r="I1081"/>
  <c r="E1081"/>
  <c r="A1081"/>
  <c r="J1080"/>
  <c r="F1080"/>
  <c r="B1080"/>
  <c r="K1079"/>
  <c r="G1079"/>
  <c r="C1079"/>
  <c r="L1078"/>
  <c r="H1078"/>
  <c r="D1078"/>
  <c r="M1077"/>
  <c r="I1077"/>
  <c r="E1077"/>
  <c r="A1077"/>
  <c r="J1076"/>
  <c r="F1076"/>
  <c r="B1076"/>
  <c r="K1075"/>
  <c r="G1075"/>
  <c r="C1075"/>
  <c r="L1074"/>
  <c r="H1074"/>
  <c r="D1074"/>
  <c r="M1073"/>
  <c r="I1073"/>
  <c r="E1073"/>
  <c r="A1073"/>
  <c r="J1072"/>
  <c r="F1072"/>
  <c r="B1072"/>
  <c r="K1071"/>
  <c r="G1071"/>
  <c r="C1071"/>
  <c r="L1070"/>
  <c r="H1070"/>
  <c r="D1070"/>
  <c r="M1069"/>
  <c r="I1069"/>
  <c r="E1069"/>
  <c r="A1069"/>
  <c r="J1068"/>
  <c r="F1068"/>
  <c r="B1068"/>
  <c r="K1067"/>
  <c r="G1067"/>
  <c r="C1067"/>
  <c r="L1066"/>
  <c r="H1066"/>
  <c r="D1066"/>
  <c r="M1065"/>
  <c r="I1065"/>
  <c r="E1065"/>
  <c r="A1065"/>
  <c r="J1064"/>
  <c r="F1064"/>
  <c r="B1064"/>
  <c r="K1063"/>
  <c r="G1063"/>
  <c r="C1063"/>
  <c r="L1062"/>
  <c r="H1062"/>
  <c r="D1062"/>
  <c r="M1061"/>
  <c r="I1061"/>
  <c r="E1061"/>
  <c r="A1061"/>
  <c r="J1060"/>
  <c r="F1060"/>
  <c r="B1060"/>
  <c r="K1059"/>
  <c r="G1059"/>
  <c r="C1059"/>
  <c r="L1058"/>
  <c r="H1058"/>
  <c r="D1058"/>
  <c r="M1057"/>
  <c r="I1057"/>
  <c r="E1057"/>
  <c r="A1057"/>
  <c r="J1056"/>
  <c r="F1056"/>
  <c r="B1056"/>
  <c r="K1055"/>
  <c r="G1055"/>
  <c r="C1055"/>
  <c r="L1054"/>
  <c r="H1054"/>
  <c r="D1054"/>
  <c r="M1053"/>
  <c r="I1053"/>
  <c r="E1053"/>
  <c r="A1053"/>
  <c r="J1052"/>
  <c r="F1052"/>
  <c r="B1052"/>
  <c r="K1051"/>
  <c r="G1051"/>
  <c r="C1051"/>
  <c r="L1050"/>
  <c r="H1050"/>
  <c r="D1050"/>
  <c r="M1049"/>
  <c r="I1049"/>
  <c r="E1049"/>
  <c r="A1049"/>
  <c r="J1048"/>
  <c r="F1048"/>
  <c r="B1048"/>
  <c r="K1047"/>
  <c r="G1047"/>
  <c r="C1047"/>
  <c r="L1046"/>
  <c r="H1046"/>
  <c r="D1046"/>
  <c r="M1045"/>
  <c r="I1045"/>
  <c r="E1045"/>
  <c r="A1045"/>
  <c r="J1044"/>
  <c r="F1044"/>
  <c r="B1044"/>
  <c r="K1043"/>
  <c r="G1043"/>
  <c r="C1043"/>
  <c r="L1042"/>
  <c r="H1042"/>
  <c r="D1042"/>
  <c r="M1041"/>
  <c r="I1041"/>
  <c r="E1041"/>
  <c r="A1041"/>
  <c r="J1040"/>
  <c r="F1040"/>
  <c r="B1040"/>
  <c r="K1039"/>
  <c r="G1039"/>
  <c r="C1039"/>
  <c r="L1038"/>
  <c r="H1038"/>
  <c r="D1038"/>
  <c r="M1037"/>
  <c r="I1037"/>
  <c r="E1037"/>
  <c r="A1037"/>
  <c r="J1036"/>
  <c r="F1036"/>
  <c r="B1036"/>
  <c r="K1035"/>
  <c r="G1035"/>
  <c r="C1035"/>
  <c r="L1034"/>
  <c r="H1034"/>
  <c r="D1034"/>
  <c r="M1033"/>
  <c r="I1033"/>
  <c r="E1033"/>
  <c r="A1033"/>
  <c r="J1032"/>
  <c r="F1032"/>
  <c r="B1032"/>
  <c r="K1031"/>
  <c r="G1031"/>
  <c r="C1031"/>
  <c r="L1030"/>
  <c r="H1030"/>
  <c r="D1030"/>
  <c r="M1029"/>
  <c r="I1029"/>
  <c r="E1029"/>
  <c r="A1029"/>
  <c r="J1028"/>
  <c r="F1028"/>
  <c r="B1028"/>
  <c r="K1027"/>
  <c r="G1027"/>
  <c r="C1027"/>
  <c r="L1026"/>
  <c r="H1026"/>
  <c r="D1026"/>
  <c r="M1025"/>
  <c r="I1025"/>
  <c r="E1025"/>
  <c r="A1025"/>
  <c r="J1024"/>
  <c r="F1024"/>
  <c r="B1024"/>
  <c r="K1023"/>
  <c r="G1023"/>
  <c r="C1023"/>
  <c r="L1022"/>
  <c r="H1022"/>
  <c r="D1022"/>
  <c r="M1021"/>
  <c r="I1021"/>
  <c r="E1021"/>
  <c r="A1021"/>
  <c r="J1020"/>
  <c r="F1020"/>
  <c r="B1020"/>
  <c r="K1019"/>
  <c r="G1019"/>
  <c r="C1019"/>
  <c r="L1018"/>
  <c r="H1018"/>
  <c r="D1018"/>
  <c r="M1017"/>
  <c r="I1017"/>
  <c r="E1017"/>
  <c r="A1017"/>
  <c r="J1016"/>
  <c r="F1016"/>
  <c r="B1016"/>
  <c r="K1015"/>
  <c r="G1015"/>
  <c r="C1015"/>
  <c r="L1014"/>
  <c r="H1014"/>
  <c r="D1014"/>
  <c r="M1013"/>
  <c r="I1013"/>
  <c r="E1013"/>
  <c r="E26" i="3"/>
  <c r="J25"/>
  <c r="B25"/>
  <c r="G24"/>
  <c r="L23"/>
  <c r="D23"/>
  <c r="I22"/>
  <c r="A22"/>
  <c r="J21"/>
  <c r="F21"/>
  <c r="B21"/>
  <c r="K20"/>
  <c r="G20"/>
  <c r="C20"/>
  <c r="L19"/>
  <c r="H19"/>
  <c r="D19"/>
  <c r="M18"/>
  <c r="I18"/>
  <c r="E18"/>
  <c r="A18"/>
  <c r="J17"/>
  <c r="F17"/>
  <c r="B17"/>
  <c r="K16"/>
  <c r="G16"/>
  <c r="C16"/>
  <c r="L15"/>
  <c r="H15"/>
  <c r="D15"/>
  <c r="M14"/>
  <c r="I14"/>
  <c r="E14"/>
  <c r="A14"/>
  <c r="J13"/>
  <c r="F13"/>
  <c r="B13"/>
  <c r="K12"/>
  <c r="G12"/>
  <c r="C12"/>
  <c r="L11"/>
  <c r="H11"/>
  <c r="D11"/>
  <c r="M10"/>
  <c r="I10"/>
  <c r="E10"/>
  <c r="A10"/>
  <c r="J9"/>
  <c r="F9"/>
  <c r="B9"/>
  <c r="K8"/>
  <c r="G8"/>
  <c r="C8"/>
  <c r="L7"/>
  <c r="H7"/>
  <c r="D7"/>
  <c r="M6"/>
  <c r="I6"/>
  <c r="E6"/>
  <c r="A6"/>
  <c r="J5"/>
  <c r="F5"/>
  <c r="B5"/>
  <c r="K4"/>
  <c r="G4"/>
  <c r="C4"/>
  <c r="L3"/>
  <c r="H3"/>
  <c r="D3"/>
  <c r="M2"/>
  <c r="I2"/>
  <c r="E2"/>
  <c r="A2"/>
  <c r="J1"/>
  <c r="F1"/>
  <c r="B1"/>
  <c r="K1304" i="2"/>
  <c r="G1304"/>
  <c r="C1304"/>
  <c r="L1303"/>
  <c r="H1303"/>
  <c r="D1303"/>
  <c r="M1302"/>
  <c r="I1302"/>
  <c r="E1302"/>
  <c r="A1302"/>
  <c r="J1301"/>
  <c r="F1301"/>
  <c r="B1301"/>
  <c r="K1300"/>
  <c r="G1300"/>
  <c r="C1300"/>
  <c r="L1299"/>
  <c r="H1299"/>
  <c r="D1299"/>
  <c r="M1298"/>
  <c r="I1298"/>
  <c r="E1298"/>
  <c r="A1298"/>
  <c r="J1297"/>
  <c r="F1297"/>
  <c r="B1297"/>
  <c r="K1296"/>
  <c r="G1296"/>
  <c r="C1296"/>
  <c r="L1295"/>
  <c r="H1295"/>
  <c r="D1295"/>
  <c r="M1294"/>
  <c r="I1294"/>
  <c r="E1294"/>
  <c r="A1294"/>
  <c r="J1293"/>
  <c r="F1293"/>
  <c r="B1293"/>
  <c r="K1292"/>
  <c r="G1292"/>
  <c r="C1292"/>
  <c r="L1291"/>
  <c r="H1291"/>
  <c r="D1291"/>
  <c r="M1290"/>
  <c r="I1290"/>
  <c r="E1290"/>
  <c r="A1290"/>
  <c r="J1289"/>
  <c r="F1289"/>
  <c r="B1289"/>
  <c r="K1288"/>
  <c r="G1288"/>
  <c r="C1288"/>
  <c r="L1287"/>
  <c r="H1287"/>
  <c r="D1287"/>
  <c r="M1286"/>
  <c r="I1286"/>
  <c r="E1286"/>
  <c r="A1286"/>
  <c r="J1285"/>
  <c r="F1285"/>
  <c r="B1285"/>
  <c r="K1284"/>
  <c r="G1284"/>
  <c r="C1284"/>
  <c r="L1283"/>
  <c r="H1283"/>
  <c r="D1283"/>
  <c r="M1282"/>
  <c r="I1282"/>
  <c r="E1282"/>
  <c r="A1282"/>
  <c r="J1281"/>
  <c r="F1281"/>
  <c r="B1281"/>
  <c r="K1280"/>
  <c r="G1280"/>
  <c r="C1280"/>
  <c r="L1279"/>
  <c r="H1279"/>
  <c r="D1279"/>
  <c r="M1278"/>
  <c r="I1278"/>
  <c r="E1278"/>
  <c r="A1278"/>
  <c r="J1277"/>
  <c r="F1277"/>
  <c r="B1277"/>
  <c r="K1276"/>
  <c r="G1276"/>
  <c r="C1276"/>
  <c r="L1275"/>
  <c r="H1275"/>
  <c r="D1275"/>
  <c r="M1274"/>
  <c r="I1274"/>
  <c r="E1274"/>
  <c r="A1274"/>
  <c r="J1273"/>
  <c r="F1273"/>
  <c r="B1273"/>
  <c r="K1272"/>
  <c r="G1272"/>
  <c r="C1272"/>
  <c r="L1271"/>
  <c r="H1271"/>
  <c r="D1271"/>
  <c r="M1270"/>
  <c r="I1270"/>
  <c r="E1270"/>
  <c r="A1270"/>
  <c r="J1269"/>
  <c r="F1269"/>
  <c r="B1269"/>
  <c r="K1268"/>
  <c r="G1268"/>
  <c r="C1268"/>
  <c r="L1267"/>
  <c r="H1267"/>
  <c r="D1267"/>
  <c r="M1266"/>
  <c r="I1266"/>
  <c r="E1266"/>
  <c r="A1266"/>
  <c r="J1265"/>
  <c r="F1265"/>
  <c r="B1265"/>
  <c r="K1264"/>
  <c r="G1264"/>
  <c r="C1264"/>
  <c r="L1263"/>
  <c r="H1263"/>
  <c r="D1263"/>
  <c r="M1262"/>
  <c r="I1262"/>
  <c r="E1262"/>
  <c r="A1262"/>
  <c r="J1261"/>
  <c r="F1261"/>
  <c r="B1261"/>
  <c r="K1260"/>
  <c r="G1260"/>
  <c r="C1260"/>
  <c r="L1259"/>
  <c r="H1259"/>
  <c r="D1259"/>
  <c r="M1258"/>
  <c r="I1258"/>
  <c r="E1258"/>
  <c r="A1258"/>
  <c r="J1257"/>
  <c r="F1257"/>
  <c r="B1257"/>
  <c r="K1256"/>
  <c r="G1256"/>
  <c r="C1256"/>
  <c r="L1255"/>
  <c r="H1255"/>
  <c r="D1255"/>
  <c r="M1254"/>
  <c r="I1254"/>
  <c r="E1254"/>
  <c r="A1254"/>
  <c r="J1253"/>
  <c r="F1253"/>
  <c r="B1253"/>
  <c r="K1252"/>
  <c r="G1252"/>
  <c r="C1252"/>
  <c r="L1251"/>
  <c r="H1251"/>
  <c r="D1251"/>
  <c r="M1250"/>
  <c r="I1250"/>
  <c r="E1250"/>
  <c r="A1250"/>
  <c r="J1249"/>
  <c r="F1249"/>
  <c r="B1249"/>
  <c r="K1248"/>
  <c r="G1248"/>
  <c r="C1248"/>
  <c r="L1247"/>
  <c r="H1247"/>
  <c r="D1247"/>
  <c r="M1246"/>
  <c r="I1246"/>
  <c r="E1246"/>
  <c r="A1246"/>
  <c r="J1245"/>
  <c r="F1245"/>
  <c r="B1245"/>
  <c r="K1244"/>
  <c r="G1244"/>
  <c r="C1244"/>
  <c r="L1243"/>
  <c r="H1243"/>
  <c r="D1243"/>
  <c r="M1242"/>
  <c r="I1242"/>
  <c r="E1242"/>
  <c r="A1242"/>
  <c r="J1241"/>
  <c r="F1241"/>
  <c r="B1241"/>
  <c r="K1240"/>
  <c r="G1240"/>
  <c r="C1240"/>
  <c r="L1239"/>
  <c r="H1239"/>
  <c r="D1239"/>
  <c r="M1238"/>
  <c r="I1238"/>
  <c r="E1238"/>
  <c r="A1238"/>
  <c r="J1237"/>
  <c r="F1237"/>
  <c r="B1237"/>
  <c r="K1236"/>
  <c r="G1236"/>
  <c r="C1236"/>
  <c r="L1235"/>
  <c r="H1235"/>
  <c r="D1235"/>
  <c r="M1234"/>
  <c r="I1234"/>
  <c r="E1234"/>
  <c r="A1234"/>
  <c r="J1233"/>
  <c r="F1233"/>
  <c r="B1233"/>
  <c r="K1232"/>
  <c r="G1232"/>
  <c r="C1232"/>
  <c r="L1231"/>
  <c r="H1231"/>
  <c r="D1231"/>
  <c r="M1230"/>
  <c r="I1230"/>
  <c r="E1230"/>
  <c r="A1230"/>
  <c r="J1229"/>
  <c r="F1229"/>
  <c r="B1229"/>
  <c r="K1228"/>
  <c r="G1228"/>
  <c r="C1228"/>
  <c r="L1227"/>
  <c r="H1227"/>
  <c r="D1227"/>
  <c r="M1226"/>
  <c r="I1226"/>
  <c r="E1226"/>
  <c r="A1226"/>
  <c r="J1225"/>
  <c r="F1225"/>
  <c r="B1225"/>
  <c r="K1224"/>
  <c r="G1224"/>
  <c r="C1224"/>
  <c r="L1223"/>
  <c r="H1223"/>
  <c r="D1223"/>
  <c r="M1222"/>
  <c r="I1222"/>
  <c r="E1222"/>
  <c r="A1222"/>
  <c r="J1221"/>
  <c r="F1221"/>
  <c r="B1221"/>
  <c r="K1220"/>
  <c r="G1220"/>
  <c r="C1220"/>
  <c r="L1219"/>
  <c r="H1219"/>
  <c r="D1219"/>
  <c r="M1218"/>
  <c r="I1218"/>
  <c r="E1218"/>
  <c r="A1218"/>
  <c r="J1217"/>
  <c r="F1217"/>
  <c r="B1217"/>
  <c r="K1216"/>
  <c r="G1216"/>
  <c r="C1216"/>
  <c r="L1215"/>
  <c r="H1215"/>
  <c r="D1215"/>
  <c r="M1214"/>
  <c r="I1214"/>
  <c r="E1214"/>
  <c r="A1214"/>
  <c r="J1213"/>
  <c r="F1213"/>
  <c r="B1213"/>
  <c r="K1212"/>
  <c r="G1212"/>
  <c r="C1212"/>
  <c r="L1211"/>
  <c r="H1211"/>
  <c r="D1211"/>
  <c r="M1210"/>
  <c r="I1210"/>
  <c r="E1210"/>
  <c r="A1210"/>
  <c r="J1209"/>
  <c r="F1209"/>
  <c r="B1209"/>
  <c r="K1208"/>
  <c r="G1208"/>
  <c r="C1208"/>
  <c r="L1207"/>
  <c r="H1207"/>
  <c r="D1207"/>
  <c r="M1206"/>
  <c r="I1206"/>
  <c r="E1206"/>
  <c r="A1206"/>
  <c r="J1205"/>
  <c r="F1205"/>
  <c r="B1205"/>
  <c r="K1204"/>
  <c r="G1204"/>
  <c r="C1204"/>
  <c r="L1203"/>
  <c r="H1203"/>
  <c r="D1203"/>
  <c r="M1202"/>
  <c r="I1202"/>
  <c r="E1202"/>
  <c r="A1202"/>
  <c r="J1201"/>
  <c r="F1201"/>
  <c r="B1201"/>
  <c r="K1200"/>
  <c r="G1200"/>
  <c r="C1200"/>
  <c r="L1199"/>
  <c r="H1199"/>
  <c r="D1199"/>
  <c r="M1198"/>
  <c r="I1198"/>
  <c r="E1198"/>
  <c r="A1198"/>
  <c r="J1197"/>
  <c r="F1197"/>
  <c r="B1197"/>
  <c r="K1196"/>
  <c r="G1196"/>
  <c r="C1196"/>
  <c r="L1195"/>
  <c r="H1195"/>
  <c r="D1195"/>
  <c r="M1194"/>
  <c r="I1194"/>
  <c r="E1194"/>
  <c r="A1194"/>
  <c r="J1193"/>
  <c r="F1193"/>
  <c r="B1193"/>
  <c r="K1192"/>
  <c r="G1192"/>
  <c r="C1192"/>
  <c r="L1191"/>
  <c r="H1191"/>
  <c r="D1191"/>
  <c r="M1190"/>
  <c r="I1190"/>
  <c r="E1190"/>
  <c r="A1190"/>
  <c r="J1189"/>
  <c r="F1189"/>
  <c r="B1189"/>
  <c r="K1188"/>
  <c r="G1188"/>
  <c r="C1188"/>
  <c r="L1187"/>
  <c r="H1187"/>
  <c r="D1187"/>
  <c r="M1186"/>
  <c r="I1186"/>
  <c r="E1186"/>
  <c r="A1186"/>
  <c r="J1185"/>
  <c r="F1185"/>
  <c r="B1185"/>
  <c r="K1184"/>
  <c r="G1184"/>
  <c r="C1184"/>
  <c r="L1183"/>
  <c r="H1183"/>
  <c r="D1183"/>
  <c r="M1182"/>
  <c r="I1182"/>
  <c r="E1182"/>
  <c r="A1182"/>
  <c r="J1181"/>
  <c r="F1181"/>
  <c r="B1181"/>
  <c r="K1180"/>
  <c r="G1180"/>
  <c r="C1180"/>
  <c r="L1179"/>
  <c r="H1179"/>
  <c r="D1179"/>
  <c r="M1178"/>
  <c r="I1178"/>
  <c r="E1178"/>
  <c r="A1178"/>
  <c r="J1177"/>
  <c r="F1177"/>
  <c r="B1177"/>
  <c r="K1176"/>
  <c r="G1176"/>
  <c r="C1176"/>
  <c r="L1175"/>
  <c r="H1175"/>
  <c r="D1175"/>
  <c r="M1174"/>
  <c r="I1174"/>
  <c r="E1174"/>
  <c r="A1174"/>
  <c r="J1173"/>
  <c r="F1173"/>
  <c r="B1173"/>
  <c r="K1172"/>
  <c r="G1172"/>
  <c r="C1172"/>
  <c r="L1171"/>
  <c r="H1171"/>
  <c r="D1171"/>
  <c r="M1170"/>
  <c r="I1170"/>
  <c r="E1170"/>
  <c r="A1170"/>
  <c r="J1169"/>
  <c r="F1169"/>
  <c r="B1169"/>
  <c r="K1168"/>
  <c r="G1168"/>
  <c r="C1168"/>
  <c r="L1167"/>
  <c r="H1167"/>
  <c r="D1167"/>
  <c r="M1166"/>
  <c r="I1166"/>
  <c r="E1166"/>
  <c r="A1166"/>
  <c r="J1165"/>
  <c r="F1165"/>
  <c r="B1165"/>
  <c r="K1164"/>
  <c r="G1164"/>
  <c r="C1164"/>
  <c r="L1163"/>
  <c r="H1163"/>
  <c r="D1163"/>
  <c r="M1162"/>
  <c r="I1162"/>
  <c r="E1162"/>
  <c r="A1162"/>
  <c r="J1161"/>
  <c r="F1161"/>
  <c r="B1161"/>
  <c r="K1160"/>
  <c r="G1160"/>
  <c r="C1160"/>
  <c r="L1159"/>
  <c r="H1159"/>
  <c r="D1159"/>
  <c r="M1158"/>
  <c r="I1158"/>
  <c r="E1158"/>
  <c r="A1158"/>
  <c r="J1157"/>
  <c r="F1157"/>
  <c r="B1157"/>
  <c r="K1156"/>
  <c r="G1156"/>
  <c r="C1156"/>
  <c r="L1155"/>
  <c r="H1155"/>
  <c r="D1155"/>
  <c r="M1154"/>
  <c r="I1154"/>
  <c r="E1154"/>
  <c r="A1154"/>
  <c r="J1153"/>
  <c r="F1153"/>
  <c r="B1153"/>
  <c r="K1152"/>
  <c r="G1152"/>
  <c r="C1152"/>
  <c r="L1151"/>
  <c r="H1151"/>
  <c r="D1151"/>
  <c r="M1150"/>
  <c r="I1150"/>
  <c r="E1150"/>
  <c r="A1150"/>
  <c r="J1149"/>
  <c r="F1149"/>
  <c r="B1149"/>
  <c r="K1148"/>
  <c r="G1148"/>
  <c r="C1148"/>
  <c r="L1147"/>
  <c r="H1147"/>
  <c r="D1147"/>
  <c r="M1146"/>
  <c r="I1146"/>
  <c r="E1146"/>
  <c r="A1146"/>
  <c r="J1145"/>
  <c r="F1145"/>
  <c r="B1145"/>
  <c r="K1144"/>
  <c r="G1144"/>
  <c r="C1144"/>
  <c r="L1143"/>
  <c r="H1143"/>
  <c r="D1143"/>
  <c r="M1142"/>
  <c r="I1142"/>
  <c r="E1142"/>
  <c r="A1142"/>
  <c r="J1141"/>
  <c r="F1141"/>
  <c r="B1141"/>
  <c r="K1140"/>
  <c r="G1140"/>
  <c r="C1140"/>
  <c r="L1139"/>
  <c r="H1139"/>
  <c r="D1139"/>
  <c r="M1138"/>
  <c r="I1138"/>
  <c r="E1138"/>
  <c r="A1138"/>
  <c r="J1137"/>
  <c r="F1137"/>
  <c r="B1137"/>
  <c r="K1136"/>
  <c r="G1136"/>
  <c r="C1136"/>
  <c r="L1135"/>
  <c r="H1135"/>
  <c r="D1135"/>
  <c r="M1134"/>
  <c r="I1134"/>
  <c r="E1134"/>
  <c r="A1134"/>
  <c r="J1133"/>
  <c r="F1133"/>
  <c r="B1133"/>
  <c r="K1132"/>
  <c r="G1132"/>
  <c r="C1132"/>
  <c r="L1131"/>
  <c r="H1131"/>
  <c r="D1131"/>
  <c r="M1130"/>
  <c r="I1130"/>
  <c r="E1130"/>
  <c r="A1130"/>
  <c r="J1129"/>
  <c r="F1129"/>
  <c r="B1129"/>
  <c r="K1128"/>
  <c r="G1128"/>
  <c r="C1128"/>
  <c r="L1127"/>
  <c r="H1127"/>
  <c r="D1127"/>
  <c r="M1126"/>
  <c r="I1126"/>
  <c r="E1126"/>
  <c r="A1126"/>
  <c r="J1125"/>
  <c r="F1125"/>
  <c r="B1125"/>
  <c r="K1124"/>
  <c r="G1124"/>
  <c r="C1124"/>
  <c r="L1123"/>
  <c r="H1123"/>
  <c r="D1123"/>
  <c r="M1122"/>
  <c r="I1122"/>
  <c r="E1122"/>
  <c r="A1122"/>
  <c r="J1121"/>
  <c r="F1121"/>
  <c r="B1121"/>
  <c r="K1120"/>
  <c r="G1120"/>
  <c r="C1120"/>
  <c r="L1119"/>
  <c r="H1119"/>
  <c r="D1119"/>
  <c r="M1118"/>
  <c r="I1118"/>
  <c r="E1118"/>
  <c r="A1118"/>
  <c r="J1117"/>
  <c r="F1117"/>
  <c r="B1117"/>
  <c r="K1116"/>
  <c r="G1116"/>
  <c r="C1116"/>
  <c r="L1115"/>
  <c r="H1115"/>
  <c r="D1115"/>
  <c r="M1114"/>
  <c r="I1114"/>
  <c r="E1114"/>
  <c r="A1114"/>
  <c r="J1113"/>
  <c r="F1113"/>
  <c r="B1113"/>
  <c r="K1112"/>
  <c r="G1112"/>
  <c r="C1112"/>
  <c r="L1111"/>
  <c r="H1111"/>
  <c r="D1111"/>
  <c r="M1110"/>
  <c r="I1110"/>
  <c r="E1110"/>
  <c r="A1110"/>
  <c r="J1109"/>
  <c r="F1109"/>
  <c r="B1109"/>
  <c r="K1108"/>
  <c r="G1108"/>
  <c r="C1108"/>
  <c r="L1107"/>
  <c r="H1107"/>
  <c r="D1107"/>
  <c r="M1106"/>
  <c r="I1106"/>
  <c r="E1106"/>
  <c r="A1106"/>
  <c r="J1105"/>
  <c r="F1105"/>
  <c r="B1105"/>
  <c r="K1104"/>
  <c r="G1104"/>
  <c r="C1104"/>
  <c r="L1103"/>
  <c r="H1103"/>
  <c r="D1103"/>
  <c r="M1102"/>
  <c r="I1102"/>
  <c r="E1102"/>
  <c r="A1102"/>
  <c r="J1101"/>
  <c r="F1101"/>
  <c r="B1101"/>
  <c r="K1100"/>
  <c r="G1100"/>
  <c r="C1100"/>
  <c r="L1099"/>
  <c r="H1099"/>
  <c r="D1099"/>
  <c r="M1098"/>
  <c r="I1098"/>
  <c r="E1098"/>
  <c r="A1098"/>
  <c r="J1097"/>
  <c r="F1097"/>
  <c r="B1097"/>
  <c r="K1096"/>
  <c r="G1096"/>
  <c r="C1096"/>
  <c r="L1095"/>
  <c r="H1095"/>
  <c r="D1095"/>
  <c r="M1094"/>
  <c r="I1094"/>
  <c r="E1094"/>
  <c r="A1094"/>
  <c r="J1093"/>
  <c r="F1093"/>
  <c r="B1093"/>
  <c r="K1092"/>
  <c r="G1092"/>
  <c r="C1092"/>
  <c r="L1091"/>
  <c r="H1091"/>
  <c r="D1091"/>
  <c r="M1090"/>
  <c r="I1090"/>
  <c r="E1090"/>
  <c r="A1090"/>
  <c r="J1089"/>
  <c r="F1089"/>
  <c r="B1089"/>
  <c r="K1088"/>
  <c r="G1088"/>
  <c r="C1088"/>
  <c r="L1087"/>
  <c r="H1087"/>
  <c r="D1087"/>
  <c r="M1086"/>
  <c r="I1086"/>
  <c r="E1086"/>
  <c r="A1086"/>
  <c r="J1085"/>
  <c r="F1085"/>
  <c r="B1085"/>
  <c r="K1084"/>
  <c r="G1084"/>
  <c r="C1084"/>
  <c r="L1083"/>
  <c r="H1083"/>
  <c r="D1083"/>
  <c r="M1082"/>
  <c r="I1082"/>
  <c r="E1082"/>
  <c r="A1082"/>
  <c r="J1081"/>
  <c r="F1081"/>
  <c r="B1081"/>
  <c r="K1080"/>
  <c r="G1080"/>
  <c r="C1080"/>
  <c r="L1079"/>
  <c r="H1079"/>
  <c r="D1079"/>
  <c r="M1078"/>
  <c r="I1078"/>
  <c r="E1078"/>
  <c r="A1078"/>
  <c r="J1077"/>
  <c r="F1077"/>
  <c r="B1077"/>
  <c r="K1076"/>
  <c r="G1076"/>
  <c r="C1076"/>
  <c r="L1075"/>
  <c r="H1075"/>
  <c r="D1075"/>
  <c r="M1074"/>
  <c r="I1074"/>
  <c r="E1074"/>
  <c r="A1074"/>
  <c r="J1073"/>
  <c r="F1073"/>
  <c r="B1073"/>
  <c r="K1072"/>
  <c r="G1072"/>
  <c r="C1072"/>
  <c r="L1071"/>
  <c r="H1071"/>
  <c r="D1071"/>
  <c r="M1070"/>
  <c r="I1070"/>
  <c r="E1070"/>
  <c r="A1070"/>
  <c r="J1069"/>
  <c r="F1069"/>
  <c r="B1069"/>
  <c r="K1068"/>
  <c r="G1068"/>
  <c r="C1068"/>
  <c r="L1067"/>
  <c r="H1067"/>
  <c r="D1067"/>
  <c r="M1066"/>
  <c r="I1066"/>
  <c r="E1066"/>
  <c r="A1066"/>
  <c r="J1065"/>
  <c r="F1065"/>
  <c r="B1065"/>
  <c r="K1064"/>
  <c r="G1064"/>
  <c r="C1064"/>
  <c r="L1063"/>
  <c r="H1063"/>
  <c r="D1063"/>
  <c r="M1062"/>
  <c r="I1062"/>
  <c r="E1062"/>
  <c r="A1062"/>
  <c r="J1061"/>
  <c r="F1061"/>
  <c r="B1061"/>
  <c r="K1060"/>
  <c r="G1060"/>
  <c r="C1060"/>
  <c r="L1059"/>
  <c r="H1059"/>
  <c r="D1059"/>
  <c r="M1058"/>
  <c r="I1058"/>
  <c r="E1058"/>
  <c r="A1058"/>
  <c r="J1057"/>
  <c r="F1057"/>
  <c r="B1057"/>
  <c r="K1056"/>
  <c r="G1056"/>
  <c r="C1056"/>
  <c r="L1055"/>
  <c r="H1055"/>
  <c r="D1055"/>
  <c r="M1054"/>
  <c r="I1054"/>
  <c r="E1054"/>
  <c r="A1054"/>
  <c r="J1053"/>
  <c r="F1053"/>
  <c r="B1053"/>
  <c r="K1052"/>
  <c r="G1052"/>
  <c r="C1052"/>
  <c r="L1051"/>
  <c r="H1051"/>
  <c r="D1051"/>
  <c r="M1050"/>
  <c r="I1050"/>
  <c r="E1050"/>
  <c r="A1050"/>
  <c r="J1049"/>
  <c r="F1049"/>
  <c r="B1049"/>
  <c r="K1048"/>
  <c r="G1048"/>
  <c r="C1048"/>
  <c r="L1047"/>
  <c r="H1047"/>
  <c r="D1047"/>
  <c r="M1046"/>
  <c r="I1046"/>
  <c r="E1046"/>
  <c r="A1046"/>
  <c r="J1045"/>
  <c r="F1045"/>
  <c r="B1045"/>
  <c r="K1044"/>
  <c r="G1044"/>
  <c r="C1044"/>
  <c r="L1043"/>
  <c r="H1043"/>
  <c r="D1043"/>
  <c r="M1042"/>
  <c r="I1042"/>
  <c r="E1042"/>
  <c r="A1042"/>
  <c r="J1041"/>
  <c r="F1041"/>
  <c r="B1041"/>
  <c r="K1040"/>
  <c r="G1040"/>
  <c r="C1040"/>
  <c r="L1039"/>
  <c r="H1039"/>
  <c r="D1039"/>
  <c r="M1038"/>
  <c r="I1038"/>
  <c r="E1038"/>
  <c r="A1038"/>
  <c r="J1037"/>
  <c r="F1037"/>
  <c r="B1037"/>
  <c r="K1036"/>
  <c r="G1036"/>
  <c r="C1036"/>
  <c r="L1035"/>
  <c r="H1035"/>
  <c r="D1035"/>
  <c r="M1034"/>
  <c r="I1034"/>
  <c r="E1034"/>
  <c r="A1034"/>
  <c r="J1033"/>
  <c r="F1033"/>
  <c r="B1033"/>
  <c r="K1032"/>
  <c r="G1032"/>
  <c r="C1032"/>
  <c r="L1031"/>
  <c r="H1031"/>
  <c r="D1031"/>
  <c r="M1030"/>
  <c r="I1030"/>
  <c r="E1030"/>
  <c r="A1030"/>
  <c r="J1029"/>
  <c r="F1029"/>
  <c r="B1029"/>
  <c r="K1028"/>
  <c r="G1028"/>
  <c r="C1028"/>
  <c r="L1027"/>
  <c r="H1027"/>
  <c r="D1027"/>
  <c r="M1026"/>
  <c r="I1026"/>
  <c r="E1026"/>
  <c r="A1026"/>
  <c r="J1025"/>
  <c r="F1025"/>
  <c r="B1025"/>
  <c r="K1024"/>
  <c r="G1024"/>
  <c r="C1024"/>
  <c r="L1023"/>
  <c r="H1023"/>
  <c r="D1023"/>
  <c r="M1022"/>
  <c r="I1022"/>
  <c r="E1022"/>
  <c r="A1022"/>
  <c r="J1021"/>
  <c r="F1021"/>
  <c r="B1021"/>
  <c r="K1020"/>
  <c r="G1020"/>
  <c r="C1020"/>
  <c r="L1019"/>
  <c r="H1019"/>
  <c r="D1019"/>
  <c r="M1018"/>
  <c r="I1018"/>
  <c r="E1018"/>
  <c r="A1018"/>
  <c r="J1017"/>
  <c r="F1017"/>
  <c r="B1017"/>
  <c r="K1016"/>
  <c r="G1016"/>
  <c r="C1016"/>
  <c r="L1015"/>
  <c r="H1015"/>
  <c r="D1015"/>
  <c r="M1014"/>
  <c r="I1014"/>
  <c r="E1014"/>
  <c r="A1014"/>
  <c r="J1013"/>
  <c r="F1013"/>
  <c r="B1013"/>
  <c r="K1012"/>
  <c r="G1012"/>
  <c r="C1012"/>
  <c r="L1011"/>
  <c r="H1011"/>
  <c r="D1011"/>
  <c r="M1010"/>
  <c r="I1010"/>
  <c r="E1010"/>
  <c r="A1010"/>
  <c r="J1009"/>
  <c r="F1009"/>
  <c r="B1009"/>
  <c r="K1008"/>
  <c r="G1008"/>
  <c r="C1008"/>
  <c r="L1007"/>
  <c r="H1007"/>
  <c r="D1007"/>
  <c r="M1006"/>
  <c r="I1006"/>
  <c r="E1006"/>
  <c r="A1006"/>
  <c r="J1005"/>
  <c r="F1005"/>
  <c r="B1005"/>
  <c r="K1004"/>
  <c r="G1004"/>
  <c r="C1004"/>
  <c r="L1003"/>
  <c r="H1003"/>
  <c r="D1003"/>
  <c r="M1002"/>
  <c r="I1002"/>
  <c r="E1002"/>
  <c r="A1002"/>
  <c r="J1001"/>
  <c r="F1001"/>
  <c r="B1001"/>
  <c r="K1000"/>
  <c r="G1000"/>
  <c r="C1000"/>
  <c r="L999"/>
  <c r="H999"/>
  <c r="D999"/>
  <c r="M998"/>
  <c r="I998"/>
  <c r="E998"/>
  <c r="H1012"/>
  <c r="M1011"/>
  <c r="E1011"/>
  <c r="J1010"/>
  <c r="B1010"/>
  <c r="G1009"/>
  <c r="L1008"/>
  <c r="D1008"/>
  <c r="I1007"/>
  <c r="A1007"/>
  <c r="F1006"/>
  <c r="K1005"/>
  <c r="C1005"/>
  <c r="H1004"/>
  <c r="M1003"/>
  <c r="E1003"/>
  <c r="J1002"/>
  <c r="B1002"/>
  <c r="G1001"/>
  <c r="L1000"/>
  <c r="D1000"/>
  <c r="I999"/>
  <c r="A999"/>
  <c r="F998"/>
  <c r="A998"/>
  <c r="J997"/>
  <c r="F997"/>
  <c r="B997"/>
  <c r="K996"/>
  <c r="G996"/>
  <c r="C996"/>
  <c r="L995"/>
  <c r="H995"/>
  <c r="D995"/>
  <c r="M994"/>
  <c r="I994"/>
  <c r="E994"/>
  <c r="A994"/>
  <c r="J993"/>
  <c r="F993"/>
  <c r="B993"/>
  <c r="K992"/>
  <c r="G992"/>
  <c r="C992"/>
  <c r="L991"/>
  <c r="H991"/>
  <c r="D991"/>
  <c r="M990"/>
  <c r="I990"/>
  <c r="E990"/>
  <c r="A990"/>
  <c r="J989"/>
  <c r="F989"/>
  <c r="B989"/>
  <c r="K988"/>
  <c r="G988"/>
  <c r="C988"/>
  <c r="L987"/>
  <c r="H987"/>
  <c r="D987"/>
  <c r="M986"/>
  <c r="I986"/>
  <c r="E986"/>
  <c r="A986"/>
  <c r="J985"/>
  <c r="F985"/>
  <c r="B985"/>
  <c r="K984"/>
  <c r="G984"/>
  <c r="C984"/>
  <c r="L983"/>
  <c r="H983"/>
  <c r="D983"/>
  <c r="M982"/>
  <c r="I982"/>
  <c r="E982"/>
  <c r="A982"/>
  <c r="J981"/>
  <c r="F981"/>
  <c r="B981"/>
  <c r="K980"/>
  <c r="G980"/>
  <c r="C980"/>
  <c r="L979"/>
  <c r="H979"/>
  <c r="D979"/>
  <c r="M978"/>
  <c r="I978"/>
  <c r="E978"/>
  <c r="A978"/>
  <c r="J977"/>
  <c r="F977"/>
  <c r="B977"/>
  <c r="K976"/>
  <c r="G976"/>
  <c r="C976"/>
  <c r="L975"/>
  <c r="H975"/>
  <c r="D975"/>
  <c r="M974"/>
  <c r="I974"/>
  <c r="E974"/>
  <c r="A974"/>
  <c r="J973"/>
  <c r="F973"/>
  <c r="B973"/>
  <c r="K972"/>
  <c r="G972"/>
  <c r="C972"/>
  <c r="L971"/>
  <c r="H971"/>
  <c r="D971"/>
  <c r="M970"/>
  <c r="I970"/>
  <c r="E970"/>
  <c r="A970"/>
  <c r="J969"/>
  <c r="F969"/>
  <c r="B969"/>
  <c r="K968"/>
  <c r="G968"/>
  <c r="C968"/>
  <c r="L967"/>
  <c r="H967"/>
  <c r="D967"/>
  <c r="M966"/>
  <c r="I966"/>
  <c r="E966"/>
  <c r="A966"/>
  <c r="J965"/>
  <c r="F965"/>
  <c r="B965"/>
  <c r="K964"/>
  <c r="G964"/>
  <c r="C964"/>
  <c r="L963"/>
  <c r="H963"/>
  <c r="D963"/>
  <c r="M962"/>
  <c r="I962"/>
  <c r="E962"/>
  <c r="A962"/>
  <c r="J961"/>
  <c r="F961"/>
  <c r="B961"/>
  <c r="K960"/>
  <c r="G960"/>
  <c r="C960"/>
  <c r="L959"/>
  <c r="H959"/>
  <c r="D959"/>
  <c r="M958"/>
  <c r="I958"/>
  <c r="E958"/>
  <c r="A958"/>
  <c r="J957"/>
  <c r="F957"/>
  <c r="B957"/>
  <c r="K956"/>
  <c r="G956"/>
  <c r="C956"/>
  <c r="L955"/>
  <c r="H955"/>
  <c r="D955"/>
  <c r="M954"/>
  <c r="I954"/>
  <c r="E954"/>
  <c r="A954"/>
  <c r="J953"/>
  <c r="F953"/>
  <c r="B953"/>
  <c r="K952"/>
  <c r="G952"/>
  <c r="C952"/>
  <c r="L951"/>
  <c r="H951"/>
  <c r="D951"/>
  <c r="M950"/>
  <c r="I950"/>
  <c r="E950"/>
  <c r="A950"/>
  <c r="J949"/>
  <c r="F949"/>
  <c r="B949"/>
  <c r="K948"/>
  <c r="G948"/>
  <c r="C948"/>
  <c r="L947"/>
  <c r="H947"/>
  <c r="D947"/>
  <c r="M946"/>
  <c r="I946"/>
  <c r="E946"/>
  <c r="A946"/>
  <c r="J945"/>
  <c r="F945"/>
  <c r="B945"/>
  <c r="K944"/>
  <c r="G944"/>
  <c r="C944"/>
  <c r="L943"/>
  <c r="H943"/>
  <c r="D943"/>
  <c r="M942"/>
  <c r="I942"/>
  <c r="E942"/>
  <c r="A942"/>
  <c r="J941"/>
  <c r="F941"/>
  <c r="B941"/>
  <c r="K940"/>
  <c r="G940"/>
  <c r="C940"/>
  <c r="L939"/>
  <c r="H939"/>
  <c r="D939"/>
  <c r="M938"/>
  <c r="I938"/>
  <c r="E938"/>
  <c r="A938"/>
  <c r="J937"/>
  <c r="F937"/>
  <c r="B937"/>
  <c r="K936"/>
  <c r="G936"/>
  <c r="C936"/>
  <c r="L935"/>
  <c r="H935"/>
  <c r="D935"/>
  <c r="M934"/>
  <c r="I934"/>
  <c r="E934"/>
  <c r="A934"/>
  <c r="J933"/>
  <c r="F933"/>
  <c r="B933"/>
  <c r="K932"/>
  <c r="G932"/>
  <c r="C932"/>
  <c r="L931"/>
  <c r="H931"/>
  <c r="D931"/>
  <c r="M930"/>
  <c r="I930"/>
  <c r="E930"/>
  <c r="A930"/>
  <c r="J929"/>
  <c r="F929"/>
  <c r="B929"/>
  <c r="K928"/>
  <c r="G928"/>
  <c r="C928"/>
  <c r="L927"/>
  <c r="H927"/>
  <c r="D927"/>
  <c r="M926"/>
  <c r="I926"/>
  <c r="E926"/>
  <c r="A926"/>
  <c r="J925"/>
  <c r="F925"/>
  <c r="B925"/>
  <c r="K924"/>
  <c r="G924"/>
  <c r="C924"/>
  <c r="L923"/>
  <c r="H923"/>
  <c r="D923"/>
  <c r="M922"/>
  <c r="I922"/>
  <c r="E922"/>
  <c r="A922"/>
  <c r="J921"/>
  <c r="F921"/>
  <c r="B921"/>
  <c r="K920"/>
  <c r="G920"/>
  <c r="C920"/>
  <c r="L919"/>
  <c r="H919"/>
  <c r="D919"/>
  <c r="M918"/>
  <c r="I918"/>
  <c r="E918"/>
  <c r="A918"/>
  <c r="J917"/>
  <c r="F917"/>
  <c r="B917"/>
  <c r="K916"/>
  <c r="G916"/>
  <c r="C916"/>
  <c r="L915"/>
  <c r="H915"/>
  <c r="D915"/>
  <c r="M914"/>
  <c r="I914"/>
  <c r="E914"/>
  <c r="A914"/>
  <c r="J913"/>
  <c r="F913"/>
  <c r="B913"/>
  <c r="K912"/>
  <c r="G912"/>
  <c r="C912"/>
  <c r="L911"/>
  <c r="H911"/>
  <c r="D911"/>
  <c r="M910"/>
  <c r="I910"/>
  <c r="E910"/>
  <c r="A910"/>
  <c r="J909"/>
  <c r="F909"/>
  <c r="B909"/>
  <c r="K908"/>
  <c r="G908"/>
  <c r="C908"/>
  <c r="L907"/>
  <c r="H907"/>
  <c r="D907"/>
  <c r="M906"/>
  <c r="I906"/>
  <c r="E906"/>
  <c r="A906"/>
  <c r="J905"/>
  <c r="F905"/>
  <c r="B905"/>
  <c r="K904"/>
  <c r="G904"/>
  <c r="C904"/>
  <c r="L903"/>
  <c r="H903"/>
  <c r="D903"/>
  <c r="M902"/>
  <c r="I902"/>
  <c r="E902"/>
  <c r="A902"/>
  <c r="J901"/>
  <c r="F901"/>
  <c r="B901"/>
  <c r="K900"/>
  <c r="G900"/>
  <c r="C900"/>
  <c r="L899"/>
  <c r="H899"/>
  <c r="D899"/>
  <c r="M898"/>
  <c r="I898"/>
  <c r="E898"/>
  <c r="A898"/>
  <c r="J897"/>
  <c r="F897"/>
  <c r="B897"/>
  <c r="K896"/>
  <c r="G896"/>
  <c r="C896"/>
  <c r="L895"/>
  <c r="H895"/>
  <c r="D895"/>
  <c r="M894"/>
  <c r="I894"/>
  <c r="E894"/>
  <c r="A894"/>
  <c r="J893"/>
  <c r="F893"/>
  <c r="B893"/>
  <c r="K892"/>
  <c r="G892"/>
  <c r="C892"/>
  <c r="L891"/>
  <c r="H891"/>
  <c r="D891"/>
  <c r="M890"/>
  <c r="I890"/>
  <c r="E890"/>
  <c r="A890"/>
  <c r="J889"/>
  <c r="F889"/>
  <c r="B889"/>
  <c r="K888"/>
  <c r="G888"/>
  <c r="C888"/>
  <c r="L887"/>
  <c r="H887"/>
  <c r="D887"/>
  <c r="M886"/>
  <c r="I886"/>
  <c r="E886"/>
  <c r="A886"/>
  <c r="J885"/>
  <c r="F885"/>
  <c r="B885"/>
  <c r="K884"/>
  <c r="G884"/>
  <c r="C884"/>
  <c r="L883"/>
  <c r="H883"/>
  <c r="D883"/>
  <c r="M882"/>
  <c r="I882"/>
  <c r="E882"/>
  <c r="A882"/>
  <c r="J881"/>
  <c r="F881"/>
  <c r="B881"/>
  <c r="K880"/>
  <c r="G880"/>
  <c r="C880"/>
  <c r="L879"/>
  <c r="H879"/>
  <c r="D879"/>
  <c r="M878"/>
  <c r="I878"/>
  <c r="E878"/>
  <c r="A878"/>
  <c r="J877"/>
  <c r="F877"/>
  <c r="B877"/>
  <c r="K876"/>
  <c r="G876"/>
  <c r="C876"/>
  <c r="L875"/>
  <c r="H875"/>
  <c r="D875"/>
  <c r="M874"/>
  <c r="I874"/>
  <c r="E874"/>
  <c r="A874"/>
  <c r="J873"/>
  <c r="F873"/>
  <c r="B873"/>
  <c r="K872"/>
  <c r="G872"/>
  <c r="C872"/>
  <c r="L871"/>
  <c r="H871"/>
  <c r="D871"/>
  <c r="M870"/>
  <c r="I870"/>
  <c r="E870"/>
  <c r="A870"/>
  <c r="J869"/>
  <c r="F869"/>
  <c r="B869"/>
  <c r="K868"/>
  <c r="G868"/>
  <c r="C868"/>
  <c r="L867"/>
  <c r="H867"/>
  <c r="D867"/>
  <c r="M866"/>
  <c r="I866"/>
  <c r="E866"/>
  <c r="A866"/>
  <c r="J865"/>
  <c r="F865"/>
  <c r="B865"/>
  <c r="K864"/>
  <c r="G864"/>
  <c r="C864"/>
  <c r="L863"/>
  <c r="H863"/>
  <c r="D863"/>
  <c r="M862"/>
  <c r="I862"/>
  <c r="E862"/>
  <c r="A862"/>
  <c r="J861"/>
  <c r="F861"/>
  <c r="B861"/>
  <c r="K860"/>
  <c r="G860"/>
  <c r="C860"/>
  <c r="L859"/>
  <c r="H859"/>
  <c r="D859"/>
  <c r="M858"/>
  <c r="I858"/>
  <c r="E858"/>
  <c r="A858"/>
  <c r="J857"/>
  <c r="F857"/>
  <c r="B857"/>
  <c r="K856"/>
  <c r="G856"/>
  <c r="C856"/>
  <c r="L855"/>
  <c r="H855"/>
  <c r="D855"/>
  <c r="M854"/>
  <c r="I854"/>
  <c r="E854"/>
  <c r="A854"/>
  <c r="J853"/>
  <c r="F853"/>
  <c r="B853"/>
  <c r="K852"/>
  <c r="G852"/>
  <c r="C852"/>
  <c r="L851"/>
  <c r="H851"/>
  <c r="D851"/>
  <c r="M850"/>
  <c r="I850"/>
  <c r="E850"/>
  <c r="A850"/>
  <c r="J849"/>
  <c r="F849"/>
  <c r="B849"/>
  <c r="K848"/>
  <c r="G848"/>
  <c r="C848"/>
  <c r="L847"/>
  <c r="H847"/>
  <c r="D847"/>
  <c r="M846"/>
  <c r="I846"/>
  <c r="E846"/>
  <c r="A846"/>
  <c r="J845"/>
  <c r="F845"/>
  <c r="B845"/>
  <c r="K844"/>
  <c r="G844"/>
  <c r="C844"/>
  <c r="L843"/>
  <c r="H843"/>
  <c r="D843"/>
  <c r="M842"/>
  <c r="I842"/>
  <c r="E842"/>
  <c r="A842"/>
  <c r="J841"/>
  <c r="F841"/>
  <c r="B841"/>
  <c r="K840"/>
  <c r="G840"/>
  <c r="C840"/>
  <c r="L839"/>
  <c r="H839"/>
  <c r="D839"/>
  <c r="M838"/>
  <c r="I838"/>
  <c r="E838"/>
  <c r="A838"/>
  <c r="J837"/>
  <c r="F837"/>
  <c r="B837"/>
  <c r="K836"/>
  <c r="G836"/>
  <c r="C836"/>
  <c r="L835"/>
  <c r="H835"/>
  <c r="D835"/>
  <c r="M834"/>
  <c r="I834"/>
  <c r="E834"/>
  <c r="A834"/>
  <c r="J833"/>
  <c r="F833"/>
  <c r="B833"/>
  <c r="K832"/>
  <c r="G832"/>
  <c r="C832"/>
  <c r="L831"/>
  <c r="H831"/>
  <c r="D831"/>
  <c r="M830"/>
  <c r="I830"/>
  <c r="E830"/>
  <c r="A830"/>
  <c r="J829"/>
  <c r="F829"/>
  <c r="B829"/>
  <c r="K828"/>
  <c r="G828"/>
  <c r="C828"/>
  <c r="L827"/>
  <c r="H827"/>
  <c r="D827"/>
  <c r="M826"/>
  <c r="I826"/>
  <c r="E826"/>
  <c r="A826"/>
  <c r="J825"/>
  <c r="F825"/>
  <c r="B825"/>
  <c r="K824"/>
  <c r="G824"/>
  <c r="C824"/>
  <c r="L823"/>
  <c r="H823"/>
  <c r="D823"/>
  <c r="M822"/>
  <c r="I822"/>
  <c r="E822"/>
  <c r="A822"/>
  <c r="J821"/>
  <c r="F821"/>
  <c r="B821"/>
  <c r="K820"/>
  <c r="G820"/>
  <c r="C820"/>
  <c r="L819"/>
  <c r="H819"/>
  <c r="D819"/>
  <c r="M818"/>
  <c r="I818"/>
  <c r="E818"/>
  <c r="A818"/>
  <c r="J817"/>
  <c r="F817"/>
  <c r="B817"/>
  <c r="K816"/>
  <c r="G816"/>
  <c r="C816"/>
  <c r="L815"/>
  <c r="H815"/>
  <c r="D815"/>
  <c r="M814"/>
  <c r="I814"/>
  <c r="E814"/>
  <c r="A814"/>
  <c r="J813"/>
  <c r="F813"/>
  <c r="B813"/>
  <c r="K812"/>
  <c r="G812"/>
  <c r="C812"/>
  <c r="L811"/>
  <c r="H811"/>
  <c r="D811"/>
  <c r="M810"/>
  <c r="I810"/>
  <c r="E810"/>
  <c r="A810"/>
  <c r="J809"/>
  <c r="F809"/>
  <c r="B809"/>
  <c r="K808"/>
  <c r="G808"/>
  <c r="C808"/>
  <c r="L807"/>
  <c r="H807"/>
  <c r="D807"/>
  <c r="M806"/>
  <c r="I806"/>
  <c r="E806"/>
  <c r="A806"/>
  <c r="J805"/>
  <c r="F805"/>
  <c r="B805"/>
  <c r="K804"/>
  <c r="G804"/>
  <c r="C804"/>
  <c r="L803"/>
  <c r="H803"/>
  <c r="D803"/>
  <c r="M802"/>
  <c r="I802"/>
  <c r="E802"/>
  <c r="A802"/>
  <c r="J801"/>
  <c r="F801"/>
  <c r="B801"/>
  <c r="K800"/>
  <c r="G800"/>
  <c r="C800"/>
  <c r="L799"/>
  <c r="H799"/>
  <c r="D799"/>
  <c r="M798"/>
  <c r="I798"/>
  <c r="E798"/>
  <c r="A798"/>
  <c r="J797"/>
  <c r="F797"/>
  <c r="B797"/>
  <c r="K796"/>
  <c r="G796"/>
  <c r="C796"/>
  <c r="L795"/>
  <c r="H795"/>
  <c r="D795"/>
  <c r="M794"/>
  <c r="I794"/>
  <c r="E794"/>
  <c r="A794"/>
  <c r="J793"/>
  <c r="F793"/>
  <c r="B793"/>
  <c r="K792"/>
  <c r="G792"/>
  <c r="C792"/>
  <c r="L791"/>
  <c r="H791"/>
  <c r="D791"/>
  <c r="M790"/>
  <c r="I790"/>
  <c r="E790"/>
  <c r="A790"/>
  <c r="J789"/>
  <c r="F789"/>
  <c r="B789"/>
  <c r="K788"/>
  <c r="G788"/>
  <c r="C788"/>
  <c r="L787"/>
  <c r="H787"/>
  <c r="D787"/>
  <c r="M786"/>
  <c r="I786"/>
  <c r="E786"/>
  <c r="A786"/>
  <c r="J785"/>
  <c r="F785"/>
  <c r="B785"/>
  <c r="K784"/>
  <c r="G784"/>
  <c r="C784"/>
  <c r="L783"/>
  <c r="H783"/>
  <c r="D783"/>
  <c r="M782"/>
  <c r="I782"/>
  <c r="E782"/>
  <c r="A782"/>
  <c r="J781"/>
  <c r="F781"/>
  <c r="B781"/>
  <c r="K780"/>
  <c r="G780"/>
  <c r="C780"/>
  <c r="L779"/>
  <c r="H779"/>
  <c r="D779"/>
  <c r="M778"/>
  <c r="I778"/>
  <c r="E778"/>
  <c r="A778"/>
  <c r="J777"/>
  <c r="F777"/>
  <c r="B777"/>
  <c r="K776"/>
  <c r="G776"/>
  <c r="C776"/>
  <c r="L775"/>
  <c r="H775"/>
  <c r="D775"/>
  <c r="M774"/>
  <c r="I774"/>
  <c r="E774"/>
  <c r="A774"/>
  <c r="J773"/>
  <c r="F773"/>
  <c r="B773"/>
  <c r="K772"/>
  <c r="G772"/>
  <c r="C772"/>
  <c r="L771"/>
  <c r="H771"/>
  <c r="D771"/>
  <c r="M770"/>
  <c r="I770"/>
  <c r="E770"/>
  <c r="A770"/>
  <c r="J769"/>
  <c r="F769"/>
  <c r="B769"/>
  <c r="K768"/>
  <c r="G768"/>
  <c r="C768"/>
  <c r="L767"/>
  <c r="H767"/>
  <c r="D767"/>
  <c r="M766"/>
  <c r="I766"/>
  <c r="E766"/>
  <c r="A766"/>
  <c r="J765"/>
  <c r="F765"/>
  <c r="B765"/>
  <c r="K764"/>
  <c r="G764"/>
  <c r="C764"/>
  <c r="L763"/>
  <c r="H763"/>
  <c r="D763"/>
  <c r="M762"/>
  <c r="I762"/>
  <c r="E762"/>
  <c r="A762"/>
  <c r="J761"/>
  <c r="F761"/>
  <c r="B761"/>
  <c r="K760"/>
  <c r="G760"/>
  <c r="C760"/>
  <c r="L759"/>
  <c r="H759"/>
  <c r="D759"/>
  <c r="M758"/>
  <c r="I758"/>
  <c r="E758"/>
  <c r="A758"/>
  <c r="J757"/>
  <c r="F757"/>
  <c r="B757"/>
  <c r="K756"/>
  <c r="G756"/>
  <c r="C756"/>
  <c r="L755"/>
  <c r="H755"/>
  <c r="D755"/>
  <c r="M754"/>
  <c r="I754"/>
  <c r="E754"/>
  <c r="A754"/>
  <c r="J753"/>
  <c r="F753"/>
  <c r="B753"/>
  <c r="K752"/>
  <c r="G752"/>
  <c r="C752"/>
  <c r="L751"/>
  <c r="H751"/>
  <c r="D751"/>
  <c r="M750"/>
  <c r="I750"/>
  <c r="E750"/>
  <c r="A750"/>
  <c r="J749"/>
  <c r="F749"/>
  <c r="B749"/>
  <c r="K748"/>
  <c r="G748"/>
  <c r="C748"/>
  <c r="L747"/>
  <c r="H747"/>
  <c r="D747"/>
  <c r="M746"/>
  <c r="I746"/>
  <c r="E746"/>
  <c r="A746"/>
  <c r="J745"/>
  <c r="F745"/>
  <c r="B745"/>
  <c r="K744"/>
  <c r="G744"/>
  <c r="C744"/>
  <c r="L743"/>
  <c r="H743"/>
  <c r="D743"/>
  <c r="M742"/>
  <c r="I742"/>
  <c r="E742"/>
  <c r="A742"/>
  <c r="J741"/>
  <c r="F741"/>
  <c r="B741"/>
  <c r="K740"/>
  <c r="G740"/>
  <c r="C740"/>
  <c r="L739"/>
  <c r="H739"/>
  <c r="D739"/>
  <c r="M738"/>
  <c r="I738"/>
  <c r="E738"/>
  <c r="A738"/>
  <c r="J737"/>
  <c r="F737"/>
  <c r="B737"/>
  <c r="K736"/>
  <c r="G736"/>
  <c r="C736"/>
  <c r="L735"/>
  <c r="H735"/>
  <c r="D735"/>
  <c r="M734"/>
  <c r="I734"/>
  <c r="E734"/>
  <c r="A734"/>
  <c r="J733"/>
  <c r="F733"/>
  <c r="B733"/>
  <c r="K732"/>
  <c r="G732"/>
  <c r="C732"/>
  <c r="L731"/>
  <c r="H731"/>
  <c r="D731"/>
  <c r="M730"/>
  <c r="I730"/>
  <c r="E730"/>
  <c r="A730"/>
  <c r="J729"/>
  <c r="F729"/>
  <c r="B729"/>
  <c r="K728"/>
  <c r="G728"/>
  <c r="C728"/>
  <c r="L727"/>
  <c r="H727"/>
  <c r="D727"/>
  <c r="M726"/>
  <c r="I726"/>
  <c r="E726"/>
  <c r="A726"/>
  <c r="J725"/>
  <c r="F725"/>
  <c r="B725"/>
  <c r="K724"/>
  <c r="G724"/>
  <c r="C724"/>
  <c r="L723"/>
  <c r="H723"/>
  <c r="D723"/>
  <c r="M722"/>
  <c r="I722"/>
  <c r="E722"/>
  <c r="A722"/>
  <c r="J721"/>
  <c r="F721"/>
  <c r="B721"/>
  <c r="K720"/>
  <c r="G720"/>
  <c r="C720"/>
  <c r="L719"/>
  <c r="H719"/>
  <c r="D719"/>
  <c r="M718"/>
  <c r="I718"/>
  <c r="E718"/>
  <c r="A718"/>
  <c r="J717"/>
  <c r="F717"/>
  <c r="B717"/>
  <c r="K716"/>
  <c r="G716"/>
  <c r="C716"/>
  <c r="L715"/>
  <c r="H715"/>
  <c r="D715"/>
  <c r="M714"/>
  <c r="I714"/>
  <c r="E714"/>
  <c r="A714"/>
  <c r="J713"/>
  <c r="F713"/>
  <c r="B713"/>
  <c r="K712"/>
  <c r="G712"/>
  <c r="C712"/>
  <c r="L711"/>
  <c r="H711"/>
  <c r="D711"/>
  <c r="M710"/>
  <c r="I710"/>
  <c r="E710"/>
  <c r="A710"/>
  <c r="J709"/>
  <c r="F709"/>
  <c r="B709"/>
  <c r="K708"/>
  <c r="G708"/>
  <c r="C708"/>
  <c r="L707"/>
  <c r="H707"/>
  <c r="D707"/>
  <c r="M706"/>
  <c r="I706"/>
  <c r="E706"/>
  <c r="A706"/>
  <c r="J705"/>
  <c r="F705"/>
  <c r="B705"/>
  <c r="K704"/>
  <c r="G704"/>
  <c r="C704"/>
  <c r="L703"/>
  <c r="H703"/>
  <c r="D703"/>
  <c r="M702"/>
  <c r="I702"/>
  <c r="E702"/>
  <c r="A702"/>
  <c r="J701"/>
  <c r="F701"/>
  <c r="B701"/>
  <c r="K700"/>
  <c r="G700"/>
  <c r="C700"/>
  <c r="L699"/>
  <c r="H699"/>
  <c r="D699"/>
  <c r="M698"/>
  <c r="I698"/>
  <c r="E698"/>
  <c r="A698"/>
  <c r="J697"/>
  <c r="F697"/>
  <c r="B697"/>
  <c r="K696"/>
  <c r="G696"/>
  <c r="C696"/>
  <c r="L695"/>
  <c r="H695"/>
  <c r="D695"/>
  <c r="M694"/>
  <c r="I694"/>
  <c r="E694"/>
  <c r="A694"/>
  <c r="J693"/>
  <c r="F693"/>
  <c r="B693"/>
  <c r="K692"/>
  <c r="G692"/>
  <c r="C692"/>
  <c r="L691"/>
  <c r="H691"/>
  <c r="D691"/>
  <c r="M690"/>
  <c r="I690"/>
  <c r="E690"/>
  <c r="A690"/>
  <c r="J689"/>
  <c r="F689"/>
  <c r="B689"/>
  <c r="K688"/>
  <c r="G688"/>
  <c r="C688"/>
  <c r="L687"/>
  <c r="H687"/>
  <c r="D687"/>
  <c r="M686"/>
  <c r="I686"/>
  <c r="E686"/>
  <c r="A686"/>
  <c r="J685"/>
  <c r="F685"/>
  <c r="B685"/>
  <c r="K684"/>
  <c r="G684"/>
  <c r="C684"/>
  <c r="L683"/>
  <c r="H683"/>
  <c r="D683"/>
  <c r="M682"/>
  <c r="I682"/>
  <c r="E682"/>
  <c r="A682"/>
  <c r="J681"/>
  <c r="F681"/>
  <c r="B681"/>
  <c r="K680"/>
  <c r="G680"/>
  <c r="C680"/>
  <c r="L679"/>
  <c r="H679"/>
  <c r="D679"/>
  <c r="M678"/>
  <c r="I678"/>
  <c r="E678"/>
  <c r="A678"/>
  <c r="J677"/>
  <c r="F677"/>
  <c r="B677"/>
  <c r="K676"/>
  <c r="G676"/>
  <c r="C676"/>
  <c r="L675"/>
  <c r="H675"/>
  <c r="D675"/>
  <c r="M674"/>
  <c r="I674"/>
  <c r="E674"/>
  <c r="A674"/>
  <c r="J673"/>
  <c r="F673"/>
  <c r="B673"/>
  <c r="K672"/>
  <c r="G672"/>
  <c r="C672"/>
  <c r="L671"/>
  <c r="H671"/>
  <c r="D671"/>
  <c r="M670"/>
  <c r="I670"/>
  <c r="E670"/>
  <c r="A670"/>
  <c r="J669"/>
  <c r="F669"/>
  <c r="B669"/>
  <c r="K668"/>
  <c r="G668"/>
  <c r="C668"/>
  <c r="L667"/>
  <c r="H667"/>
  <c r="D667"/>
  <c r="M666"/>
  <c r="I666"/>
  <c r="E666"/>
  <c r="A666"/>
  <c r="J665"/>
  <c r="F665"/>
  <c r="B665"/>
  <c r="K664"/>
  <c r="G664"/>
  <c r="C664"/>
  <c r="L663"/>
  <c r="H663"/>
  <c r="D663"/>
  <c r="M662"/>
  <c r="I662"/>
  <c r="E662"/>
  <c r="A662"/>
  <c r="J661"/>
  <c r="F661"/>
  <c r="B661"/>
  <c r="K660"/>
  <c r="G660"/>
  <c r="C660"/>
  <c r="L659"/>
  <c r="H659"/>
  <c r="D659"/>
  <c r="M658"/>
  <c r="I658"/>
  <c r="E658"/>
  <c r="A658"/>
  <c r="J657"/>
  <c r="F657"/>
  <c r="B657"/>
  <c r="K656"/>
  <c r="G656"/>
  <c r="C656"/>
  <c r="L655"/>
  <c r="H655"/>
  <c r="D655"/>
  <c r="M654"/>
  <c r="I654"/>
  <c r="E654"/>
  <c r="A654"/>
  <c r="J653"/>
  <c r="F653"/>
  <c r="B653"/>
  <c r="K652"/>
  <c r="G652"/>
  <c r="C652"/>
  <c r="L651"/>
  <c r="H651"/>
  <c r="D651"/>
  <c r="M650"/>
  <c r="I650"/>
  <c r="E650"/>
  <c r="A650"/>
  <c r="J649"/>
  <c r="F649"/>
  <c r="B649"/>
  <c r="K648"/>
  <c r="G648"/>
  <c r="C648"/>
  <c r="L647"/>
  <c r="H647"/>
  <c r="D647"/>
  <c r="M646"/>
  <c r="I646"/>
  <c r="E646"/>
  <c r="A646"/>
  <c r="J645"/>
  <c r="F645"/>
  <c r="B645"/>
  <c r="K644"/>
  <c r="G644"/>
  <c r="C644"/>
  <c r="L643"/>
  <c r="H643"/>
  <c r="D643"/>
  <c r="M642"/>
  <c r="I642"/>
  <c r="E642"/>
  <c r="A642"/>
  <c r="J641"/>
  <c r="F641"/>
  <c r="B641"/>
  <c r="K640"/>
  <c r="G640"/>
  <c r="C640"/>
  <c r="L639"/>
  <c r="H639"/>
  <c r="D639"/>
  <c r="M638"/>
  <c r="I638"/>
  <c r="E638"/>
  <c r="A638"/>
  <c r="J637"/>
  <c r="F637"/>
  <c r="B637"/>
  <c r="K636"/>
  <c r="G636"/>
  <c r="C636"/>
  <c r="L635"/>
  <c r="H635"/>
  <c r="D635"/>
  <c r="M634"/>
  <c r="I634"/>
  <c r="E634"/>
  <c r="A634"/>
  <c r="J633"/>
  <c r="F633"/>
  <c r="B633"/>
  <c r="K632"/>
  <c r="G632"/>
  <c r="C632"/>
  <c r="L631"/>
  <c r="H631"/>
  <c r="D631"/>
  <c r="M630"/>
  <c r="I630"/>
  <c r="E630"/>
  <c r="A630"/>
  <c r="J629"/>
  <c r="F629"/>
  <c r="B629"/>
  <c r="K628"/>
  <c r="G628"/>
  <c r="C628"/>
  <c r="L627"/>
  <c r="H627"/>
  <c r="D627"/>
  <c r="M626"/>
  <c r="I626"/>
  <c r="E626"/>
  <c r="A626"/>
  <c r="J625"/>
  <c r="F625"/>
  <c r="B625"/>
  <c r="K624"/>
  <c r="G624"/>
  <c r="C624"/>
  <c r="L623"/>
  <c r="H623"/>
  <c r="D623"/>
  <c r="M622"/>
  <c r="I622"/>
  <c r="E622"/>
  <c r="A622"/>
  <c r="J621"/>
  <c r="F621"/>
  <c r="B621"/>
  <c r="K620"/>
  <c r="G620"/>
  <c r="C620"/>
  <c r="L619"/>
  <c r="H619"/>
  <c r="D619"/>
  <c r="M618"/>
  <c r="I618"/>
  <c r="E618"/>
  <c r="A618"/>
  <c r="J617"/>
  <c r="F617"/>
  <c r="B617"/>
  <c r="K616"/>
  <c r="G616"/>
  <c r="C616"/>
  <c r="L615"/>
  <c r="H615"/>
  <c r="D615"/>
  <c r="M614"/>
  <c r="I614"/>
  <c r="E614"/>
  <c r="A614"/>
  <c r="J613"/>
  <c r="F613"/>
  <c r="B613"/>
  <c r="K612"/>
  <c r="G612"/>
  <c r="C612"/>
  <c r="L611"/>
  <c r="H611"/>
  <c r="D611"/>
  <c r="M610"/>
  <c r="I610"/>
  <c r="E610"/>
  <c r="A610"/>
  <c r="J609"/>
  <c r="F609"/>
  <c r="B609"/>
  <c r="K608"/>
  <c r="G608"/>
  <c r="C608"/>
  <c r="L607"/>
  <c r="H607"/>
  <c r="D607"/>
  <c r="M606"/>
  <c r="I606"/>
  <c r="E606"/>
  <c r="A606"/>
  <c r="J605"/>
  <c r="F605"/>
  <c r="B605"/>
  <c r="K604"/>
  <c r="G604"/>
  <c r="C604"/>
  <c r="L603"/>
  <c r="H603"/>
  <c r="D603"/>
  <c r="M602"/>
  <c r="I602"/>
  <c r="E602"/>
  <c r="A602"/>
  <c r="J601"/>
  <c r="F601"/>
  <c r="B601"/>
  <c r="K600"/>
  <c r="G600"/>
  <c r="C600"/>
  <c r="L599"/>
  <c r="H599"/>
  <c r="D599"/>
  <c r="M598"/>
  <c r="I598"/>
  <c r="E598"/>
  <c r="A598"/>
  <c r="J597"/>
  <c r="F597"/>
  <c r="B597"/>
  <c r="K596"/>
  <c r="G596"/>
  <c r="C596"/>
  <c r="L595"/>
  <c r="H595"/>
  <c r="D595"/>
  <c r="M594"/>
  <c r="I594"/>
  <c r="E594"/>
  <c r="A594"/>
  <c r="J593"/>
  <c r="F593"/>
  <c r="B593"/>
  <c r="K592"/>
  <c r="G592"/>
  <c r="C592"/>
  <c r="L591"/>
  <c r="H591"/>
  <c r="D591"/>
  <c r="M590"/>
  <c r="I590"/>
  <c r="E590"/>
  <c r="A590"/>
  <c r="J589"/>
  <c r="F589"/>
  <c r="B589"/>
  <c r="K588"/>
  <c r="G588"/>
  <c r="C588"/>
  <c r="L587"/>
  <c r="H587"/>
  <c r="D587"/>
  <c r="M586"/>
  <c r="I586"/>
  <c r="E586"/>
  <c r="A586"/>
  <c r="J585"/>
  <c r="F585"/>
  <c r="B585"/>
  <c r="K584"/>
  <c r="G584"/>
  <c r="C584"/>
  <c r="L583"/>
  <c r="H583"/>
  <c r="D583"/>
  <c r="M582"/>
  <c r="I582"/>
  <c r="E582"/>
  <c r="A582"/>
  <c r="J581"/>
  <c r="F581"/>
  <c r="B581"/>
  <c r="K580"/>
  <c r="G580"/>
  <c r="C580"/>
  <c r="L579"/>
  <c r="H579"/>
  <c r="D579"/>
  <c r="M578"/>
  <c r="I578"/>
  <c r="E578"/>
  <c r="A578"/>
  <c r="J577"/>
  <c r="F577"/>
  <c r="B577"/>
  <c r="K576"/>
  <c r="G576"/>
  <c r="C576"/>
  <c r="L575"/>
  <c r="H575"/>
  <c r="D575"/>
  <c r="M574"/>
  <c r="I574"/>
  <c r="E574"/>
  <c r="A574"/>
  <c r="J573"/>
  <c r="F573"/>
  <c r="B573"/>
  <c r="K572"/>
  <c r="G572"/>
  <c r="C572"/>
  <c r="L571"/>
  <c r="H571"/>
  <c r="D571"/>
  <c r="M570"/>
  <c r="I570"/>
  <c r="E570"/>
  <c r="A570"/>
  <c r="J569"/>
  <c r="F569"/>
  <c r="B569"/>
  <c r="K568"/>
  <c r="G568"/>
  <c r="C568"/>
  <c r="L567"/>
  <c r="H567"/>
  <c r="D567"/>
  <c r="M566"/>
  <c r="I566"/>
  <c r="E566"/>
  <c r="A566"/>
  <c r="J565"/>
  <c r="F565"/>
  <c r="B565"/>
  <c r="K564"/>
  <c r="G564"/>
  <c r="C564"/>
  <c r="L563"/>
  <c r="H563"/>
  <c r="D563"/>
  <c r="M562"/>
  <c r="I562"/>
  <c r="E562"/>
  <c r="A562"/>
  <c r="J561"/>
  <c r="F561"/>
  <c r="B561"/>
  <c r="K560"/>
  <c r="G560"/>
  <c r="C560"/>
  <c r="L559"/>
  <c r="H559"/>
  <c r="D559"/>
  <c r="M558"/>
  <c r="I558"/>
  <c r="E558"/>
  <c r="A558"/>
  <c r="J557"/>
  <c r="F557"/>
  <c r="B557"/>
  <c r="K556"/>
  <c r="G556"/>
  <c r="C556"/>
  <c r="L555"/>
  <c r="H555"/>
  <c r="D555"/>
  <c r="M554"/>
  <c r="I554"/>
  <c r="E554"/>
  <c r="A554"/>
  <c r="J553"/>
  <c r="F553"/>
  <c r="B553"/>
  <c r="K552"/>
  <c r="G552"/>
  <c r="C552"/>
  <c r="L551"/>
  <c r="H551"/>
  <c r="D551"/>
  <c r="M550"/>
  <c r="I550"/>
  <c r="E550"/>
  <c r="A550"/>
  <c r="J549"/>
  <c r="F549"/>
  <c r="B549"/>
  <c r="K548"/>
  <c r="G548"/>
  <c r="C548"/>
  <c r="L547"/>
  <c r="H547"/>
  <c r="D547"/>
  <c r="M546"/>
  <c r="I546"/>
  <c r="E546"/>
  <c r="A546"/>
  <c r="J545"/>
  <c r="F545"/>
  <c r="B545"/>
  <c r="K544"/>
  <c r="G544"/>
  <c r="C544"/>
  <c r="L543"/>
  <c r="H543"/>
  <c r="D543"/>
  <c r="M542"/>
  <c r="I542"/>
  <c r="E542"/>
  <c r="A542"/>
  <c r="J541"/>
  <c r="F541"/>
  <c r="B541"/>
  <c r="K540"/>
  <c r="G540"/>
  <c r="C540"/>
  <c r="L539"/>
  <c r="H539"/>
  <c r="D539"/>
  <c r="M538"/>
  <c r="I538"/>
  <c r="E538"/>
  <c r="A538"/>
  <c r="J537"/>
  <c r="F537"/>
  <c r="B537"/>
  <c r="K536"/>
  <c r="G536"/>
  <c r="C536"/>
  <c r="L535"/>
  <c r="H535"/>
  <c r="D535"/>
  <c r="M534"/>
  <c r="I534"/>
  <c r="E534"/>
  <c r="A534"/>
  <c r="J533"/>
  <c r="F533"/>
  <c r="B533"/>
  <c r="K532"/>
  <c r="G532"/>
  <c r="C532"/>
  <c r="L531"/>
  <c r="H531"/>
  <c r="D531"/>
  <c r="M530"/>
  <c r="I530"/>
  <c r="E530"/>
  <c r="A530"/>
  <c r="J529"/>
  <c r="F529"/>
  <c r="B529"/>
  <c r="K528"/>
  <c r="G528"/>
  <c r="C528"/>
  <c r="L527"/>
  <c r="H527"/>
  <c r="D527"/>
  <c r="M526"/>
  <c r="I526"/>
  <c r="E526"/>
  <c r="A526"/>
  <c r="J525"/>
  <c r="F525"/>
  <c r="B525"/>
  <c r="K524"/>
  <c r="G524"/>
  <c r="C524"/>
  <c r="L523"/>
  <c r="H523"/>
  <c r="D523"/>
  <c r="M522"/>
  <c r="I522"/>
  <c r="E522"/>
  <c r="A522"/>
  <c r="J521"/>
  <c r="F521"/>
  <c r="B521"/>
  <c r="K520"/>
  <c r="G520"/>
  <c r="C520"/>
  <c r="L519"/>
  <c r="H519"/>
  <c r="D519"/>
  <c r="M518"/>
  <c r="I518"/>
  <c r="E518"/>
  <c r="A518"/>
  <c r="J517"/>
  <c r="F517"/>
  <c r="B517"/>
  <c r="K516"/>
  <c r="G516"/>
  <c r="C516"/>
  <c r="L515"/>
  <c r="H515"/>
  <c r="D515"/>
  <c r="M514"/>
  <c r="I514"/>
  <c r="E514"/>
  <c r="A514"/>
  <c r="J513"/>
  <c r="F513"/>
  <c r="B513"/>
  <c r="K512"/>
  <c r="G512"/>
  <c r="C512"/>
  <c r="L511"/>
  <c r="H511"/>
  <c r="D511"/>
  <c r="M510"/>
  <c r="I510"/>
  <c r="E510"/>
  <c r="A510"/>
  <c r="J509"/>
  <c r="F509"/>
  <c r="B509"/>
  <c r="K508"/>
  <c r="G508"/>
  <c r="C508"/>
  <c r="L507"/>
  <c r="H507"/>
  <c r="D507"/>
  <c r="M506"/>
  <c r="I506"/>
  <c r="E506"/>
  <c r="A506"/>
  <c r="J505"/>
  <c r="F505"/>
  <c r="B505"/>
  <c r="K504"/>
  <c r="G504"/>
  <c r="C504"/>
  <c r="L503"/>
  <c r="H503"/>
  <c r="D503"/>
  <c r="M502"/>
  <c r="I502"/>
  <c r="E502"/>
  <c r="A502"/>
  <c r="J501"/>
  <c r="F501"/>
  <c r="B501"/>
  <c r="K500"/>
  <c r="G500"/>
  <c r="C500"/>
  <c r="L499"/>
  <c r="H499"/>
  <c r="D499"/>
  <c r="M498"/>
  <c r="I498"/>
  <c r="E498"/>
  <c r="A498"/>
  <c r="J497"/>
  <c r="F497"/>
  <c r="B497"/>
  <c r="K496"/>
  <c r="G496"/>
  <c r="C496"/>
  <c r="L495"/>
  <c r="H495"/>
  <c r="D495"/>
  <c r="M494"/>
  <c r="I494"/>
  <c r="E494"/>
  <c r="A494"/>
  <c r="J493"/>
  <c r="F493"/>
  <c r="B493"/>
  <c r="K492"/>
  <c r="G492"/>
  <c r="C492"/>
  <c r="L491"/>
  <c r="H491"/>
  <c r="D491"/>
  <c r="M490"/>
  <c r="I490"/>
  <c r="E490"/>
  <c r="A490"/>
  <c r="J489"/>
  <c r="F489"/>
  <c r="B489"/>
  <c r="K488"/>
  <c r="G488"/>
  <c r="C488"/>
  <c r="L487"/>
  <c r="H487"/>
  <c r="D487"/>
  <c r="M486"/>
  <c r="I486"/>
  <c r="E486"/>
  <c r="A486"/>
  <c r="J485"/>
  <c r="F485"/>
  <c r="B485"/>
  <c r="K484"/>
  <c r="G484"/>
  <c r="C484"/>
  <c r="L483"/>
  <c r="H483"/>
  <c r="D483"/>
  <c r="M482"/>
  <c r="I482"/>
  <c r="E482"/>
  <c r="A482"/>
  <c r="J481"/>
  <c r="F481"/>
  <c r="B481"/>
  <c r="K480"/>
  <c r="G480"/>
  <c r="C480"/>
  <c r="L479"/>
  <c r="H479"/>
  <c r="D479"/>
  <c r="M478"/>
  <c r="I478"/>
  <c r="E478"/>
  <c r="A478"/>
  <c r="J477"/>
  <c r="F477"/>
  <c r="B477"/>
  <c r="K476"/>
  <c r="G476"/>
  <c r="C476"/>
  <c r="L475"/>
  <c r="H475"/>
  <c r="D475"/>
  <c r="M474"/>
  <c r="I474"/>
  <c r="E474"/>
  <c r="A474"/>
  <c r="J473"/>
  <c r="F473"/>
  <c r="B473"/>
  <c r="K472"/>
  <c r="G472"/>
  <c r="C472"/>
  <c r="L471"/>
  <c r="H471"/>
  <c r="D471"/>
  <c r="M470"/>
  <c r="I470"/>
  <c r="E470"/>
  <c r="A470"/>
  <c r="J469"/>
  <c r="F469"/>
  <c r="B469"/>
  <c r="K468"/>
  <c r="G468"/>
  <c r="C468"/>
  <c r="L467"/>
  <c r="H467"/>
  <c r="D467"/>
  <c r="M466"/>
  <c r="I466"/>
  <c r="E466"/>
  <c r="A466"/>
  <c r="J465"/>
  <c r="F465"/>
  <c r="B465"/>
  <c r="K464"/>
  <c r="G464"/>
  <c r="C464"/>
  <c r="L463"/>
  <c r="H463"/>
  <c r="D463"/>
  <c r="M462"/>
  <c r="I462"/>
  <c r="E462"/>
  <c r="A462"/>
  <c r="J461"/>
  <c r="F461"/>
  <c r="B461"/>
  <c r="K460"/>
  <c r="G460"/>
  <c r="C460"/>
  <c r="L459"/>
  <c r="H459"/>
  <c r="D459"/>
  <c r="M458"/>
  <c r="I458"/>
  <c r="E458"/>
  <c r="A458"/>
  <c r="J457"/>
  <c r="F457"/>
  <c r="B457"/>
  <c r="K456"/>
  <c r="G456"/>
  <c r="C456"/>
  <c r="L455"/>
  <c r="H455"/>
  <c r="D455"/>
  <c r="M454"/>
  <c r="I454"/>
  <c r="E454"/>
  <c r="A454"/>
  <c r="J453"/>
  <c r="F453"/>
  <c r="B453"/>
  <c r="K452"/>
  <c r="G452"/>
  <c r="C452"/>
  <c r="L451"/>
  <c r="H451"/>
  <c r="D451"/>
  <c r="M450"/>
  <c r="I450"/>
  <c r="E450"/>
  <c r="A450"/>
  <c r="J449"/>
  <c r="F449"/>
  <c r="B449"/>
  <c r="K448"/>
  <c r="G448"/>
  <c r="C448"/>
  <c r="L447"/>
  <c r="H447"/>
  <c r="D447"/>
  <c r="M446"/>
  <c r="I446"/>
  <c r="E446"/>
  <c r="A446"/>
  <c r="J445"/>
  <c r="F445"/>
  <c r="B445"/>
  <c r="K444"/>
  <c r="G444"/>
  <c r="C444"/>
  <c r="L443"/>
  <c r="H443"/>
  <c r="D443"/>
  <c r="M442"/>
  <c r="I442"/>
  <c r="E442"/>
  <c r="A442"/>
  <c r="J441"/>
  <c r="F441"/>
  <c r="B441"/>
  <c r="K440"/>
  <c r="G440"/>
  <c r="C440"/>
  <c r="L439"/>
  <c r="H439"/>
  <c r="D439"/>
  <c r="M438"/>
  <c r="I438"/>
  <c r="E438"/>
  <c r="A438"/>
  <c r="J437"/>
  <c r="F437"/>
  <c r="B437"/>
  <c r="K436"/>
  <c r="G436"/>
  <c r="C436"/>
  <c r="L435"/>
  <c r="H435"/>
  <c r="D435"/>
  <c r="M434"/>
  <c r="I434"/>
  <c r="E434"/>
  <c r="A434"/>
  <c r="J433"/>
  <c r="F433"/>
  <c r="B433"/>
  <c r="K432"/>
  <c r="G432"/>
  <c r="C432"/>
  <c r="L431"/>
  <c r="H431"/>
  <c r="D431"/>
  <c r="M430"/>
  <c r="I430"/>
  <c r="E430"/>
  <c r="A430"/>
  <c r="J429"/>
  <c r="F429"/>
  <c r="B429"/>
  <c r="K428"/>
  <c r="G428"/>
  <c r="C428"/>
  <c r="L427"/>
  <c r="H427"/>
  <c r="D427"/>
  <c r="M426"/>
  <c r="I426"/>
  <c r="E426"/>
  <c r="A426"/>
  <c r="J425"/>
  <c r="F425"/>
  <c r="B425"/>
  <c r="K424"/>
  <c r="G424"/>
  <c r="C424"/>
  <c r="L423"/>
  <c r="H423"/>
  <c r="D423"/>
  <c r="M422"/>
  <c r="I422"/>
  <c r="E422"/>
  <c r="A422"/>
  <c r="J421"/>
  <c r="F421"/>
  <c r="B421"/>
  <c r="K420"/>
  <c r="G420"/>
  <c r="C420"/>
  <c r="L419"/>
  <c r="H419"/>
  <c r="D419"/>
  <c r="M418"/>
  <c r="I418"/>
  <c r="E418"/>
  <c r="A418"/>
  <c r="J417"/>
  <c r="F417"/>
  <c r="B417"/>
  <c r="K416"/>
  <c r="G416"/>
  <c r="C416"/>
  <c r="L415"/>
  <c r="H415"/>
  <c r="D415"/>
  <c r="M414"/>
  <c r="I414"/>
  <c r="E414"/>
  <c r="A414"/>
  <c r="J413"/>
  <c r="F413"/>
  <c r="B413"/>
  <c r="K412"/>
  <c r="G412"/>
  <c r="C412"/>
  <c r="L411"/>
  <c r="H411"/>
  <c r="D411"/>
  <c r="M410"/>
  <c r="I410"/>
  <c r="J1012"/>
  <c r="B1012"/>
  <c r="G1011"/>
  <c r="L1010"/>
  <c r="D1010"/>
  <c r="I1009"/>
  <c r="A1009"/>
  <c r="F1008"/>
  <c r="K1007"/>
  <c r="C1007"/>
  <c r="H1006"/>
  <c r="M1005"/>
  <c r="E1005"/>
  <c r="J1004"/>
  <c r="B1004"/>
  <c r="G1003"/>
  <c r="L1002"/>
  <c r="D1002"/>
  <c r="I1001"/>
  <c r="A1001"/>
  <c r="F1000"/>
  <c r="K999"/>
  <c r="C999"/>
  <c r="H998"/>
  <c r="B998"/>
  <c r="K997"/>
  <c r="G997"/>
  <c r="C997"/>
  <c r="L996"/>
  <c r="H996"/>
  <c r="D996"/>
  <c r="M995"/>
  <c r="I995"/>
  <c r="E995"/>
  <c r="A995"/>
  <c r="J994"/>
  <c r="F994"/>
  <c r="B994"/>
  <c r="K993"/>
  <c r="G993"/>
  <c r="C993"/>
  <c r="L992"/>
  <c r="H992"/>
  <c r="D992"/>
  <c r="M991"/>
  <c r="I991"/>
  <c r="E991"/>
  <c r="A991"/>
  <c r="J990"/>
  <c r="F990"/>
  <c r="B990"/>
  <c r="K989"/>
  <c r="G989"/>
  <c r="C989"/>
  <c r="L988"/>
  <c r="H988"/>
  <c r="D988"/>
  <c r="M987"/>
  <c r="I987"/>
  <c r="E987"/>
  <c r="A987"/>
  <c r="J986"/>
  <c r="F986"/>
  <c r="B986"/>
  <c r="K985"/>
  <c r="G985"/>
  <c r="C985"/>
  <c r="L984"/>
  <c r="H984"/>
  <c r="D984"/>
  <c r="M983"/>
  <c r="I983"/>
  <c r="E983"/>
  <c r="A983"/>
  <c r="J982"/>
  <c r="F982"/>
  <c r="B982"/>
  <c r="K981"/>
  <c r="G981"/>
  <c r="C981"/>
  <c r="L980"/>
  <c r="H980"/>
  <c r="D980"/>
  <c r="M979"/>
  <c r="I979"/>
  <c r="E979"/>
  <c r="A979"/>
  <c r="J978"/>
  <c r="F978"/>
  <c r="B978"/>
  <c r="K977"/>
  <c r="G977"/>
  <c r="C977"/>
  <c r="L976"/>
  <c r="H976"/>
  <c r="D976"/>
  <c r="M975"/>
  <c r="I975"/>
  <c r="E975"/>
  <c r="A975"/>
  <c r="J974"/>
  <c r="F974"/>
  <c r="B974"/>
  <c r="K973"/>
  <c r="G973"/>
  <c r="C973"/>
  <c r="L972"/>
  <c r="H972"/>
  <c r="D972"/>
  <c r="M971"/>
  <c r="I971"/>
  <c r="E971"/>
  <c r="A971"/>
  <c r="J970"/>
  <c r="F970"/>
  <c r="B970"/>
  <c r="K969"/>
  <c r="G969"/>
  <c r="C969"/>
  <c r="L968"/>
  <c r="H968"/>
  <c r="D968"/>
  <c r="M967"/>
  <c r="I967"/>
  <c r="E967"/>
  <c r="A967"/>
  <c r="J966"/>
  <c r="F966"/>
  <c r="B966"/>
  <c r="K965"/>
  <c r="G965"/>
  <c r="C965"/>
  <c r="L964"/>
  <c r="H964"/>
  <c r="D964"/>
  <c r="M963"/>
  <c r="I963"/>
  <c r="E963"/>
  <c r="A963"/>
  <c r="J962"/>
  <c r="F962"/>
  <c r="B962"/>
  <c r="K961"/>
  <c r="G961"/>
  <c r="C961"/>
  <c r="L960"/>
  <c r="H960"/>
  <c r="D960"/>
  <c r="M959"/>
  <c r="I959"/>
  <c r="E959"/>
  <c r="A959"/>
  <c r="J958"/>
  <c r="F958"/>
  <c r="B958"/>
  <c r="K957"/>
  <c r="G957"/>
  <c r="C957"/>
  <c r="L956"/>
  <c r="H956"/>
  <c r="D956"/>
  <c r="M955"/>
  <c r="I955"/>
  <c r="E955"/>
  <c r="A955"/>
  <c r="J954"/>
  <c r="F954"/>
  <c r="B954"/>
  <c r="K953"/>
  <c r="G953"/>
  <c r="C953"/>
  <c r="L952"/>
  <c r="H952"/>
  <c r="D952"/>
  <c r="M951"/>
  <c r="I951"/>
  <c r="E951"/>
  <c r="A951"/>
  <c r="J950"/>
  <c r="F950"/>
  <c r="B950"/>
  <c r="K949"/>
  <c r="G949"/>
  <c r="C949"/>
  <c r="L948"/>
  <c r="H948"/>
  <c r="D948"/>
  <c r="M947"/>
  <c r="I947"/>
  <c r="E947"/>
  <c r="A947"/>
  <c r="J946"/>
  <c r="F946"/>
  <c r="B946"/>
  <c r="K945"/>
  <c r="G945"/>
  <c r="C945"/>
  <c r="L944"/>
  <c r="H944"/>
  <c r="D944"/>
  <c r="M943"/>
  <c r="I943"/>
  <c r="E943"/>
  <c r="A943"/>
  <c r="J942"/>
  <c r="F942"/>
  <c r="B942"/>
  <c r="K941"/>
  <c r="G941"/>
  <c r="C941"/>
  <c r="L940"/>
  <c r="H940"/>
  <c r="D940"/>
  <c r="M939"/>
  <c r="I939"/>
  <c r="E939"/>
  <c r="A939"/>
  <c r="J938"/>
  <c r="F938"/>
  <c r="B938"/>
  <c r="K937"/>
  <c r="G937"/>
  <c r="C937"/>
  <c r="L936"/>
  <c r="H936"/>
  <c r="D936"/>
  <c r="M935"/>
  <c r="I935"/>
  <c r="E935"/>
  <c r="A935"/>
  <c r="J934"/>
  <c r="F934"/>
  <c r="B934"/>
  <c r="K933"/>
  <c r="G933"/>
  <c r="C933"/>
  <c r="L932"/>
  <c r="H932"/>
  <c r="D932"/>
  <c r="M931"/>
  <c r="I931"/>
  <c r="E931"/>
  <c r="A931"/>
  <c r="J930"/>
  <c r="F930"/>
  <c r="B930"/>
  <c r="K929"/>
  <c r="G929"/>
  <c r="C929"/>
  <c r="L928"/>
  <c r="H928"/>
  <c r="D928"/>
  <c r="M927"/>
  <c r="I927"/>
  <c r="E927"/>
  <c r="A927"/>
  <c r="J926"/>
  <c r="F926"/>
  <c r="B926"/>
  <c r="K925"/>
  <c r="G925"/>
  <c r="C925"/>
  <c r="L924"/>
  <c r="H924"/>
  <c r="D924"/>
  <c r="M923"/>
  <c r="I923"/>
  <c r="E923"/>
  <c r="A923"/>
  <c r="J922"/>
  <c r="F922"/>
  <c r="B922"/>
  <c r="K921"/>
  <c r="G921"/>
  <c r="C921"/>
  <c r="L920"/>
  <c r="H920"/>
  <c r="D920"/>
  <c r="M919"/>
  <c r="I919"/>
  <c r="E919"/>
  <c r="A919"/>
  <c r="J918"/>
  <c r="F918"/>
  <c r="B918"/>
  <c r="K917"/>
  <c r="G917"/>
  <c r="C917"/>
  <c r="L916"/>
  <c r="H916"/>
  <c r="D916"/>
  <c r="M915"/>
  <c r="I915"/>
  <c r="E915"/>
  <c r="A915"/>
  <c r="J914"/>
  <c r="F914"/>
  <c r="B914"/>
  <c r="K913"/>
  <c r="G913"/>
  <c r="C913"/>
  <c r="L912"/>
  <c r="H912"/>
  <c r="D912"/>
  <c r="M911"/>
  <c r="I911"/>
  <c r="E911"/>
  <c r="A911"/>
  <c r="J910"/>
  <c r="F910"/>
  <c r="B910"/>
  <c r="K909"/>
  <c r="G909"/>
  <c r="C909"/>
  <c r="L908"/>
  <c r="H908"/>
  <c r="D908"/>
  <c r="M907"/>
  <c r="I907"/>
  <c r="E907"/>
  <c r="A907"/>
  <c r="J906"/>
  <c r="F906"/>
  <c r="B906"/>
  <c r="K905"/>
  <c r="G905"/>
  <c r="C905"/>
  <c r="L904"/>
  <c r="H904"/>
  <c r="D904"/>
  <c r="M903"/>
  <c r="I903"/>
  <c r="E903"/>
  <c r="A903"/>
  <c r="J902"/>
  <c r="F902"/>
  <c r="B902"/>
  <c r="K901"/>
  <c r="G901"/>
  <c r="C901"/>
  <c r="L900"/>
  <c r="H900"/>
  <c r="D900"/>
  <c r="M899"/>
  <c r="I899"/>
  <c r="E899"/>
  <c r="A899"/>
  <c r="J898"/>
  <c r="F898"/>
  <c r="B898"/>
  <c r="K897"/>
  <c r="G897"/>
  <c r="C897"/>
  <c r="L896"/>
  <c r="H896"/>
  <c r="D896"/>
  <c r="M895"/>
  <c r="I895"/>
  <c r="E895"/>
  <c r="A895"/>
  <c r="J894"/>
  <c r="F894"/>
  <c r="B894"/>
  <c r="K893"/>
  <c r="G893"/>
  <c r="C893"/>
  <c r="L892"/>
  <c r="H892"/>
  <c r="D892"/>
  <c r="M891"/>
  <c r="I891"/>
  <c r="E891"/>
  <c r="A891"/>
  <c r="J890"/>
  <c r="F890"/>
  <c r="B890"/>
  <c r="K889"/>
  <c r="G889"/>
  <c r="C889"/>
  <c r="L888"/>
  <c r="H888"/>
  <c r="D888"/>
  <c r="M887"/>
  <c r="I887"/>
  <c r="E887"/>
  <c r="A887"/>
  <c r="J886"/>
  <c r="F886"/>
  <c r="B886"/>
  <c r="K885"/>
  <c r="G885"/>
  <c r="C885"/>
  <c r="L884"/>
  <c r="H884"/>
  <c r="D884"/>
  <c r="M883"/>
  <c r="I883"/>
  <c r="E883"/>
  <c r="A883"/>
  <c r="J882"/>
  <c r="F882"/>
  <c r="B882"/>
  <c r="K881"/>
  <c r="G881"/>
  <c r="C881"/>
  <c r="L880"/>
  <c r="H880"/>
  <c r="D880"/>
  <c r="M879"/>
  <c r="I879"/>
  <c r="E879"/>
  <c r="A879"/>
  <c r="J878"/>
  <c r="F878"/>
  <c r="B878"/>
  <c r="K877"/>
  <c r="G877"/>
  <c r="C877"/>
  <c r="L876"/>
  <c r="H876"/>
  <c r="D876"/>
  <c r="M875"/>
  <c r="I875"/>
  <c r="E875"/>
  <c r="A875"/>
  <c r="J874"/>
  <c r="F874"/>
  <c r="B874"/>
  <c r="K873"/>
  <c r="G873"/>
  <c r="C873"/>
  <c r="L872"/>
  <c r="H872"/>
  <c r="D872"/>
  <c r="M871"/>
  <c r="I871"/>
  <c r="E871"/>
  <c r="A871"/>
  <c r="J870"/>
  <c r="F870"/>
  <c r="B870"/>
  <c r="K869"/>
  <c r="G869"/>
  <c r="C869"/>
  <c r="L868"/>
  <c r="H868"/>
  <c r="D868"/>
  <c r="M867"/>
  <c r="I867"/>
  <c r="E867"/>
  <c r="A867"/>
  <c r="J866"/>
  <c r="F866"/>
  <c r="B866"/>
  <c r="K865"/>
  <c r="G865"/>
  <c r="C865"/>
  <c r="L864"/>
  <c r="H864"/>
  <c r="D864"/>
  <c r="M863"/>
  <c r="I863"/>
  <c r="E863"/>
  <c r="A863"/>
  <c r="J862"/>
  <c r="F862"/>
  <c r="B862"/>
  <c r="K861"/>
  <c r="G861"/>
  <c r="C861"/>
  <c r="L860"/>
  <c r="H860"/>
  <c r="D860"/>
  <c r="M859"/>
  <c r="I859"/>
  <c r="E859"/>
  <c r="A859"/>
  <c r="J858"/>
  <c r="F858"/>
  <c r="B858"/>
  <c r="K857"/>
  <c r="G857"/>
  <c r="C857"/>
  <c r="L856"/>
  <c r="H856"/>
  <c r="D856"/>
  <c r="M855"/>
  <c r="I855"/>
  <c r="E855"/>
  <c r="A855"/>
  <c r="J854"/>
  <c r="F854"/>
  <c r="B854"/>
  <c r="K853"/>
  <c r="G853"/>
  <c r="C853"/>
  <c r="L852"/>
  <c r="H852"/>
  <c r="D852"/>
  <c r="M851"/>
  <c r="I851"/>
  <c r="E851"/>
  <c r="A851"/>
  <c r="J850"/>
  <c r="F850"/>
  <c r="B850"/>
  <c r="K849"/>
  <c r="G849"/>
  <c r="C849"/>
  <c r="L848"/>
  <c r="H848"/>
  <c r="D848"/>
  <c r="M847"/>
  <c r="I847"/>
  <c r="E847"/>
  <c r="A847"/>
  <c r="J846"/>
  <c r="F846"/>
  <c r="B846"/>
  <c r="K845"/>
  <c r="G845"/>
  <c r="C845"/>
  <c r="L844"/>
  <c r="H844"/>
  <c r="D844"/>
  <c r="M843"/>
  <c r="I843"/>
  <c r="E843"/>
  <c r="A843"/>
  <c r="J842"/>
  <c r="F842"/>
  <c r="B842"/>
  <c r="K841"/>
  <c r="G841"/>
  <c r="C841"/>
  <c r="L840"/>
  <c r="H840"/>
  <c r="D840"/>
  <c r="M839"/>
  <c r="I839"/>
  <c r="E839"/>
  <c r="A839"/>
  <c r="J838"/>
  <c r="F838"/>
  <c r="B838"/>
  <c r="K837"/>
  <c r="G837"/>
  <c r="C837"/>
  <c r="L836"/>
  <c r="H836"/>
  <c r="D836"/>
  <c r="M835"/>
  <c r="I835"/>
  <c r="E835"/>
  <c r="A835"/>
  <c r="J834"/>
  <c r="F834"/>
  <c r="B834"/>
  <c r="K833"/>
  <c r="G833"/>
  <c r="C833"/>
  <c r="L832"/>
  <c r="H832"/>
  <c r="D832"/>
  <c r="M831"/>
  <c r="I831"/>
  <c r="E831"/>
  <c r="A831"/>
  <c r="J830"/>
  <c r="F830"/>
  <c r="B830"/>
  <c r="K829"/>
  <c r="G829"/>
  <c r="C829"/>
  <c r="L828"/>
  <c r="H828"/>
  <c r="D828"/>
  <c r="M827"/>
  <c r="I827"/>
  <c r="E827"/>
  <c r="A827"/>
  <c r="J826"/>
  <c r="F826"/>
  <c r="B826"/>
  <c r="K825"/>
  <c r="G825"/>
  <c r="C825"/>
  <c r="L824"/>
  <c r="H824"/>
  <c r="D824"/>
  <c r="M823"/>
  <c r="I823"/>
  <c r="E823"/>
  <c r="A823"/>
  <c r="J822"/>
  <c r="F822"/>
  <c r="B822"/>
  <c r="K821"/>
  <c r="G821"/>
  <c r="C821"/>
  <c r="L820"/>
  <c r="H820"/>
  <c r="D820"/>
  <c r="M819"/>
  <c r="I819"/>
  <c r="E819"/>
  <c r="A819"/>
  <c r="J818"/>
  <c r="F818"/>
  <c r="B818"/>
  <c r="K817"/>
  <c r="G817"/>
  <c r="C817"/>
  <c r="L816"/>
  <c r="H816"/>
  <c r="D816"/>
  <c r="M815"/>
  <c r="I815"/>
  <c r="E815"/>
  <c r="A815"/>
  <c r="J814"/>
  <c r="F814"/>
  <c r="B814"/>
  <c r="K813"/>
  <c r="G813"/>
  <c r="C813"/>
  <c r="L812"/>
  <c r="H812"/>
  <c r="D812"/>
  <c r="M811"/>
  <c r="I811"/>
  <c r="E811"/>
  <c r="A811"/>
  <c r="J810"/>
  <c r="F810"/>
  <c r="B810"/>
  <c r="K809"/>
  <c r="G809"/>
  <c r="C809"/>
  <c r="L808"/>
  <c r="H808"/>
  <c r="D808"/>
  <c r="M807"/>
  <c r="I807"/>
  <c r="E807"/>
  <c r="A807"/>
  <c r="J806"/>
  <c r="F806"/>
  <c r="B806"/>
  <c r="K805"/>
  <c r="G805"/>
  <c r="C805"/>
  <c r="L804"/>
  <c r="H804"/>
  <c r="D804"/>
  <c r="M803"/>
  <c r="I803"/>
  <c r="E803"/>
  <c r="A803"/>
  <c r="J802"/>
  <c r="F802"/>
  <c r="B802"/>
  <c r="K801"/>
  <c r="G801"/>
  <c r="C801"/>
  <c r="L800"/>
  <c r="H800"/>
  <c r="D800"/>
  <c r="M799"/>
  <c r="I799"/>
  <c r="E799"/>
  <c r="A799"/>
  <c r="J798"/>
  <c r="F798"/>
  <c r="B798"/>
  <c r="K797"/>
  <c r="G797"/>
  <c r="C797"/>
  <c r="L796"/>
  <c r="H796"/>
  <c r="D796"/>
  <c r="M795"/>
  <c r="I795"/>
  <c r="E795"/>
  <c r="A795"/>
  <c r="J794"/>
  <c r="F794"/>
  <c r="B794"/>
  <c r="K793"/>
  <c r="G793"/>
  <c r="C793"/>
  <c r="L792"/>
  <c r="H792"/>
  <c r="D792"/>
  <c r="M791"/>
  <c r="I791"/>
  <c r="E791"/>
  <c r="A791"/>
  <c r="J790"/>
  <c r="F790"/>
  <c r="B790"/>
  <c r="K789"/>
  <c r="G789"/>
  <c r="C789"/>
  <c r="L788"/>
  <c r="H788"/>
  <c r="D788"/>
  <c r="M787"/>
  <c r="I787"/>
  <c r="E787"/>
  <c r="A787"/>
  <c r="J786"/>
  <c r="F786"/>
  <c r="B786"/>
  <c r="K785"/>
  <c r="G785"/>
  <c r="C785"/>
  <c r="L784"/>
  <c r="H784"/>
  <c r="D784"/>
  <c r="M783"/>
  <c r="I783"/>
  <c r="E783"/>
  <c r="A783"/>
  <c r="J782"/>
  <c r="F782"/>
  <c r="B782"/>
  <c r="K781"/>
  <c r="G781"/>
  <c r="C781"/>
  <c r="L780"/>
  <c r="H780"/>
  <c r="D780"/>
  <c r="M779"/>
  <c r="I779"/>
  <c r="E779"/>
  <c r="A779"/>
  <c r="J778"/>
  <c r="F778"/>
  <c r="B778"/>
  <c r="K777"/>
  <c r="G777"/>
  <c r="C777"/>
  <c r="L776"/>
  <c r="H776"/>
  <c r="D776"/>
  <c r="M775"/>
  <c r="I775"/>
  <c r="E775"/>
  <c r="A775"/>
  <c r="J774"/>
  <c r="F774"/>
  <c r="B774"/>
  <c r="K773"/>
  <c r="G773"/>
  <c r="C773"/>
  <c r="L772"/>
  <c r="H772"/>
  <c r="D772"/>
  <c r="M771"/>
  <c r="I771"/>
  <c r="E771"/>
  <c r="A771"/>
  <c r="J770"/>
  <c r="F770"/>
  <c r="B770"/>
  <c r="K769"/>
  <c r="G769"/>
  <c r="C769"/>
  <c r="L768"/>
  <c r="H768"/>
  <c r="D768"/>
  <c r="M767"/>
  <c r="I767"/>
  <c r="E767"/>
  <c r="A767"/>
  <c r="J766"/>
  <c r="F766"/>
  <c r="B766"/>
  <c r="K765"/>
  <c r="G765"/>
  <c r="C765"/>
  <c r="L764"/>
  <c r="H764"/>
  <c r="D764"/>
  <c r="M763"/>
  <c r="I763"/>
  <c r="E763"/>
  <c r="A763"/>
  <c r="J762"/>
  <c r="F762"/>
  <c r="B762"/>
  <c r="K761"/>
  <c r="G761"/>
  <c r="C761"/>
  <c r="L760"/>
  <c r="H760"/>
  <c r="D760"/>
  <c r="M759"/>
  <c r="I759"/>
  <c r="E759"/>
  <c r="A759"/>
  <c r="J758"/>
  <c r="F758"/>
  <c r="B758"/>
  <c r="K757"/>
  <c r="G757"/>
  <c r="C757"/>
  <c r="L756"/>
  <c r="H756"/>
  <c r="D756"/>
  <c r="M755"/>
  <c r="I755"/>
  <c r="E755"/>
  <c r="A755"/>
  <c r="J754"/>
  <c r="F754"/>
  <c r="B754"/>
  <c r="K753"/>
  <c r="G753"/>
  <c r="C753"/>
  <c r="L752"/>
  <c r="H752"/>
  <c r="D752"/>
  <c r="M751"/>
  <c r="I751"/>
  <c r="E751"/>
  <c r="A751"/>
  <c r="J750"/>
  <c r="F750"/>
  <c r="B750"/>
  <c r="K749"/>
  <c r="G749"/>
  <c r="C749"/>
  <c r="L748"/>
  <c r="H748"/>
  <c r="D748"/>
  <c r="M747"/>
  <c r="I747"/>
  <c r="E747"/>
  <c r="A747"/>
  <c r="J746"/>
  <c r="F746"/>
  <c r="B746"/>
  <c r="K745"/>
  <c r="G745"/>
  <c r="C745"/>
  <c r="L744"/>
  <c r="H744"/>
  <c r="D744"/>
  <c r="M743"/>
  <c r="I743"/>
  <c r="E743"/>
  <c r="A743"/>
  <c r="J742"/>
  <c r="F742"/>
  <c r="B742"/>
  <c r="K741"/>
  <c r="G741"/>
  <c r="C741"/>
  <c r="L740"/>
  <c r="H740"/>
  <c r="D740"/>
  <c r="M739"/>
  <c r="I739"/>
  <c r="E739"/>
  <c r="A739"/>
  <c r="J738"/>
  <c r="F738"/>
  <c r="B738"/>
  <c r="K737"/>
  <c r="G737"/>
  <c r="C737"/>
  <c r="L736"/>
  <c r="H736"/>
  <c r="D736"/>
  <c r="M735"/>
  <c r="I735"/>
  <c r="E735"/>
  <c r="A735"/>
  <c r="J734"/>
  <c r="F734"/>
  <c r="B734"/>
  <c r="K733"/>
  <c r="G733"/>
  <c r="C733"/>
  <c r="L732"/>
  <c r="H732"/>
  <c r="D732"/>
  <c r="M731"/>
  <c r="I731"/>
  <c r="E731"/>
  <c r="A731"/>
  <c r="J730"/>
  <c r="F730"/>
  <c r="B730"/>
  <c r="K729"/>
  <c r="G729"/>
  <c r="C729"/>
  <c r="L728"/>
  <c r="H728"/>
  <c r="D728"/>
  <c r="M727"/>
  <c r="I727"/>
  <c r="E727"/>
  <c r="A727"/>
  <c r="J726"/>
  <c r="F726"/>
  <c r="B726"/>
  <c r="K725"/>
  <c r="G725"/>
  <c r="C725"/>
  <c r="L724"/>
  <c r="H724"/>
  <c r="D724"/>
  <c r="M723"/>
  <c r="I723"/>
  <c r="E723"/>
  <c r="A723"/>
  <c r="J722"/>
  <c r="F722"/>
  <c r="B722"/>
  <c r="K721"/>
  <c r="G721"/>
  <c r="C721"/>
  <c r="L720"/>
  <c r="H720"/>
  <c r="D720"/>
  <c r="M719"/>
  <c r="I719"/>
  <c r="E719"/>
  <c r="A719"/>
  <c r="J718"/>
  <c r="F718"/>
  <c r="B718"/>
  <c r="K717"/>
  <c r="G717"/>
  <c r="C717"/>
  <c r="L716"/>
  <c r="H716"/>
  <c r="D716"/>
  <c r="M715"/>
  <c r="I715"/>
  <c r="E715"/>
  <c r="A715"/>
  <c r="J714"/>
  <c r="F714"/>
  <c r="B714"/>
  <c r="K713"/>
  <c r="G713"/>
  <c r="C713"/>
  <c r="L712"/>
  <c r="H712"/>
  <c r="D712"/>
  <c r="M711"/>
  <c r="I711"/>
  <c r="E711"/>
  <c r="A711"/>
  <c r="J710"/>
  <c r="F710"/>
  <c r="B710"/>
  <c r="K709"/>
  <c r="G709"/>
  <c r="C709"/>
  <c r="L708"/>
  <c r="H708"/>
  <c r="D708"/>
  <c r="M707"/>
  <c r="I707"/>
  <c r="E707"/>
  <c r="A707"/>
  <c r="J706"/>
  <c r="F706"/>
  <c r="B706"/>
  <c r="K705"/>
  <c r="G705"/>
  <c r="C705"/>
  <c r="L704"/>
  <c r="H704"/>
  <c r="D704"/>
  <c r="M703"/>
  <c r="I703"/>
  <c r="E703"/>
  <c r="A703"/>
  <c r="J702"/>
  <c r="F702"/>
  <c r="B702"/>
  <c r="K701"/>
  <c r="G701"/>
  <c r="C701"/>
  <c r="L700"/>
  <c r="H700"/>
  <c r="D700"/>
  <c r="M699"/>
  <c r="I699"/>
  <c r="E699"/>
  <c r="A699"/>
  <c r="J698"/>
  <c r="F698"/>
  <c r="B698"/>
  <c r="K697"/>
  <c r="G697"/>
  <c r="C697"/>
  <c r="L696"/>
  <c r="H696"/>
  <c r="D696"/>
  <c r="M695"/>
  <c r="I695"/>
  <c r="E695"/>
  <c r="A695"/>
  <c r="J694"/>
  <c r="F694"/>
  <c r="B694"/>
  <c r="K693"/>
  <c r="G693"/>
  <c r="C693"/>
  <c r="L692"/>
  <c r="H692"/>
  <c r="D692"/>
  <c r="M691"/>
  <c r="I691"/>
  <c r="E691"/>
  <c r="A691"/>
  <c r="J690"/>
  <c r="F690"/>
  <c r="B690"/>
  <c r="K689"/>
  <c r="G689"/>
  <c r="C689"/>
  <c r="L688"/>
  <c r="H688"/>
  <c r="D688"/>
  <c r="M687"/>
  <c r="I687"/>
  <c r="E687"/>
  <c r="A687"/>
  <c r="J686"/>
  <c r="F686"/>
  <c r="B686"/>
  <c r="K685"/>
  <c r="G685"/>
  <c r="C685"/>
  <c r="L684"/>
  <c r="H684"/>
  <c r="D684"/>
  <c r="M683"/>
  <c r="I683"/>
  <c r="E683"/>
  <c r="A683"/>
  <c r="J682"/>
  <c r="F682"/>
  <c r="B682"/>
  <c r="K681"/>
  <c r="G681"/>
  <c r="C681"/>
  <c r="L680"/>
  <c r="H680"/>
  <c r="D680"/>
  <c r="M679"/>
  <c r="I679"/>
  <c r="E679"/>
  <c r="A679"/>
  <c r="J678"/>
  <c r="F678"/>
  <c r="B678"/>
  <c r="K677"/>
  <c r="G677"/>
  <c r="C677"/>
  <c r="L676"/>
  <c r="H676"/>
  <c r="D676"/>
  <c r="M675"/>
  <c r="I675"/>
  <c r="E675"/>
  <c r="A675"/>
  <c r="J674"/>
  <c r="F674"/>
  <c r="B674"/>
  <c r="K673"/>
  <c r="G673"/>
  <c r="C673"/>
  <c r="L672"/>
  <c r="H672"/>
  <c r="D672"/>
  <c r="M671"/>
  <c r="I671"/>
  <c r="E671"/>
  <c r="A671"/>
  <c r="J670"/>
  <c r="F670"/>
  <c r="B670"/>
  <c r="K669"/>
  <c r="G669"/>
  <c r="C669"/>
  <c r="L668"/>
  <c r="H668"/>
  <c r="D668"/>
  <c r="M667"/>
  <c r="I667"/>
  <c r="E667"/>
  <c r="A667"/>
  <c r="J666"/>
  <c r="F666"/>
  <c r="B666"/>
  <c r="K665"/>
  <c r="G665"/>
  <c r="C665"/>
  <c r="L664"/>
  <c r="H664"/>
  <c r="D664"/>
  <c r="M663"/>
  <c r="I663"/>
  <c r="E663"/>
  <c r="A663"/>
  <c r="J662"/>
  <c r="F662"/>
  <c r="B662"/>
  <c r="K661"/>
  <c r="G661"/>
  <c r="C661"/>
  <c r="L660"/>
  <c r="H660"/>
  <c r="D660"/>
  <c r="M659"/>
  <c r="I659"/>
  <c r="E659"/>
  <c r="A659"/>
  <c r="J658"/>
  <c r="F658"/>
  <c r="B658"/>
  <c r="K657"/>
  <c r="G657"/>
  <c r="C657"/>
  <c r="L656"/>
  <c r="H656"/>
  <c r="D656"/>
  <c r="M655"/>
  <c r="I655"/>
  <c r="E655"/>
  <c r="A655"/>
  <c r="J654"/>
  <c r="F654"/>
  <c r="B654"/>
  <c r="K653"/>
  <c r="G653"/>
  <c r="C653"/>
  <c r="L652"/>
  <c r="H652"/>
  <c r="D652"/>
  <c r="M651"/>
  <c r="I651"/>
  <c r="E651"/>
  <c r="A651"/>
  <c r="J650"/>
  <c r="F650"/>
  <c r="B650"/>
  <c r="K649"/>
  <c r="G649"/>
  <c r="C649"/>
  <c r="L648"/>
  <c r="H648"/>
  <c r="D648"/>
  <c r="M647"/>
  <c r="I647"/>
  <c r="E647"/>
  <c r="A647"/>
  <c r="J646"/>
  <c r="F646"/>
  <c r="B646"/>
  <c r="K645"/>
  <c r="G645"/>
  <c r="C645"/>
  <c r="L644"/>
  <c r="H644"/>
  <c r="D644"/>
  <c r="M643"/>
  <c r="I643"/>
  <c r="E643"/>
  <c r="A643"/>
  <c r="J642"/>
  <c r="F642"/>
  <c r="B642"/>
  <c r="K641"/>
  <c r="G641"/>
  <c r="C641"/>
  <c r="L640"/>
  <c r="H640"/>
  <c r="D640"/>
  <c r="M639"/>
  <c r="I639"/>
  <c r="E639"/>
  <c r="A639"/>
  <c r="J638"/>
  <c r="F638"/>
  <c r="B638"/>
  <c r="K637"/>
  <c r="G637"/>
  <c r="C637"/>
  <c r="L636"/>
  <c r="H636"/>
  <c r="D636"/>
  <c r="M635"/>
  <c r="I635"/>
  <c r="E635"/>
  <c r="A635"/>
  <c r="J634"/>
  <c r="F634"/>
  <c r="B634"/>
  <c r="K633"/>
  <c r="G633"/>
  <c r="C633"/>
  <c r="L632"/>
  <c r="H632"/>
  <c r="D632"/>
  <c r="M631"/>
  <c r="I631"/>
  <c r="E631"/>
  <c r="A631"/>
  <c r="J630"/>
  <c r="F630"/>
  <c r="B630"/>
  <c r="K629"/>
  <c r="G629"/>
  <c r="C629"/>
  <c r="L628"/>
  <c r="H628"/>
  <c r="D628"/>
  <c r="M627"/>
  <c r="I627"/>
  <c r="E627"/>
  <c r="A627"/>
  <c r="J626"/>
  <c r="F626"/>
  <c r="B626"/>
  <c r="K625"/>
  <c r="G625"/>
  <c r="C625"/>
  <c r="L624"/>
  <c r="H624"/>
  <c r="D624"/>
  <c r="M623"/>
  <c r="I623"/>
  <c r="E623"/>
  <c r="A623"/>
  <c r="J622"/>
  <c r="F622"/>
  <c r="B622"/>
  <c r="K621"/>
  <c r="G621"/>
  <c r="C621"/>
  <c r="L620"/>
  <c r="H620"/>
  <c r="D620"/>
  <c r="M619"/>
  <c r="I619"/>
  <c r="E619"/>
  <c r="A619"/>
  <c r="J618"/>
  <c r="F618"/>
  <c r="B618"/>
  <c r="K617"/>
  <c r="G617"/>
  <c r="C617"/>
  <c r="L616"/>
  <c r="H616"/>
  <c r="D616"/>
  <c r="M615"/>
  <c r="I615"/>
  <c r="E615"/>
  <c r="A615"/>
  <c r="J614"/>
  <c r="F614"/>
  <c r="B614"/>
  <c r="K613"/>
  <c r="G613"/>
  <c r="C613"/>
  <c r="L612"/>
  <c r="H612"/>
  <c r="D612"/>
  <c r="M611"/>
  <c r="I611"/>
  <c r="E611"/>
  <c r="A611"/>
  <c r="J610"/>
  <c r="F610"/>
  <c r="B610"/>
  <c r="K609"/>
  <c r="G609"/>
  <c r="C609"/>
  <c r="L608"/>
  <c r="H608"/>
  <c r="D608"/>
  <c r="M607"/>
  <c r="I607"/>
  <c r="E607"/>
  <c r="A607"/>
  <c r="J606"/>
  <c r="F606"/>
  <c r="B606"/>
  <c r="K605"/>
  <c r="G605"/>
  <c r="C605"/>
  <c r="L604"/>
  <c r="H604"/>
  <c r="D604"/>
  <c r="M603"/>
  <c r="I603"/>
  <c r="E603"/>
  <c r="A603"/>
  <c r="J602"/>
  <c r="F602"/>
  <c r="B602"/>
  <c r="K601"/>
  <c r="G601"/>
  <c r="C601"/>
  <c r="L600"/>
  <c r="H600"/>
  <c r="D600"/>
  <c r="M599"/>
  <c r="I599"/>
  <c r="E599"/>
  <c r="A599"/>
  <c r="J598"/>
  <c r="F598"/>
  <c r="B598"/>
  <c r="K597"/>
  <c r="G597"/>
  <c r="C597"/>
  <c r="L596"/>
  <c r="H596"/>
  <c r="D596"/>
  <c r="M595"/>
  <c r="I595"/>
  <c r="E595"/>
  <c r="A595"/>
  <c r="J594"/>
  <c r="F594"/>
  <c r="B594"/>
  <c r="K593"/>
  <c r="G593"/>
  <c r="C593"/>
  <c r="L592"/>
  <c r="H592"/>
  <c r="D592"/>
  <c r="M591"/>
  <c r="I591"/>
  <c r="E591"/>
  <c r="A591"/>
  <c r="J590"/>
  <c r="F590"/>
  <c r="B590"/>
  <c r="K589"/>
  <c r="G589"/>
  <c r="C589"/>
  <c r="L588"/>
  <c r="H588"/>
  <c r="D588"/>
  <c r="M587"/>
  <c r="I587"/>
  <c r="E587"/>
  <c r="A587"/>
  <c r="J586"/>
  <c r="F586"/>
  <c r="B586"/>
  <c r="K585"/>
  <c r="G585"/>
  <c r="C585"/>
  <c r="L584"/>
  <c r="H584"/>
  <c r="D584"/>
  <c r="M583"/>
  <c r="I583"/>
  <c r="E583"/>
  <c r="A583"/>
  <c r="J582"/>
  <c r="F582"/>
  <c r="B582"/>
  <c r="K581"/>
  <c r="G581"/>
  <c r="C581"/>
  <c r="L580"/>
  <c r="H580"/>
  <c r="D580"/>
  <c r="M579"/>
  <c r="I579"/>
  <c r="E579"/>
  <c r="A579"/>
  <c r="J578"/>
  <c r="F578"/>
  <c r="B578"/>
  <c r="K577"/>
  <c r="G577"/>
  <c r="C577"/>
  <c r="L576"/>
  <c r="H576"/>
  <c r="D576"/>
  <c r="M575"/>
  <c r="I575"/>
  <c r="E575"/>
  <c r="A575"/>
  <c r="J574"/>
  <c r="F574"/>
  <c r="B574"/>
  <c r="K573"/>
  <c r="G573"/>
  <c r="C573"/>
  <c r="L572"/>
  <c r="H572"/>
  <c r="D572"/>
  <c r="M571"/>
  <c r="I571"/>
  <c r="E571"/>
  <c r="A571"/>
  <c r="J570"/>
  <c r="F570"/>
  <c r="B570"/>
  <c r="K569"/>
  <c r="G569"/>
  <c r="C569"/>
  <c r="L568"/>
  <c r="H568"/>
  <c r="D568"/>
  <c r="M567"/>
  <c r="I567"/>
  <c r="E567"/>
  <c r="A567"/>
  <c r="J566"/>
  <c r="F566"/>
  <c r="B566"/>
  <c r="K565"/>
  <c r="G565"/>
  <c r="C565"/>
  <c r="L564"/>
  <c r="H564"/>
  <c r="D564"/>
  <c r="M563"/>
  <c r="I563"/>
  <c r="E563"/>
  <c r="A563"/>
  <c r="J562"/>
  <c r="F562"/>
  <c r="B562"/>
  <c r="K561"/>
  <c r="G561"/>
  <c r="C561"/>
  <c r="L560"/>
  <c r="H560"/>
  <c r="D560"/>
  <c r="M559"/>
  <c r="I559"/>
  <c r="E559"/>
  <c r="A559"/>
  <c r="J558"/>
  <c r="F558"/>
  <c r="B558"/>
  <c r="K557"/>
  <c r="G557"/>
  <c r="C557"/>
  <c r="L556"/>
  <c r="H556"/>
  <c r="D556"/>
  <c r="M555"/>
  <c r="I555"/>
  <c r="E555"/>
  <c r="A555"/>
  <c r="J554"/>
  <c r="F554"/>
  <c r="B554"/>
  <c r="K553"/>
  <c r="G553"/>
  <c r="C553"/>
  <c r="L552"/>
  <c r="H552"/>
  <c r="D552"/>
  <c r="M551"/>
  <c r="I551"/>
  <c r="E551"/>
  <c r="A551"/>
  <c r="J550"/>
  <c r="F550"/>
  <c r="B550"/>
  <c r="K549"/>
  <c r="G549"/>
  <c r="C549"/>
  <c r="L548"/>
  <c r="H548"/>
  <c r="D548"/>
  <c r="M547"/>
  <c r="I547"/>
  <c r="E547"/>
  <c r="A547"/>
  <c r="J546"/>
  <c r="F546"/>
  <c r="B546"/>
  <c r="K545"/>
  <c r="G545"/>
  <c r="C545"/>
  <c r="L544"/>
  <c r="H544"/>
  <c r="D544"/>
  <c r="M543"/>
  <c r="I543"/>
  <c r="E543"/>
  <c r="A543"/>
  <c r="J542"/>
  <c r="F542"/>
  <c r="B542"/>
  <c r="K541"/>
  <c r="G541"/>
  <c r="C541"/>
  <c r="L540"/>
  <c r="H540"/>
  <c r="D540"/>
  <c r="M539"/>
  <c r="I539"/>
  <c r="E539"/>
  <c r="A539"/>
  <c r="J538"/>
  <c r="F538"/>
  <c r="B538"/>
  <c r="K537"/>
  <c r="G537"/>
  <c r="C537"/>
  <c r="L536"/>
  <c r="H536"/>
  <c r="D536"/>
  <c r="M535"/>
  <c r="I535"/>
  <c r="E535"/>
  <c r="A535"/>
  <c r="J534"/>
  <c r="F534"/>
  <c r="B534"/>
  <c r="K533"/>
  <c r="G533"/>
  <c r="C533"/>
  <c r="L532"/>
  <c r="H532"/>
  <c r="D532"/>
  <c r="M531"/>
  <c r="I531"/>
  <c r="E531"/>
  <c r="A531"/>
  <c r="J530"/>
  <c r="F530"/>
  <c r="B530"/>
  <c r="K529"/>
  <c r="G529"/>
  <c r="C529"/>
  <c r="L528"/>
  <c r="H528"/>
  <c r="D528"/>
  <c r="M527"/>
  <c r="I527"/>
  <c r="E527"/>
  <c r="A527"/>
  <c r="J526"/>
  <c r="F526"/>
  <c r="B526"/>
  <c r="K525"/>
  <c r="G525"/>
  <c r="C525"/>
  <c r="L524"/>
  <c r="H524"/>
  <c r="D524"/>
  <c r="M523"/>
  <c r="I523"/>
  <c r="E523"/>
  <c r="A523"/>
  <c r="J522"/>
  <c r="F522"/>
  <c r="B522"/>
  <c r="K521"/>
  <c r="G521"/>
  <c r="C521"/>
  <c r="L520"/>
  <c r="H520"/>
  <c r="D520"/>
  <c r="M519"/>
  <c r="I519"/>
  <c r="E519"/>
  <c r="A519"/>
  <c r="J518"/>
  <c r="F518"/>
  <c r="B518"/>
  <c r="K517"/>
  <c r="G517"/>
  <c r="C517"/>
  <c r="L516"/>
  <c r="H516"/>
  <c r="D516"/>
  <c r="M515"/>
  <c r="I515"/>
  <c r="E515"/>
  <c r="A515"/>
  <c r="J514"/>
  <c r="F514"/>
  <c r="B514"/>
  <c r="K513"/>
  <c r="G513"/>
  <c r="C513"/>
  <c r="L512"/>
  <c r="H512"/>
  <c r="D512"/>
  <c r="M511"/>
  <c r="I511"/>
  <c r="E511"/>
  <c r="A511"/>
  <c r="J510"/>
  <c r="F510"/>
  <c r="B510"/>
  <c r="K509"/>
  <c r="G509"/>
  <c r="C509"/>
  <c r="L508"/>
  <c r="H508"/>
  <c r="D508"/>
  <c r="M507"/>
  <c r="I507"/>
  <c r="E507"/>
  <c r="A507"/>
  <c r="J506"/>
  <c r="F506"/>
  <c r="B506"/>
  <c r="K505"/>
  <c r="G505"/>
  <c r="C505"/>
  <c r="L504"/>
  <c r="H504"/>
  <c r="D504"/>
  <c r="M503"/>
  <c r="I503"/>
  <c r="E503"/>
  <c r="A503"/>
  <c r="J502"/>
  <c r="F502"/>
  <c r="B502"/>
  <c r="K501"/>
  <c r="G501"/>
  <c r="C501"/>
  <c r="L500"/>
  <c r="H500"/>
  <c r="D500"/>
  <c r="M499"/>
  <c r="I499"/>
  <c r="E499"/>
  <c r="A499"/>
  <c r="J498"/>
  <c r="F498"/>
  <c r="B498"/>
  <c r="K497"/>
  <c r="G497"/>
  <c r="C497"/>
  <c r="L496"/>
  <c r="H496"/>
  <c r="D496"/>
  <c r="M495"/>
  <c r="I495"/>
  <c r="E495"/>
  <c r="A495"/>
  <c r="J494"/>
  <c r="F494"/>
  <c r="B494"/>
  <c r="K493"/>
  <c r="G493"/>
  <c r="C493"/>
  <c r="L492"/>
  <c r="H492"/>
  <c r="D492"/>
  <c r="M491"/>
  <c r="I491"/>
  <c r="E491"/>
  <c r="A491"/>
  <c r="J490"/>
  <c r="F490"/>
  <c r="B490"/>
  <c r="K489"/>
  <c r="G489"/>
  <c r="C489"/>
  <c r="L488"/>
  <c r="H488"/>
  <c r="D488"/>
  <c r="M487"/>
  <c r="I487"/>
  <c r="E487"/>
  <c r="A487"/>
  <c r="J486"/>
  <c r="F486"/>
  <c r="B486"/>
  <c r="K485"/>
  <c r="G485"/>
  <c r="C485"/>
  <c r="L484"/>
  <c r="H484"/>
  <c r="D484"/>
  <c r="M483"/>
  <c r="I483"/>
  <c r="E483"/>
  <c r="A483"/>
  <c r="J482"/>
  <c r="F482"/>
  <c r="B482"/>
  <c r="K481"/>
  <c r="G481"/>
  <c r="C481"/>
  <c r="L480"/>
  <c r="H480"/>
  <c r="D480"/>
  <c r="M479"/>
  <c r="I479"/>
  <c r="E479"/>
  <c r="A479"/>
  <c r="J478"/>
  <c r="F478"/>
  <c r="B478"/>
  <c r="K477"/>
  <c r="G477"/>
  <c r="C477"/>
  <c r="L476"/>
  <c r="H476"/>
  <c r="D476"/>
  <c r="M475"/>
  <c r="I475"/>
  <c r="E475"/>
  <c r="A475"/>
  <c r="J474"/>
  <c r="F474"/>
  <c r="B474"/>
  <c r="K473"/>
  <c r="G473"/>
  <c r="C473"/>
  <c r="L472"/>
  <c r="H472"/>
  <c r="D472"/>
  <c r="M471"/>
  <c r="I471"/>
  <c r="E471"/>
  <c r="A471"/>
  <c r="J470"/>
  <c r="F470"/>
  <c r="B470"/>
  <c r="K469"/>
  <c r="G469"/>
  <c r="C469"/>
  <c r="L468"/>
  <c r="H468"/>
  <c r="D468"/>
  <c r="M467"/>
  <c r="I467"/>
  <c r="E467"/>
  <c r="A467"/>
  <c r="J466"/>
  <c r="F466"/>
  <c r="B466"/>
  <c r="K465"/>
  <c r="G465"/>
  <c r="C465"/>
  <c r="L464"/>
  <c r="H464"/>
  <c r="D464"/>
  <c r="M463"/>
  <c r="I463"/>
  <c r="E463"/>
  <c r="A463"/>
  <c r="J462"/>
  <c r="F462"/>
  <c r="B462"/>
  <c r="K461"/>
  <c r="G461"/>
  <c r="C461"/>
  <c r="L460"/>
  <c r="H460"/>
  <c r="D460"/>
  <c r="M459"/>
  <c r="I459"/>
  <c r="E459"/>
  <c r="A459"/>
  <c r="J458"/>
  <c r="F458"/>
  <c r="B458"/>
  <c r="K457"/>
  <c r="G457"/>
  <c r="C457"/>
  <c r="L456"/>
  <c r="H456"/>
  <c r="D456"/>
  <c r="M455"/>
  <c r="I455"/>
  <c r="E455"/>
  <c r="A455"/>
  <c r="J454"/>
  <c r="F454"/>
  <c r="B454"/>
  <c r="K453"/>
  <c r="G453"/>
  <c r="C453"/>
  <c r="L452"/>
  <c r="H452"/>
  <c r="D452"/>
  <c r="M451"/>
  <c r="I451"/>
  <c r="E451"/>
  <c r="A451"/>
  <c r="J450"/>
  <c r="F450"/>
  <c r="B450"/>
  <c r="K449"/>
  <c r="G449"/>
  <c r="C449"/>
  <c r="L448"/>
  <c r="H448"/>
  <c r="D448"/>
  <c r="M447"/>
  <c r="I447"/>
  <c r="E447"/>
  <c r="A447"/>
  <c r="J446"/>
  <c r="F446"/>
  <c r="B446"/>
  <c r="K445"/>
  <c r="G445"/>
  <c r="C445"/>
  <c r="L444"/>
  <c r="H444"/>
  <c r="D444"/>
  <c r="M443"/>
  <c r="I443"/>
  <c r="E443"/>
  <c r="A443"/>
  <c r="J442"/>
  <c r="F442"/>
  <c r="B442"/>
  <c r="K441"/>
  <c r="G441"/>
  <c r="C441"/>
  <c r="L440"/>
  <c r="H440"/>
  <c r="D440"/>
  <c r="M439"/>
  <c r="I439"/>
  <c r="E439"/>
  <c r="A439"/>
  <c r="J438"/>
  <c r="F438"/>
  <c r="B438"/>
  <c r="K437"/>
  <c r="G437"/>
  <c r="C437"/>
  <c r="L436"/>
  <c r="H436"/>
  <c r="D436"/>
  <c r="M435"/>
  <c r="I435"/>
  <c r="E435"/>
  <c r="A435"/>
  <c r="J434"/>
  <c r="F434"/>
  <c r="B434"/>
  <c r="K433"/>
  <c r="G433"/>
  <c r="C433"/>
  <c r="L432"/>
  <c r="H432"/>
  <c r="D432"/>
  <c r="M431"/>
  <c r="I431"/>
  <c r="E431"/>
  <c r="A431"/>
  <c r="J430"/>
  <c r="F430"/>
  <c r="B430"/>
  <c r="K429"/>
  <c r="G429"/>
  <c r="C429"/>
  <c r="L428"/>
  <c r="H428"/>
  <c r="D428"/>
  <c r="M427"/>
  <c r="I427"/>
  <c r="E427"/>
  <c r="A427"/>
  <c r="J426"/>
  <c r="F426"/>
  <c r="B426"/>
  <c r="K425"/>
  <c r="G425"/>
  <c r="C425"/>
  <c r="L424"/>
  <c r="H424"/>
  <c r="D424"/>
  <c r="M423"/>
  <c r="I423"/>
  <c r="E423"/>
  <c r="A423"/>
  <c r="J422"/>
  <c r="F422"/>
  <c r="B422"/>
  <c r="K421"/>
  <c r="G421"/>
  <c r="C421"/>
  <c r="L420"/>
  <c r="H420"/>
  <c r="D420"/>
  <c r="M419"/>
  <c r="I419"/>
  <c r="E419"/>
  <c r="A419"/>
  <c r="J418"/>
  <c r="F418"/>
  <c r="B418"/>
  <c r="K417"/>
  <c r="G417"/>
  <c r="C417"/>
  <c r="L416"/>
  <c r="H416"/>
  <c r="D416"/>
  <c r="M415"/>
  <c r="I415"/>
  <c r="E415"/>
  <c r="A415"/>
  <c r="J414"/>
  <c r="F414"/>
  <c r="B414"/>
  <c r="K413"/>
  <c r="G413"/>
  <c r="C413"/>
  <c r="L412"/>
  <c r="H412"/>
  <c r="D412"/>
  <c r="M411"/>
  <c r="I411"/>
  <c r="E411"/>
  <c r="A411"/>
  <c r="J410"/>
  <c r="F410"/>
  <c r="B410"/>
  <c r="K409"/>
  <c r="G409"/>
  <c r="C409"/>
  <c r="L408"/>
  <c r="H408"/>
  <c r="D408"/>
  <c r="M407"/>
  <c r="I407"/>
  <c r="E407"/>
  <c r="A407"/>
  <c r="J406"/>
  <c r="F406"/>
  <c r="B406"/>
  <c r="K405"/>
  <c r="G405"/>
  <c r="C405"/>
  <c r="L404"/>
  <c r="H404"/>
  <c r="D404"/>
  <c r="M403"/>
  <c r="I403"/>
  <c r="E403"/>
  <c r="A403"/>
  <c r="J402"/>
  <c r="F402"/>
  <c r="B402"/>
  <c r="K401"/>
  <c r="G401"/>
  <c r="C401"/>
  <c r="L400"/>
  <c r="H400"/>
  <c r="D400"/>
  <c r="M399"/>
  <c r="I399"/>
  <c r="E399"/>
  <c r="A399"/>
  <c r="J398"/>
  <c r="F398"/>
  <c r="B398"/>
  <c r="K397"/>
  <c r="G397"/>
  <c r="C397"/>
  <c r="L396"/>
  <c r="H396"/>
  <c r="D396"/>
  <c r="M395"/>
  <c r="I395"/>
  <c r="E395"/>
  <c r="A395"/>
  <c r="J394"/>
  <c r="F394"/>
  <c r="B394"/>
  <c r="K393"/>
  <c r="G393"/>
  <c r="C393"/>
  <c r="L392"/>
  <c r="H392"/>
  <c r="D392"/>
  <c r="M391"/>
  <c r="I391"/>
  <c r="E391"/>
  <c r="A391"/>
  <c r="J390"/>
  <c r="F390"/>
  <c r="B390"/>
  <c r="K389"/>
  <c r="G389"/>
  <c r="C389"/>
  <c r="L388"/>
  <c r="H388"/>
  <c r="D388"/>
  <c r="M387"/>
  <c r="I387"/>
  <c r="E387"/>
  <c r="A387"/>
  <c r="J386"/>
  <c r="F386"/>
  <c r="B386"/>
  <c r="K385"/>
  <c r="G385"/>
  <c r="C385"/>
  <c r="L384"/>
  <c r="H384"/>
  <c r="D384"/>
  <c r="M383"/>
  <c r="I383"/>
  <c r="E383"/>
  <c r="A383"/>
  <c r="J382"/>
  <c r="F382"/>
  <c r="B382"/>
  <c r="K381"/>
  <c r="G381"/>
  <c r="C381"/>
  <c r="L380"/>
  <c r="H380"/>
  <c r="D380"/>
  <c r="M379"/>
  <c r="I379"/>
  <c r="E379"/>
  <c r="A379"/>
  <c r="J378"/>
  <c r="F378"/>
  <c r="B378"/>
  <c r="K377"/>
  <c r="G377"/>
  <c r="C377"/>
  <c r="L376"/>
  <c r="H376"/>
  <c r="D376"/>
  <c r="M375"/>
  <c r="I375"/>
  <c r="L1012"/>
  <c r="D1012"/>
  <c r="I1011"/>
  <c r="A1011"/>
  <c r="F1010"/>
  <c r="K1009"/>
  <c r="C1009"/>
  <c r="H1008"/>
  <c r="M1007"/>
  <c r="E1007"/>
  <c r="J1006"/>
  <c r="B1006"/>
  <c r="G1005"/>
  <c r="L1004"/>
  <c r="D1004"/>
  <c r="I1003"/>
  <c r="A1003"/>
  <c r="F1002"/>
  <c r="K1001"/>
  <c r="C1001"/>
  <c r="H1000"/>
  <c r="M999"/>
  <c r="E999"/>
  <c r="J998"/>
  <c r="C998"/>
  <c r="L997"/>
  <c r="H997"/>
  <c r="D997"/>
  <c r="M996"/>
  <c r="I996"/>
  <c r="E996"/>
  <c r="A996"/>
  <c r="J995"/>
  <c r="F995"/>
  <c r="B995"/>
  <c r="K994"/>
  <c r="G994"/>
  <c r="C994"/>
  <c r="L993"/>
  <c r="H993"/>
  <c r="D993"/>
  <c r="M992"/>
  <c r="I992"/>
  <c r="E992"/>
  <c r="A992"/>
  <c r="J991"/>
  <c r="F991"/>
  <c r="B991"/>
  <c r="K990"/>
  <c r="G990"/>
  <c r="C990"/>
  <c r="L989"/>
  <c r="H989"/>
  <c r="D989"/>
  <c r="M988"/>
  <c r="I988"/>
  <c r="E988"/>
  <c r="A988"/>
  <c r="J987"/>
  <c r="F987"/>
  <c r="B987"/>
  <c r="K986"/>
  <c r="G986"/>
  <c r="C986"/>
  <c r="L985"/>
  <c r="H985"/>
  <c r="D985"/>
  <c r="M984"/>
  <c r="I984"/>
  <c r="E984"/>
  <c r="A984"/>
  <c r="J983"/>
  <c r="F983"/>
  <c r="B983"/>
  <c r="K982"/>
  <c r="G982"/>
  <c r="C982"/>
  <c r="L981"/>
  <c r="H981"/>
  <c r="D981"/>
  <c r="M980"/>
  <c r="I980"/>
  <c r="E980"/>
  <c r="A980"/>
  <c r="J979"/>
  <c r="F979"/>
  <c r="B979"/>
  <c r="K978"/>
  <c r="G978"/>
  <c r="C978"/>
  <c r="L977"/>
  <c r="H977"/>
  <c r="D977"/>
  <c r="M976"/>
  <c r="I976"/>
  <c r="E976"/>
  <c r="A976"/>
  <c r="J975"/>
  <c r="F975"/>
  <c r="B975"/>
  <c r="K974"/>
  <c r="G974"/>
  <c r="C974"/>
  <c r="L973"/>
  <c r="H973"/>
  <c r="D973"/>
  <c r="M972"/>
  <c r="I972"/>
  <c r="E972"/>
  <c r="A972"/>
  <c r="J971"/>
  <c r="F971"/>
  <c r="B971"/>
  <c r="K970"/>
  <c r="G970"/>
  <c r="C970"/>
  <c r="L969"/>
  <c r="H969"/>
  <c r="D969"/>
  <c r="M968"/>
  <c r="I968"/>
  <c r="E968"/>
  <c r="A968"/>
  <c r="J967"/>
  <c r="F967"/>
  <c r="B967"/>
  <c r="K966"/>
  <c r="G966"/>
  <c r="C966"/>
  <c r="L965"/>
  <c r="H965"/>
  <c r="D965"/>
  <c r="M964"/>
  <c r="I964"/>
  <c r="E964"/>
  <c r="A964"/>
  <c r="J963"/>
  <c r="F963"/>
  <c r="B963"/>
  <c r="K962"/>
  <c r="G962"/>
  <c r="C962"/>
  <c r="L961"/>
  <c r="H961"/>
  <c r="D961"/>
  <c r="M960"/>
  <c r="I960"/>
  <c r="E960"/>
  <c r="A960"/>
  <c r="J959"/>
  <c r="F959"/>
  <c r="B959"/>
  <c r="K958"/>
  <c r="G958"/>
  <c r="C958"/>
  <c r="L957"/>
  <c r="H957"/>
  <c r="D957"/>
  <c r="M956"/>
  <c r="I956"/>
  <c r="E956"/>
  <c r="A956"/>
  <c r="J955"/>
  <c r="F955"/>
  <c r="B955"/>
  <c r="K954"/>
  <c r="G954"/>
  <c r="C954"/>
  <c r="L953"/>
  <c r="H953"/>
  <c r="D953"/>
  <c r="M952"/>
  <c r="I952"/>
  <c r="E952"/>
  <c r="A952"/>
  <c r="J951"/>
  <c r="F951"/>
  <c r="B951"/>
  <c r="K950"/>
  <c r="G950"/>
  <c r="C950"/>
  <c r="L949"/>
  <c r="H949"/>
  <c r="D949"/>
  <c r="M948"/>
  <c r="I948"/>
  <c r="E948"/>
  <c r="A948"/>
  <c r="J947"/>
  <c r="F947"/>
  <c r="B947"/>
  <c r="K946"/>
  <c r="G946"/>
  <c r="C946"/>
  <c r="L945"/>
  <c r="H945"/>
  <c r="D945"/>
  <c r="M944"/>
  <c r="I944"/>
  <c r="E944"/>
  <c r="A944"/>
  <c r="J943"/>
  <c r="F943"/>
  <c r="B943"/>
  <c r="K942"/>
  <c r="G942"/>
  <c r="C942"/>
  <c r="L941"/>
  <c r="H941"/>
  <c r="D941"/>
  <c r="M940"/>
  <c r="I940"/>
  <c r="E940"/>
  <c r="A940"/>
  <c r="J939"/>
  <c r="F939"/>
  <c r="B939"/>
  <c r="K938"/>
  <c r="G938"/>
  <c r="C938"/>
  <c r="L937"/>
  <c r="H937"/>
  <c r="D937"/>
  <c r="M936"/>
  <c r="I936"/>
  <c r="E936"/>
  <c r="A936"/>
  <c r="J935"/>
  <c r="F935"/>
  <c r="B935"/>
  <c r="K934"/>
  <c r="G934"/>
  <c r="C934"/>
  <c r="L933"/>
  <c r="H933"/>
  <c r="D933"/>
  <c r="M932"/>
  <c r="I932"/>
  <c r="E932"/>
  <c r="A932"/>
  <c r="J931"/>
  <c r="F931"/>
  <c r="B931"/>
  <c r="K930"/>
  <c r="G930"/>
  <c r="C930"/>
  <c r="L929"/>
  <c r="H929"/>
  <c r="D929"/>
  <c r="M928"/>
  <c r="I928"/>
  <c r="E928"/>
  <c r="A928"/>
  <c r="J927"/>
  <c r="F927"/>
  <c r="B927"/>
  <c r="K926"/>
  <c r="G926"/>
  <c r="C926"/>
  <c r="L925"/>
  <c r="H925"/>
  <c r="D925"/>
  <c r="M924"/>
  <c r="I924"/>
  <c r="E924"/>
  <c r="A924"/>
  <c r="J923"/>
  <c r="F923"/>
  <c r="B923"/>
  <c r="K922"/>
  <c r="G922"/>
  <c r="C922"/>
  <c r="L921"/>
  <c r="H921"/>
  <c r="D921"/>
  <c r="M920"/>
  <c r="I920"/>
  <c r="E920"/>
  <c r="A920"/>
  <c r="J919"/>
  <c r="F919"/>
  <c r="B919"/>
  <c r="K918"/>
  <c r="G918"/>
  <c r="C918"/>
  <c r="L917"/>
  <c r="H917"/>
  <c r="D917"/>
  <c r="M916"/>
  <c r="I916"/>
  <c r="E916"/>
  <c r="A916"/>
  <c r="J915"/>
  <c r="F915"/>
  <c r="B915"/>
  <c r="K914"/>
  <c r="G914"/>
  <c r="C914"/>
  <c r="L913"/>
  <c r="H913"/>
  <c r="D913"/>
  <c r="M912"/>
  <c r="I912"/>
  <c r="E912"/>
  <c r="A912"/>
  <c r="J911"/>
  <c r="F911"/>
  <c r="B911"/>
  <c r="K910"/>
  <c r="G910"/>
  <c r="C910"/>
  <c r="L909"/>
  <c r="H909"/>
  <c r="D909"/>
  <c r="M908"/>
  <c r="I908"/>
  <c r="E908"/>
  <c r="A908"/>
  <c r="J907"/>
  <c r="F907"/>
  <c r="B907"/>
  <c r="K906"/>
  <c r="G906"/>
  <c r="C906"/>
  <c r="L905"/>
  <c r="H905"/>
  <c r="D905"/>
  <c r="M904"/>
  <c r="I904"/>
  <c r="E904"/>
  <c r="A904"/>
  <c r="J903"/>
  <c r="F903"/>
  <c r="B903"/>
  <c r="K902"/>
  <c r="G902"/>
  <c r="C902"/>
  <c r="L901"/>
  <c r="H901"/>
  <c r="D901"/>
  <c r="M900"/>
  <c r="I900"/>
  <c r="E900"/>
  <c r="A900"/>
  <c r="J899"/>
  <c r="F899"/>
  <c r="B899"/>
  <c r="K898"/>
  <c r="G898"/>
  <c r="C898"/>
  <c r="L897"/>
  <c r="H897"/>
  <c r="D897"/>
  <c r="M896"/>
  <c r="I896"/>
  <c r="E896"/>
  <c r="A896"/>
  <c r="J895"/>
  <c r="F895"/>
  <c r="B895"/>
  <c r="K894"/>
  <c r="G894"/>
  <c r="C894"/>
  <c r="L893"/>
  <c r="H893"/>
  <c r="D893"/>
  <c r="M892"/>
  <c r="I892"/>
  <c r="E892"/>
  <c r="A892"/>
  <c r="J891"/>
  <c r="F891"/>
  <c r="B891"/>
  <c r="K890"/>
  <c r="G890"/>
  <c r="C890"/>
  <c r="L889"/>
  <c r="H889"/>
  <c r="D889"/>
  <c r="M888"/>
  <c r="I888"/>
  <c r="E888"/>
  <c r="A888"/>
  <c r="J887"/>
  <c r="F887"/>
  <c r="B887"/>
  <c r="K886"/>
  <c r="G886"/>
  <c r="C886"/>
  <c r="L885"/>
  <c r="H885"/>
  <c r="D885"/>
  <c r="M884"/>
  <c r="I884"/>
  <c r="E884"/>
  <c r="A884"/>
  <c r="J883"/>
  <c r="F883"/>
  <c r="B883"/>
  <c r="K882"/>
  <c r="G882"/>
  <c r="C882"/>
  <c r="L881"/>
  <c r="H881"/>
  <c r="D881"/>
  <c r="M880"/>
  <c r="I880"/>
  <c r="E880"/>
  <c r="A880"/>
  <c r="J879"/>
  <c r="F879"/>
  <c r="B879"/>
  <c r="K878"/>
  <c r="G878"/>
  <c r="C878"/>
  <c r="L877"/>
  <c r="H877"/>
  <c r="D877"/>
  <c r="M876"/>
  <c r="I876"/>
  <c r="E876"/>
  <c r="A876"/>
  <c r="J875"/>
  <c r="F875"/>
  <c r="B875"/>
  <c r="K874"/>
  <c r="G874"/>
  <c r="C874"/>
  <c r="L873"/>
  <c r="H873"/>
  <c r="D873"/>
  <c r="M872"/>
  <c r="I872"/>
  <c r="E872"/>
  <c r="A872"/>
  <c r="J871"/>
  <c r="F871"/>
  <c r="B871"/>
  <c r="K870"/>
  <c r="G870"/>
  <c r="C870"/>
  <c r="L869"/>
  <c r="H869"/>
  <c r="D869"/>
  <c r="M868"/>
  <c r="I868"/>
  <c r="E868"/>
  <c r="A868"/>
  <c r="J867"/>
  <c r="F867"/>
  <c r="B867"/>
  <c r="K866"/>
  <c r="G866"/>
  <c r="C866"/>
  <c r="L865"/>
  <c r="H865"/>
  <c r="D865"/>
  <c r="M864"/>
  <c r="I864"/>
  <c r="E864"/>
  <c r="A864"/>
  <c r="J863"/>
  <c r="F863"/>
  <c r="B863"/>
  <c r="K862"/>
  <c r="G862"/>
  <c r="C862"/>
  <c r="L861"/>
  <c r="H861"/>
  <c r="D861"/>
  <c r="M860"/>
  <c r="I860"/>
  <c r="E860"/>
  <c r="A860"/>
  <c r="J859"/>
  <c r="F859"/>
  <c r="B859"/>
  <c r="K858"/>
  <c r="G858"/>
  <c r="C858"/>
  <c r="L857"/>
  <c r="H857"/>
  <c r="D857"/>
  <c r="M856"/>
  <c r="I856"/>
  <c r="E856"/>
  <c r="A856"/>
  <c r="J855"/>
  <c r="F855"/>
  <c r="B855"/>
  <c r="K854"/>
  <c r="G854"/>
  <c r="C854"/>
  <c r="L853"/>
  <c r="H853"/>
  <c r="D853"/>
  <c r="M852"/>
  <c r="I852"/>
  <c r="E852"/>
  <c r="A852"/>
  <c r="J851"/>
  <c r="F851"/>
  <c r="B851"/>
  <c r="K850"/>
  <c r="G850"/>
  <c r="C850"/>
  <c r="L849"/>
  <c r="H849"/>
  <c r="D849"/>
  <c r="M848"/>
  <c r="I848"/>
  <c r="E848"/>
  <c r="A848"/>
  <c r="J847"/>
  <c r="F847"/>
  <c r="B847"/>
  <c r="K846"/>
  <c r="G846"/>
  <c r="C846"/>
  <c r="L845"/>
  <c r="H845"/>
  <c r="D845"/>
  <c r="M844"/>
  <c r="I844"/>
  <c r="E844"/>
  <c r="A844"/>
  <c r="J843"/>
  <c r="F843"/>
  <c r="B843"/>
  <c r="K842"/>
  <c r="G842"/>
  <c r="C842"/>
  <c r="L841"/>
  <c r="H841"/>
  <c r="D841"/>
  <c r="M840"/>
  <c r="I840"/>
  <c r="E840"/>
  <c r="A840"/>
  <c r="J839"/>
  <c r="F839"/>
  <c r="B839"/>
  <c r="K838"/>
  <c r="G838"/>
  <c r="C838"/>
  <c r="L837"/>
  <c r="H837"/>
  <c r="D837"/>
  <c r="M836"/>
  <c r="I836"/>
  <c r="E836"/>
  <c r="A836"/>
  <c r="J835"/>
  <c r="F835"/>
  <c r="B835"/>
  <c r="K834"/>
  <c r="G834"/>
  <c r="C834"/>
  <c r="L833"/>
  <c r="H833"/>
  <c r="D833"/>
  <c r="M832"/>
  <c r="I832"/>
  <c r="E832"/>
  <c r="A832"/>
  <c r="J831"/>
  <c r="F831"/>
  <c r="B831"/>
  <c r="K830"/>
  <c r="G830"/>
  <c r="C830"/>
  <c r="L829"/>
  <c r="H829"/>
  <c r="D829"/>
  <c r="M828"/>
  <c r="I828"/>
  <c r="E828"/>
  <c r="A828"/>
  <c r="J827"/>
  <c r="F827"/>
  <c r="B827"/>
  <c r="K826"/>
  <c r="G826"/>
  <c r="C826"/>
  <c r="L825"/>
  <c r="H825"/>
  <c r="D825"/>
  <c r="M824"/>
  <c r="I824"/>
  <c r="E824"/>
  <c r="A824"/>
  <c r="J823"/>
  <c r="F823"/>
  <c r="B823"/>
  <c r="K822"/>
  <c r="G822"/>
  <c r="C822"/>
  <c r="L821"/>
  <c r="H821"/>
  <c r="D821"/>
  <c r="M820"/>
  <c r="I820"/>
  <c r="E820"/>
  <c r="A820"/>
  <c r="J819"/>
  <c r="F819"/>
  <c r="B819"/>
  <c r="K818"/>
  <c r="G818"/>
  <c r="C818"/>
  <c r="L817"/>
  <c r="H817"/>
  <c r="D817"/>
  <c r="M816"/>
  <c r="I816"/>
  <c r="E816"/>
  <c r="A816"/>
  <c r="J815"/>
  <c r="F815"/>
  <c r="B815"/>
  <c r="K814"/>
  <c r="G814"/>
  <c r="C814"/>
  <c r="L813"/>
  <c r="H813"/>
  <c r="D813"/>
  <c r="M812"/>
  <c r="I812"/>
  <c r="E812"/>
  <c r="A812"/>
  <c r="J811"/>
  <c r="F811"/>
  <c r="B811"/>
  <c r="K810"/>
  <c r="G810"/>
  <c r="C810"/>
  <c r="L809"/>
  <c r="H809"/>
  <c r="D809"/>
  <c r="M808"/>
  <c r="I808"/>
  <c r="E808"/>
  <c r="A808"/>
  <c r="J807"/>
  <c r="F807"/>
  <c r="B807"/>
  <c r="K806"/>
  <c r="G806"/>
  <c r="C806"/>
  <c r="L805"/>
  <c r="H805"/>
  <c r="D805"/>
  <c r="M804"/>
  <c r="I804"/>
  <c r="E804"/>
  <c r="A804"/>
  <c r="J803"/>
  <c r="F803"/>
  <c r="B803"/>
  <c r="K802"/>
  <c r="G802"/>
  <c r="C802"/>
  <c r="L801"/>
  <c r="H801"/>
  <c r="D801"/>
  <c r="M800"/>
  <c r="I800"/>
  <c r="E800"/>
  <c r="A800"/>
  <c r="J799"/>
  <c r="F799"/>
  <c r="B799"/>
  <c r="K798"/>
  <c r="G798"/>
  <c r="C798"/>
  <c r="L797"/>
  <c r="H797"/>
  <c r="D797"/>
  <c r="M796"/>
  <c r="I796"/>
  <c r="E796"/>
  <c r="A796"/>
  <c r="J795"/>
  <c r="F795"/>
  <c r="B795"/>
  <c r="K794"/>
  <c r="G794"/>
  <c r="C794"/>
  <c r="L793"/>
  <c r="H793"/>
  <c r="D793"/>
  <c r="M792"/>
  <c r="I792"/>
  <c r="E792"/>
  <c r="A792"/>
  <c r="J791"/>
  <c r="F791"/>
  <c r="B791"/>
  <c r="K790"/>
  <c r="G790"/>
  <c r="C790"/>
  <c r="L789"/>
  <c r="H789"/>
  <c r="D789"/>
  <c r="M788"/>
  <c r="I788"/>
  <c r="E788"/>
  <c r="A788"/>
  <c r="J787"/>
  <c r="F787"/>
  <c r="B787"/>
  <c r="K786"/>
  <c r="G786"/>
  <c r="C786"/>
  <c r="L785"/>
  <c r="H785"/>
  <c r="D785"/>
  <c r="M784"/>
  <c r="I784"/>
  <c r="E784"/>
  <c r="A784"/>
  <c r="J783"/>
  <c r="F783"/>
  <c r="B783"/>
  <c r="K782"/>
  <c r="G782"/>
  <c r="C782"/>
  <c r="L781"/>
  <c r="H781"/>
  <c r="D781"/>
  <c r="M780"/>
  <c r="I780"/>
  <c r="E780"/>
  <c r="A780"/>
  <c r="J779"/>
  <c r="F779"/>
  <c r="B779"/>
  <c r="K778"/>
  <c r="G778"/>
  <c r="C778"/>
  <c r="L777"/>
  <c r="H777"/>
  <c r="D777"/>
  <c r="M776"/>
  <c r="I776"/>
  <c r="E776"/>
  <c r="A776"/>
  <c r="J775"/>
  <c r="F775"/>
  <c r="B775"/>
  <c r="K774"/>
  <c r="G774"/>
  <c r="C774"/>
  <c r="L773"/>
  <c r="H773"/>
  <c r="D773"/>
  <c r="M772"/>
  <c r="I772"/>
  <c r="E772"/>
  <c r="A772"/>
  <c r="J771"/>
  <c r="F771"/>
  <c r="B771"/>
  <c r="K770"/>
  <c r="G770"/>
  <c r="C770"/>
  <c r="L769"/>
  <c r="H769"/>
  <c r="D769"/>
  <c r="M768"/>
  <c r="I768"/>
  <c r="E768"/>
  <c r="A768"/>
  <c r="J767"/>
  <c r="F767"/>
  <c r="B767"/>
  <c r="K766"/>
  <c r="G766"/>
  <c r="C766"/>
  <c r="L765"/>
  <c r="H765"/>
  <c r="D765"/>
  <c r="M764"/>
  <c r="I764"/>
  <c r="E764"/>
  <c r="A764"/>
  <c r="J763"/>
  <c r="F763"/>
  <c r="B763"/>
  <c r="K762"/>
  <c r="G762"/>
  <c r="C762"/>
  <c r="L761"/>
  <c r="H761"/>
  <c r="D761"/>
  <c r="M760"/>
  <c r="I760"/>
  <c r="E760"/>
  <c r="A760"/>
  <c r="J759"/>
  <c r="F759"/>
  <c r="B759"/>
  <c r="K758"/>
  <c r="G758"/>
  <c r="C758"/>
  <c r="L757"/>
  <c r="H757"/>
  <c r="D757"/>
  <c r="M756"/>
  <c r="I756"/>
  <c r="E756"/>
  <c r="A756"/>
  <c r="J755"/>
  <c r="F755"/>
  <c r="B755"/>
  <c r="K754"/>
  <c r="G754"/>
  <c r="C754"/>
  <c r="L753"/>
  <c r="H753"/>
  <c r="D753"/>
  <c r="M752"/>
  <c r="I752"/>
  <c r="E752"/>
  <c r="A752"/>
  <c r="J751"/>
  <c r="F751"/>
  <c r="B751"/>
  <c r="K750"/>
  <c r="G750"/>
  <c r="C750"/>
  <c r="L749"/>
  <c r="H749"/>
  <c r="D749"/>
  <c r="M748"/>
  <c r="I748"/>
  <c r="E748"/>
  <c r="A748"/>
  <c r="J747"/>
  <c r="F747"/>
  <c r="B747"/>
  <c r="K746"/>
  <c r="G746"/>
  <c r="C746"/>
  <c r="L745"/>
  <c r="H745"/>
  <c r="D745"/>
  <c r="M744"/>
  <c r="I744"/>
  <c r="E744"/>
  <c r="A744"/>
  <c r="J743"/>
  <c r="F743"/>
  <c r="B743"/>
  <c r="K742"/>
  <c r="G742"/>
  <c r="C742"/>
  <c r="L741"/>
  <c r="H741"/>
  <c r="D741"/>
  <c r="M740"/>
  <c r="I740"/>
  <c r="E740"/>
  <c r="A740"/>
  <c r="J739"/>
  <c r="F739"/>
  <c r="B739"/>
  <c r="K738"/>
  <c r="G738"/>
  <c r="C738"/>
  <c r="L737"/>
  <c r="H737"/>
  <c r="D737"/>
  <c r="M736"/>
  <c r="I736"/>
  <c r="E736"/>
  <c r="A736"/>
  <c r="J735"/>
  <c r="F735"/>
  <c r="B735"/>
  <c r="K734"/>
  <c r="G734"/>
  <c r="C734"/>
  <c r="L733"/>
  <c r="H733"/>
  <c r="D733"/>
  <c r="M732"/>
  <c r="I732"/>
  <c r="E732"/>
  <c r="A732"/>
  <c r="J731"/>
  <c r="F731"/>
  <c r="B731"/>
  <c r="K730"/>
  <c r="G730"/>
  <c r="C730"/>
  <c r="L729"/>
  <c r="H729"/>
  <c r="D729"/>
  <c r="M728"/>
  <c r="I728"/>
  <c r="E728"/>
  <c r="A728"/>
  <c r="J727"/>
  <c r="F727"/>
  <c r="B727"/>
  <c r="K726"/>
  <c r="G726"/>
  <c r="C726"/>
  <c r="L725"/>
  <c r="H725"/>
  <c r="D725"/>
  <c r="M724"/>
  <c r="I724"/>
  <c r="E724"/>
  <c r="A724"/>
  <c r="J723"/>
  <c r="F723"/>
  <c r="B723"/>
  <c r="K722"/>
  <c r="G722"/>
  <c r="C722"/>
  <c r="L721"/>
  <c r="H721"/>
  <c r="D721"/>
  <c r="M720"/>
  <c r="I720"/>
  <c r="E720"/>
  <c r="A720"/>
  <c r="J719"/>
  <c r="F719"/>
  <c r="B719"/>
  <c r="K718"/>
  <c r="G718"/>
  <c r="C718"/>
  <c r="L717"/>
  <c r="H717"/>
  <c r="D717"/>
  <c r="M716"/>
  <c r="I716"/>
  <c r="E716"/>
  <c r="A716"/>
  <c r="J715"/>
  <c r="F715"/>
  <c r="B715"/>
  <c r="K714"/>
  <c r="G714"/>
  <c r="C714"/>
  <c r="L713"/>
  <c r="H713"/>
  <c r="D713"/>
  <c r="M712"/>
  <c r="I712"/>
  <c r="E712"/>
  <c r="A712"/>
  <c r="J711"/>
  <c r="F711"/>
  <c r="B711"/>
  <c r="K710"/>
  <c r="G710"/>
  <c r="C710"/>
  <c r="L709"/>
  <c r="H709"/>
  <c r="D709"/>
  <c r="M708"/>
  <c r="I708"/>
  <c r="E708"/>
  <c r="A708"/>
  <c r="J707"/>
  <c r="F707"/>
  <c r="B707"/>
  <c r="K706"/>
  <c r="G706"/>
  <c r="C706"/>
  <c r="L705"/>
  <c r="H705"/>
  <c r="D705"/>
  <c r="M704"/>
  <c r="I704"/>
  <c r="E704"/>
  <c r="A704"/>
  <c r="J703"/>
  <c r="F703"/>
  <c r="B703"/>
  <c r="K702"/>
  <c r="G702"/>
  <c r="C702"/>
  <c r="L701"/>
  <c r="H701"/>
  <c r="D701"/>
  <c r="M700"/>
  <c r="I700"/>
  <c r="E700"/>
  <c r="A700"/>
  <c r="J699"/>
  <c r="F699"/>
  <c r="B699"/>
  <c r="K698"/>
  <c r="G698"/>
  <c r="C698"/>
  <c r="L697"/>
  <c r="H697"/>
  <c r="D697"/>
  <c r="M696"/>
  <c r="I696"/>
  <c r="E696"/>
  <c r="A696"/>
  <c r="J695"/>
  <c r="F695"/>
  <c r="B695"/>
  <c r="K694"/>
  <c r="G694"/>
  <c r="C694"/>
  <c r="L693"/>
  <c r="H693"/>
  <c r="D693"/>
  <c r="M692"/>
  <c r="I692"/>
  <c r="E692"/>
  <c r="A692"/>
  <c r="J691"/>
  <c r="F691"/>
  <c r="B691"/>
  <c r="K690"/>
  <c r="G690"/>
  <c r="C690"/>
  <c r="L689"/>
  <c r="H689"/>
  <c r="D689"/>
  <c r="M688"/>
  <c r="I688"/>
  <c r="E688"/>
  <c r="A688"/>
  <c r="J687"/>
  <c r="F687"/>
  <c r="B687"/>
  <c r="K686"/>
  <c r="G686"/>
  <c r="C686"/>
  <c r="L685"/>
  <c r="H685"/>
  <c r="D685"/>
  <c r="M684"/>
  <c r="I684"/>
  <c r="E684"/>
  <c r="A684"/>
  <c r="J683"/>
  <c r="F683"/>
  <c r="B683"/>
  <c r="K682"/>
  <c r="G682"/>
  <c r="C682"/>
  <c r="L681"/>
  <c r="H681"/>
  <c r="D681"/>
  <c r="M680"/>
  <c r="I680"/>
  <c r="E680"/>
  <c r="A680"/>
  <c r="J679"/>
  <c r="F679"/>
  <c r="B679"/>
  <c r="K678"/>
  <c r="G678"/>
  <c r="C678"/>
  <c r="L677"/>
  <c r="H677"/>
  <c r="D677"/>
  <c r="M676"/>
  <c r="I676"/>
  <c r="E676"/>
  <c r="A676"/>
  <c r="J675"/>
  <c r="F675"/>
  <c r="B675"/>
  <c r="K674"/>
  <c r="G674"/>
  <c r="C674"/>
  <c r="L673"/>
  <c r="H673"/>
  <c r="D673"/>
  <c r="M672"/>
  <c r="I672"/>
  <c r="E672"/>
  <c r="A672"/>
  <c r="J671"/>
  <c r="F671"/>
  <c r="B671"/>
  <c r="K670"/>
  <c r="G670"/>
  <c r="C670"/>
  <c r="L669"/>
  <c r="H669"/>
  <c r="D669"/>
  <c r="M668"/>
  <c r="I668"/>
  <c r="E668"/>
  <c r="A668"/>
  <c r="J667"/>
  <c r="F667"/>
  <c r="B667"/>
  <c r="K666"/>
  <c r="G666"/>
  <c r="C666"/>
  <c r="L665"/>
  <c r="H665"/>
  <c r="D665"/>
  <c r="M664"/>
  <c r="I664"/>
  <c r="E664"/>
  <c r="A664"/>
  <c r="J663"/>
  <c r="F663"/>
  <c r="B663"/>
  <c r="K662"/>
  <c r="G662"/>
  <c r="C662"/>
  <c r="L661"/>
  <c r="H661"/>
  <c r="D661"/>
  <c r="M660"/>
  <c r="I660"/>
  <c r="E660"/>
  <c r="A660"/>
  <c r="J659"/>
  <c r="F659"/>
  <c r="B659"/>
  <c r="K658"/>
  <c r="G658"/>
  <c r="C658"/>
  <c r="L657"/>
  <c r="H657"/>
  <c r="D657"/>
  <c r="M656"/>
  <c r="I656"/>
  <c r="E656"/>
  <c r="A656"/>
  <c r="J655"/>
  <c r="F655"/>
  <c r="B655"/>
  <c r="K654"/>
  <c r="G654"/>
  <c r="C654"/>
  <c r="L653"/>
  <c r="H653"/>
  <c r="D653"/>
  <c r="M652"/>
  <c r="I652"/>
  <c r="E652"/>
  <c r="A652"/>
  <c r="J651"/>
  <c r="F651"/>
  <c r="B651"/>
  <c r="K650"/>
  <c r="G650"/>
  <c r="C650"/>
  <c r="L649"/>
  <c r="H649"/>
  <c r="D649"/>
  <c r="M648"/>
  <c r="I648"/>
  <c r="E648"/>
  <c r="A648"/>
  <c r="J647"/>
  <c r="F647"/>
  <c r="B647"/>
  <c r="K646"/>
  <c r="G646"/>
  <c r="C646"/>
  <c r="L645"/>
  <c r="H645"/>
  <c r="D645"/>
  <c r="M644"/>
  <c r="I644"/>
  <c r="E644"/>
  <c r="A644"/>
  <c r="J643"/>
  <c r="F643"/>
  <c r="B643"/>
  <c r="K642"/>
  <c r="G642"/>
  <c r="C642"/>
  <c r="L641"/>
  <c r="H641"/>
  <c r="D641"/>
  <c r="M640"/>
  <c r="I640"/>
  <c r="E640"/>
  <c r="A640"/>
  <c r="J639"/>
  <c r="F639"/>
  <c r="B639"/>
  <c r="K638"/>
  <c r="G638"/>
  <c r="C638"/>
  <c r="L637"/>
  <c r="H637"/>
  <c r="D637"/>
  <c r="M636"/>
  <c r="I636"/>
  <c r="E636"/>
  <c r="A636"/>
  <c r="J635"/>
  <c r="F635"/>
  <c r="B635"/>
  <c r="K634"/>
  <c r="G634"/>
  <c r="C634"/>
  <c r="L633"/>
  <c r="H633"/>
  <c r="D633"/>
  <c r="M632"/>
  <c r="I632"/>
  <c r="E632"/>
  <c r="A632"/>
  <c r="J631"/>
  <c r="F631"/>
  <c r="B631"/>
  <c r="K630"/>
  <c r="G630"/>
  <c r="C630"/>
  <c r="L629"/>
  <c r="H629"/>
  <c r="D629"/>
  <c r="M628"/>
  <c r="I628"/>
  <c r="E628"/>
  <c r="A628"/>
  <c r="J627"/>
  <c r="F627"/>
  <c r="B627"/>
  <c r="K626"/>
  <c r="G626"/>
  <c r="C626"/>
  <c r="L625"/>
  <c r="H625"/>
  <c r="D625"/>
  <c r="M624"/>
  <c r="I624"/>
  <c r="E624"/>
  <c r="A624"/>
  <c r="J623"/>
  <c r="F623"/>
  <c r="B623"/>
  <c r="K622"/>
  <c r="G622"/>
  <c r="C622"/>
  <c r="L621"/>
  <c r="H621"/>
  <c r="D621"/>
  <c r="M620"/>
  <c r="I620"/>
  <c r="E620"/>
  <c r="A620"/>
  <c r="J619"/>
  <c r="F619"/>
  <c r="B619"/>
  <c r="K618"/>
  <c r="G618"/>
  <c r="C618"/>
  <c r="L617"/>
  <c r="H617"/>
  <c r="D617"/>
  <c r="M616"/>
  <c r="I616"/>
  <c r="E616"/>
  <c r="A616"/>
  <c r="J615"/>
  <c r="F615"/>
  <c r="B615"/>
  <c r="K614"/>
  <c r="G614"/>
  <c r="C614"/>
  <c r="L613"/>
  <c r="H613"/>
  <c r="D613"/>
  <c r="M612"/>
  <c r="I612"/>
  <c r="E612"/>
  <c r="A612"/>
  <c r="J611"/>
  <c r="F611"/>
  <c r="B611"/>
  <c r="K610"/>
  <c r="G610"/>
  <c r="C610"/>
  <c r="L609"/>
  <c r="H609"/>
  <c r="D609"/>
  <c r="M608"/>
  <c r="I608"/>
  <c r="E608"/>
  <c r="A608"/>
  <c r="J607"/>
  <c r="F607"/>
  <c r="B607"/>
  <c r="K606"/>
  <c r="G606"/>
  <c r="C606"/>
  <c r="L605"/>
  <c r="H605"/>
  <c r="D605"/>
  <c r="M604"/>
  <c r="I604"/>
  <c r="E604"/>
  <c r="A604"/>
  <c r="J603"/>
  <c r="F603"/>
  <c r="B603"/>
  <c r="K602"/>
  <c r="G602"/>
  <c r="C602"/>
  <c r="L601"/>
  <c r="H601"/>
  <c r="D601"/>
  <c r="M600"/>
  <c r="I600"/>
  <c r="E600"/>
  <c r="A600"/>
  <c r="J599"/>
  <c r="F599"/>
  <c r="B599"/>
  <c r="K598"/>
  <c r="G598"/>
  <c r="C598"/>
  <c r="L597"/>
  <c r="H597"/>
  <c r="D597"/>
  <c r="M596"/>
  <c r="I596"/>
  <c r="E596"/>
  <c r="A596"/>
  <c r="J595"/>
  <c r="F595"/>
  <c r="B595"/>
  <c r="K594"/>
  <c r="G594"/>
  <c r="C594"/>
  <c r="L593"/>
  <c r="H593"/>
  <c r="D593"/>
  <c r="M592"/>
  <c r="I592"/>
  <c r="E592"/>
  <c r="A592"/>
  <c r="J591"/>
  <c r="F591"/>
  <c r="B591"/>
  <c r="K590"/>
  <c r="G590"/>
  <c r="C590"/>
  <c r="L589"/>
  <c r="H589"/>
  <c r="D589"/>
  <c r="M588"/>
  <c r="I588"/>
  <c r="E588"/>
  <c r="A588"/>
  <c r="J587"/>
  <c r="F587"/>
  <c r="B587"/>
  <c r="K586"/>
  <c r="G586"/>
  <c r="C586"/>
  <c r="L585"/>
  <c r="H585"/>
  <c r="D585"/>
  <c r="M584"/>
  <c r="I584"/>
  <c r="E584"/>
  <c r="A584"/>
  <c r="J583"/>
  <c r="F583"/>
  <c r="B583"/>
  <c r="K582"/>
  <c r="G582"/>
  <c r="C582"/>
  <c r="L581"/>
  <c r="H581"/>
  <c r="D581"/>
  <c r="M580"/>
  <c r="I580"/>
  <c r="E580"/>
  <c r="A580"/>
  <c r="J579"/>
  <c r="F579"/>
  <c r="B579"/>
  <c r="K578"/>
  <c r="G578"/>
  <c r="C578"/>
  <c r="L577"/>
  <c r="H577"/>
  <c r="D577"/>
  <c r="M576"/>
  <c r="I576"/>
  <c r="E576"/>
  <c r="A576"/>
  <c r="J575"/>
  <c r="F575"/>
  <c r="B575"/>
  <c r="K574"/>
  <c r="G574"/>
  <c r="C574"/>
  <c r="L573"/>
  <c r="H573"/>
  <c r="D573"/>
  <c r="M572"/>
  <c r="I572"/>
  <c r="E572"/>
  <c r="A572"/>
  <c r="J571"/>
  <c r="F571"/>
  <c r="B571"/>
  <c r="K570"/>
  <c r="G570"/>
  <c r="C570"/>
  <c r="L569"/>
  <c r="H569"/>
  <c r="D569"/>
  <c r="M568"/>
  <c r="I568"/>
  <c r="E568"/>
  <c r="A568"/>
  <c r="J567"/>
  <c r="F567"/>
  <c r="B567"/>
  <c r="K566"/>
  <c r="G566"/>
  <c r="C566"/>
  <c r="L565"/>
  <c r="H565"/>
  <c r="D565"/>
  <c r="M564"/>
  <c r="I564"/>
  <c r="E564"/>
  <c r="A564"/>
  <c r="J563"/>
  <c r="F563"/>
  <c r="B563"/>
  <c r="K562"/>
  <c r="G562"/>
  <c r="C562"/>
  <c r="L561"/>
  <c r="H561"/>
  <c r="D561"/>
  <c r="M560"/>
  <c r="I560"/>
  <c r="E560"/>
  <c r="A560"/>
  <c r="J559"/>
  <c r="F559"/>
  <c r="B559"/>
  <c r="K558"/>
  <c r="G558"/>
  <c r="C558"/>
  <c r="L557"/>
  <c r="H557"/>
  <c r="D557"/>
  <c r="M556"/>
  <c r="I556"/>
  <c r="E556"/>
  <c r="A556"/>
  <c r="J555"/>
  <c r="F555"/>
  <c r="B555"/>
  <c r="K554"/>
  <c r="G554"/>
  <c r="C554"/>
  <c r="L553"/>
  <c r="H553"/>
  <c r="D553"/>
  <c r="M552"/>
  <c r="I552"/>
  <c r="E552"/>
  <c r="A552"/>
  <c r="J551"/>
  <c r="F551"/>
  <c r="B551"/>
  <c r="K550"/>
  <c r="G550"/>
  <c r="C550"/>
  <c r="L549"/>
  <c r="H549"/>
  <c r="D549"/>
  <c r="M548"/>
  <c r="I548"/>
  <c r="E548"/>
  <c r="A548"/>
  <c r="J547"/>
  <c r="F547"/>
  <c r="B547"/>
  <c r="K546"/>
  <c r="G546"/>
  <c r="C546"/>
  <c r="L545"/>
  <c r="H545"/>
  <c r="D545"/>
  <c r="M544"/>
  <c r="I544"/>
  <c r="E544"/>
  <c r="A544"/>
  <c r="J543"/>
  <c r="F543"/>
  <c r="B543"/>
  <c r="K542"/>
  <c r="G542"/>
  <c r="C542"/>
  <c r="L541"/>
  <c r="H541"/>
  <c r="D541"/>
  <c r="M540"/>
  <c r="I540"/>
  <c r="E540"/>
  <c r="A540"/>
  <c r="J539"/>
  <c r="F539"/>
  <c r="B539"/>
  <c r="K538"/>
  <c r="G538"/>
  <c r="C538"/>
  <c r="L537"/>
  <c r="H537"/>
  <c r="D537"/>
  <c r="M536"/>
  <c r="I536"/>
  <c r="E536"/>
  <c r="A536"/>
  <c r="J535"/>
  <c r="F535"/>
  <c r="B535"/>
  <c r="K534"/>
  <c r="G534"/>
  <c r="C534"/>
  <c r="L533"/>
  <c r="H533"/>
  <c r="D533"/>
  <c r="M532"/>
  <c r="I532"/>
  <c r="E532"/>
  <c r="A532"/>
  <c r="J531"/>
  <c r="F531"/>
  <c r="B531"/>
  <c r="K530"/>
  <c r="G530"/>
  <c r="C530"/>
  <c r="L529"/>
  <c r="H529"/>
  <c r="D529"/>
  <c r="M528"/>
  <c r="I528"/>
  <c r="E528"/>
  <c r="A528"/>
  <c r="J527"/>
  <c r="F527"/>
  <c r="B527"/>
  <c r="K526"/>
  <c r="G526"/>
  <c r="C526"/>
  <c r="L525"/>
  <c r="H525"/>
  <c r="D525"/>
  <c r="M524"/>
  <c r="I524"/>
  <c r="E524"/>
  <c r="A524"/>
  <c r="J523"/>
  <c r="F523"/>
  <c r="B523"/>
  <c r="K522"/>
  <c r="G522"/>
  <c r="C522"/>
  <c r="L521"/>
  <c r="H521"/>
  <c r="D521"/>
  <c r="M520"/>
  <c r="I520"/>
  <c r="E520"/>
  <c r="A520"/>
  <c r="J519"/>
  <c r="F519"/>
  <c r="B519"/>
  <c r="K518"/>
  <c r="G518"/>
  <c r="C518"/>
  <c r="L517"/>
  <c r="H517"/>
  <c r="D517"/>
  <c r="M516"/>
  <c r="I516"/>
  <c r="E516"/>
  <c r="A516"/>
  <c r="J515"/>
  <c r="F515"/>
  <c r="B515"/>
  <c r="K514"/>
  <c r="G514"/>
  <c r="C514"/>
  <c r="L513"/>
  <c r="H513"/>
  <c r="D513"/>
  <c r="M512"/>
  <c r="I512"/>
  <c r="E512"/>
  <c r="A512"/>
  <c r="J511"/>
  <c r="F511"/>
  <c r="B511"/>
  <c r="K510"/>
  <c r="G510"/>
  <c r="C510"/>
  <c r="L509"/>
  <c r="H509"/>
  <c r="D509"/>
  <c r="M508"/>
  <c r="I508"/>
  <c r="E508"/>
  <c r="A508"/>
  <c r="J507"/>
  <c r="F507"/>
  <c r="B507"/>
  <c r="K506"/>
  <c r="G506"/>
  <c r="C506"/>
  <c r="L505"/>
  <c r="H505"/>
  <c r="D505"/>
  <c r="M504"/>
  <c r="I504"/>
  <c r="E504"/>
  <c r="A504"/>
  <c r="J503"/>
  <c r="F503"/>
  <c r="B503"/>
  <c r="K502"/>
  <c r="G502"/>
  <c r="C502"/>
  <c r="L501"/>
  <c r="H501"/>
  <c r="D501"/>
  <c r="M500"/>
  <c r="I500"/>
  <c r="E500"/>
  <c r="A500"/>
  <c r="J499"/>
  <c r="F499"/>
  <c r="B499"/>
  <c r="K498"/>
  <c r="G498"/>
  <c r="C498"/>
  <c r="L497"/>
  <c r="H497"/>
  <c r="D497"/>
  <c r="M496"/>
  <c r="I496"/>
  <c r="E496"/>
  <c r="A496"/>
  <c r="J495"/>
  <c r="F495"/>
  <c r="B495"/>
  <c r="K494"/>
  <c r="G494"/>
  <c r="C494"/>
  <c r="L493"/>
  <c r="H493"/>
  <c r="D493"/>
  <c r="M492"/>
  <c r="I492"/>
  <c r="E492"/>
  <c r="A492"/>
  <c r="J491"/>
  <c r="F491"/>
  <c r="B491"/>
  <c r="K490"/>
  <c r="G490"/>
  <c r="C490"/>
  <c r="L489"/>
  <c r="H489"/>
  <c r="D489"/>
  <c r="M488"/>
  <c r="I488"/>
  <c r="E488"/>
  <c r="A488"/>
  <c r="J487"/>
  <c r="F487"/>
  <c r="B487"/>
  <c r="K486"/>
  <c r="G486"/>
  <c r="C486"/>
  <c r="L485"/>
  <c r="H485"/>
  <c r="D485"/>
  <c r="M484"/>
  <c r="I484"/>
  <c r="E484"/>
  <c r="A484"/>
  <c r="J483"/>
  <c r="F483"/>
  <c r="B483"/>
  <c r="K482"/>
  <c r="G482"/>
  <c r="C482"/>
  <c r="L481"/>
  <c r="H481"/>
  <c r="D481"/>
  <c r="M480"/>
  <c r="I480"/>
  <c r="E480"/>
  <c r="A480"/>
  <c r="J479"/>
  <c r="F479"/>
  <c r="B479"/>
  <c r="K478"/>
  <c r="G478"/>
  <c r="C478"/>
  <c r="L477"/>
  <c r="H477"/>
  <c r="D477"/>
  <c r="M476"/>
  <c r="I476"/>
  <c r="E476"/>
  <c r="A476"/>
  <c r="J475"/>
  <c r="F475"/>
  <c r="B475"/>
  <c r="K474"/>
  <c r="G474"/>
  <c r="C474"/>
  <c r="L473"/>
  <c r="H473"/>
  <c r="D473"/>
  <c r="M472"/>
  <c r="I472"/>
  <c r="E472"/>
  <c r="A472"/>
  <c r="J471"/>
  <c r="F471"/>
  <c r="B471"/>
  <c r="K470"/>
  <c r="G470"/>
  <c r="C470"/>
  <c r="L469"/>
  <c r="H469"/>
  <c r="D469"/>
  <c r="M468"/>
  <c r="I468"/>
  <c r="E468"/>
  <c r="A468"/>
  <c r="J467"/>
  <c r="F467"/>
  <c r="B467"/>
  <c r="K466"/>
  <c r="G466"/>
  <c r="C466"/>
  <c r="L465"/>
  <c r="H465"/>
  <c r="D465"/>
  <c r="M464"/>
  <c r="A1013"/>
  <c r="F1012"/>
  <c r="K1011"/>
  <c r="C1011"/>
  <c r="H1010"/>
  <c r="M1009"/>
  <c r="E1009"/>
  <c r="J1008"/>
  <c r="B1008"/>
  <c r="G1007"/>
  <c r="L1006"/>
  <c r="D1006"/>
  <c r="I1005"/>
  <c r="A1005"/>
  <c r="F1004"/>
  <c r="K1003"/>
  <c r="C1003"/>
  <c r="H1002"/>
  <c r="M1001"/>
  <c r="E1001"/>
  <c r="J1000"/>
  <c r="B1000"/>
  <c r="G999"/>
  <c r="L998"/>
  <c r="D998"/>
  <c r="M997"/>
  <c r="I997"/>
  <c r="E997"/>
  <c r="A997"/>
  <c r="J996"/>
  <c r="F996"/>
  <c r="B996"/>
  <c r="K995"/>
  <c r="G995"/>
  <c r="C995"/>
  <c r="L994"/>
  <c r="H994"/>
  <c r="D994"/>
  <c r="M993"/>
  <c r="I993"/>
  <c r="E993"/>
  <c r="A993"/>
  <c r="J992"/>
  <c r="F992"/>
  <c r="B992"/>
  <c r="K991"/>
  <c r="G991"/>
  <c r="C991"/>
  <c r="L990"/>
  <c r="H990"/>
  <c r="D990"/>
  <c r="M989"/>
  <c r="I989"/>
  <c r="E989"/>
  <c r="A989"/>
  <c r="J988"/>
  <c r="F988"/>
  <c r="B988"/>
  <c r="K987"/>
  <c r="G987"/>
  <c r="C987"/>
  <c r="L986"/>
  <c r="H986"/>
  <c r="D986"/>
  <c r="M985"/>
  <c r="I985"/>
  <c r="E985"/>
  <c r="A985"/>
  <c r="J984"/>
  <c r="F984"/>
  <c r="B984"/>
  <c r="K983"/>
  <c r="G983"/>
  <c r="C983"/>
  <c r="L982"/>
  <c r="H982"/>
  <c r="D982"/>
  <c r="M981"/>
  <c r="I981"/>
  <c r="E981"/>
  <c r="A981"/>
  <c r="J980"/>
  <c r="F980"/>
  <c r="B980"/>
  <c r="K979"/>
  <c r="G979"/>
  <c r="C979"/>
  <c r="L978"/>
  <c r="H978"/>
  <c r="D978"/>
  <c r="M977"/>
  <c r="I977"/>
  <c r="E977"/>
  <c r="A977"/>
  <c r="J976"/>
  <c r="F976"/>
  <c r="B976"/>
  <c r="K975"/>
  <c r="G975"/>
  <c r="C975"/>
  <c r="L974"/>
  <c r="H974"/>
  <c r="D974"/>
  <c r="M973"/>
  <c r="I973"/>
  <c r="E973"/>
  <c r="A973"/>
  <c r="J972"/>
  <c r="F972"/>
  <c r="B972"/>
  <c r="K971"/>
  <c r="G971"/>
  <c r="C971"/>
  <c r="L970"/>
  <c r="H970"/>
  <c r="D970"/>
  <c r="M969"/>
  <c r="I969"/>
  <c r="E969"/>
  <c r="A969"/>
  <c r="J968"/>
  <c r="F968"/>
  <c r="B968"/>
  <c r="K967"/>
  <c r="G967"/>
  <c r="C967"/>
  <c r="L966"/>
  <c r="H966"/>
  <c r="D966"/>
  <c r="M965"/>
  <c r="I965"/>
  <c r="E965"/>
  <c r="A965"/>
  <c r="J964"/>
  <c r="F964"/>
  <c r="B964"/>
  <c r="K963"/>
  <c r="G963"/>
  <c r="C963"/>
  <c r="L962"/>
  <c r="H962"/>
  <c r="D962"/>
  <c r="M961"/>
  <c r="I961"/>
  <c r="E961"/>
  <c r="A961"/>
  <c r="J960"/>
  <c r="F960"/>
  <c r="B960"/>
  <c r="K959"/>
  <c r="G959"/>
  <c r="C959"/>
  <c r="L958"/>
  <c r="H958"/>
  <c r="D958"/>
  <c r="M957"/>
  <c r="I957"/>
  <c r="E957"/>
  <c r="A957"/>
  <c r="J956"/>
  <c r="F956"/>
  <c r="B956"/>
  <c r="K955"/>
  <c r="G955"/>
  <c r="C955"/>
  <c r="L954"/>
  <c r="H954"/>
  <c r="D954"/>
  <c r="M953"/>
  <c r="I953"/>
  <c r="E953"/>
  <c r="A953"/>
  <c r="J952"/>
  <c r="F952"/>
  <c r="B952"/>
  <c r="K951"/>
  <c r="G951"/>
  <c r="C951"/>
  <c r="L950"/>
  <c r="H950"/>
  <c r="D950"/>
  <c r="M949"/>
  <c r="I949"/>
  <c r="E949"/>
  <c r="A949"/>
  <c r="J948"/>
  <c r="F948"/>
  <c r="B948"/>
  <c r="K947"/>
  <c r="G947"/>
  <c r="C947"/>
  <c r="L946"/>
  <c r="H946"/>
  <c r="D946"/>
  <c r="M945"/>
  <c r="I945"/>
  <c r="E945"/>
  <c r="A945"/>
  <c r="J944"/>
  <c r="F944"/>
  <c r="B944"/>
  <c r="K943"/>
  <c r="G943"/>
  <c r="C943"/>
  <c r="L942"/>
  <c r="H942"/>
  <c r="D942"/>
  <c r="M941"/>
  <c r="I941"/>
  <c r="E941"/>
  <c r="A941"/>
  <c r="J940"/>
  <c r="F940"/>
  <c r="B940"/>
  <c r="K939"/>
  <c r="G939"/>
  <c r="C939"/>
  <c r="L938"/>
  <c r="H938"/>
  <c r="D938"/>
  <c r="M937"/>
  <c r="I937"/>
  <c r="E937"/>
  <c r="A937"/>
  <c r="J936"/>
  <c r="F936"/>
  <c r="B936"/>
  <c r="K935"/>
  <c r="G935"/>
  <c r="C935"/>
  <c r="L934"/>
  <c r="H934"/>
  <c r="D934"/>
  <c r="M933"/>
  <c r="I933"/>
  <c r="E933"/>
  <c r="A933"/>
  <c r="J932"/>
  <c r="F932"/>
  <c r="B932"/>
  <c r="K931"/>
  <c r="G931"/>
  <c r="C931"/>
  <c r="L930"/>
  <c r="H930"/>
  <c r="D930"/>
  <c r="M929"/>
  <c r="I929"/>
  <c r="E929"/>
  <c r="A929"/>
  <c r="J928"/>
  <c r="F928"/>
  <c r="B928"/>
  <c r="K927"/>
  <c r="G927"/>
  <c r="C927"/>
  <c r="L926"/>
  <c r="H926"/>
  <c r="D926"/>
  <c r="M925"/>
  <c r="I925"/>
  <c r="E925"/>
  <c r="A925"/>
  <c r="J924"/>
  <c r="F924"/>
  <c r="B924"/>
  <c r="K923"/>
  <c r="G923"/>
  <c r="C923"/>
  <c r="L922"/>
  <c r="H922"/>
  <c r="D922"/>
  <c r="M921"/>
  <c r="I921"/>
  <c r="E921"/>
  <c r="A921"/>
  <c r="J920"/>
  <c r="F920"/>
  <c r="B920"/>
  <c r="K919"/>
  <c r="G919"/>
  <c r="C919"/>
  <c r="L918"/>
  <c r="H918"/>
  <c r="D918"/>
  <c r="M917"/>
  <c r="I917"/>
  <c r="E917"/>
  <c r="A917"/>
  <c r="J916"/>
  <c r="F916"/>
  <c r="B916"/>
  <c r="K915"/>
  <c r="G915"/>
  <c r="C915"/>
  <c r="L914"/>
  <c r="H914"/>
  <c r="D914"/>
  <c r="M913"/>
  <c r="I913"/>
  <c r="E913"/>
  <c r="A913"/>
  <c r="J912"/>
  <c r="F912"/>
  <c r="B912"/>
  <c r="K911"/>
  <c r="G911"/>
  <c r="C911"/>
  <c r="L910"/>
  <c r="H910"/>
  <c r="D910"/>
  <c r="M909"/>
  <c r="I909"/>
  <c r="E909"/>
  <c r="A909"/>
  <c r="J908"/>
  <c r="F908"/>
  <c r="B908"/>
  <c r="K907"/>
  <c r="G907"/>
  <c r="C907"/>
  <c r="L906"/>
  <c r="H906"/>
  <c r="D906"/>
  <c r="M905"/>
  <c r="I905"/>
  <c r="E905"/>
  <c r="A905"/>
  <c r="J904"/>
  <c r="F904"/>
  <c r="B904"/>
  <c r="K903"/>
  <c r="G903"/>
  <c r="C903"/>
  <c r="L902"/>
  <c r="H902"/>
  <c r="D902"/>
  <c r="M901"/>
  <c r="I901"/>
  <c r="E901"/>
  <c r="A901"/>
  <c r="J900"/>
  <c r="F900"/>
  <c r="B900"/>
  <c r="K899"/>
  <c r="G899"/>
  <c r="C899"/>
  <c r="L898"/>
  <c r="H898"/>
  <c r="D898"/>
  <c r="M897"/>
  <c r="I897"/>
  <c r="E897"/>
  <c r="A897"/>
  <c r="J896"/>
  <c r="F896"/>
  <c r="B896"/>
  <c r="K895"/>
  <c r="G895"/>
  <c r="C895"/>
  <c r="L894"/>
  <c r="H894"/>
  <c r="D894"/>
  <c r="M893"/>
  <c r="I893"/>
  <c r="E893"/>
  <c r="A893"/>
  <c r="J892"/>
  <c r="F892"/>
  <c r="B892"/>
  <c r="K891"/>
  <c r="G891"/>
  <c r="C891"/>
  <c r="L890"/>
  <c r="H890"/>
  <c r="D890"/>
  <c r="M889"/>
  <c r="I889"/>
  <c r="E889"/>
  <c r="A889"/>
  <c r="J888"/>
  <c r="F888"/>
  <c r="B888"/>
  <c r="K887"/>
  <c r="G887"/>
  <c r="C887"/>
  <c r="L886"/>
  <c r="H886"/>
  <c r="D886"/>
  <c r="M885"/>
  <c r="I885"/>
  <c r="E885"/>
  <c r="A885"/>
  <c r="J884"/>
  <c r="F884"/>
  <c r="B884"/>
  <c r="K883"/>
  <c r="G883"/>
  <c r="C883"/>
  <c r="L882"/>
  <c r="H882"/>
  <c r="D882"/>
  <c r="M881"/>
  <c r="I881"/>
  <c r="E881"/>
  <c r="A881"/>
  <c r="J880"/>
  <c r="F880"/>
  <c r="B880"/>
  <c r="K879"/>
  <c r="G879"/>
  <c r="C879"/>
  <c r="L878"/>
  <c r="H878"/>
  <c r="D878"/>
  <c r="M877"/>
  <c r="I877"/>
  <c r="E877"/>
  <c r="A877"/>
  <c r="J876"/>
  <c r="F876"/>
  <c r="B876"/>
  <c r="K875"/>
  <c r="G875"/>
  <c r="C875"/>
  <c r="L874"/>
  <c r="H874"/>
  <c r="D874"/>
  <c r="M873"/>
  <c r="I873"/>
  <c r="E873"/>
  <c r="A873"/>
  <c r="J872"/>
  <c r="F872"/>
  <c r="B872"/>
  <c r="K871"/>
  <c r="G871"/>
  <c r="C871"/>
  <c r="L870"/>
  <c r="H870"/>
  <c r="D870"/>
  <c r="M869"/>
  <c r="I869"/>
  <c r="E869"/>
  <c r="A869"/>
  <c r="J868"/>
  <c r="F868"/>
  <c r="B868"/>
  <c r="K867"/>
  <c r="G867"/>
  <c r="C867"/>
  <c r="L866"/>
  <c r="H866"/>
  <c r="D866"/>
  <c r="M865"/>
  <c r="I865"/>
  <c r="E865"/>
  <c r="A865"/>
  <c r="J864"/>
  <c r="F864"/>
  <c r="B864"/>
  <c r="K863"/>
  <c r="G863"/>
  <c r="C863"/>
  <c r="L862"/>
  <c r="H862"/>
  <c r="D862"/>
  <c r="M861"/>
  <c r="I861"/>
  <c r="E861"/>
  <c r="A861"/>
  <c r="J860"/>
  <c r="F860"/>
  <c r="B860"/>
  <c r="K859"/>
  <c r="G859"/>
  <c r="C859"/>
  <c r="L858"/>
  <c r="H858"/>
  <c r="D858"/>
  <c r="M857"/>
  <c r="I857"/>
  <c r="E857"/>
  <c r="A857"/>
  <c r="J856"/>
  <c r="F856"/>
  <c r="B856"/>
  <c r="K855"/>
  <c r="G855"/>
  <c r="C855"/>
  <c r="L854"/>
  <c r="H854"/>
  <c r="D854"/>
  <c r="M853"/>
  <c r="I853"/>
  <c r="E853"/>
  <c r="A853"/>
  <c r="J852"/>
  <c r="F852"/>
  <c r="B852"/>
  <c r="K851"/>
  <c r="G851"/>
  <c r="C851"/>
  <c r="L850"/>
  <c r="H850"/>
  <c r="D850"/>
  <c r="M849"/>
  <c r="I849"/>
  <c r="E849"/>
  <c r="A849"/>
  <c r="J848"/>
  <c r="F848"/>
  <c r="B848"/>
  <c r="K847"/>
  <c r="G847"/>
  <c r="C847"/>
  <c r="L846"/>
  <c r="H846"/>
  <c r="D846"/>
  <c r="M845"/>
  <c r="I845"/>
  <c r="E845"/>
  <c r="A845"/>
  <c r="J844"/>
  <c r="F844"/>
  <c r="B844"/>
  <c r="K843"/>
  <c r="G843"/>
  <c r="C843"/>
  <c r="L842"/>
  <c r="H842"/>
  <c r="D842"/>
  <c r="M841"/>
  <c r="I841"/>
  <c r="E841"/>
  <c r="A841"/>
  <c r="J840"/>
  <c r="F840"/>
  <c r="B840"/>
  <c r="K839"/>
  <c r="G839"/>
  <c r="C839"/>
  <c r="L838"/>
  <c r="H838"/>
  <c r="D838"/>
  <c r="M837"/>
  <c r="I837"/>
  <c r="E837"/>
  <c r="A837"/>
  <c r="J836"/>
  <c r="F836"/>
  <c r="B836"/>
  <c r="K835"/>
  <c r="G835"/>
  <c r="C835"/>
  <c r="L834"/>
  <c r="H834"/>
  <c r="D834"/>
  <c r="M833"/>
  <c r="I833"/>
  <c r="E833"/>
  <c r="A833"/>
  <c r="J832"/>
  <c r="F832"/>
  <c r="B832"/>
  <c r="K831"/>
  <c r="G831"/>
  <c r="C831"/>
  <c r="L830"/>
  <c r="H830"/>
  <c r="D830"/>
  <c r="M829"/>
  <c r="I829"/>
  <c r="E829"/>
  <c r="A829"/>
  <c r="J828"/>
  <c r="F828"/>
  <c r="B828"/>
  <c r="K827"/>
  <c r="G827"/>
  <c r="C827"/>
  <c r="L826"/>
  <c r="H826"/>
  <c r="D826"/>
  <c r="M825"/>
  <c r="I825"/>
  <c r="E825"/>
  <c r="A825"/>
  <c r="J824"/>
  <c r="F824"/>
  <c r="B824"/>
  <c r="K823"/>
  <c r="G823"/>
  <c r="C823"/>
  <c r="L822"/>
  <c r="H822"/>
  <c r="D822"/>
  <c r="M821"/>
  <c r="I821"/>
  <c r="E821"/>
  <c r="A821"/>
  <c r="J820"/>
  <c r="F820"/>
  <c r="B820"/>
  <c r="K819"/>
  <c r="G819"/>
  <c r="C819"/>
  <c r="L818"/>
  <c r="H818"/>
  <c r="D818"/>
  <c r="M817"/>
  <c r="I817"/>
  <c r="E817"/>
  <c r="A817"/>
  <c r="J816"/>
  <c r="F816"/>
  <c r="B816"/>
  <c r="K815"/>
  <c r="G815"/>
  <c r="C815"/>
  <c r="L814"/>
  <c r="H814"/>
  <c r="D814"/>
  <c r="M813"/>
  <c r="I813"/>
  <c r="E813"/>
  <c r="A813"/>
  <c r="J812"/>
  <c r="F812"/>
  <c r="B812"/>
  <c r="K811"/>
  <c r="G811"/>
  <c r="C811"/>
  <c r="L810"/>
  <c r="H810"/>
  <c r="D810"/>
  <c r="M809"/>
  <c r="I809"/>
  <c r="E809"/>
  <c r="A809"/>
  <c r="J808"/>
  <c r="F808"/>
  <c r="B808"/>
  <c r="K807"/>
  <c r="G807"/>
  <c r="C807"/>
  <c r="L806"/>
  <c r="H806"/>
  <c r="D806"/>
  <c r="M805"/>
  <c r="I805"/>
  <c r="E805"/>
  <c r="A805"/>
  <c r="J804"/>
  <c r="F804"/>
  <c r="B804"/>
  <c r="K803"/>
  <c r="G803"/>
  <c r="C803"/>
  <c r="L802"/>
  <c r="H802"/>
  <c r="D802"/>
  <c r="M801"/>
  <c r="I801"/>
  <c r="E801"/>
  <c r="A801"/>
  <c r="J800"/>
  <c r="F800"/>
  <c r="B800"/>
  <c r="K799"/>
  <c r="G799"/>
  <c r="C799"/>
  <c r="L798"/>
  <c r="H798"/>
  <c r="D798"/>
  <c r="M797"/>
  <c r="I797"/>
  <c r="E797"/>
  <c r="A797"/>
  <c r="J796"/>
  <c r="F796"/>
  <c r="B796"/>
  <c r="K795"/>
  <c r="G795"/>
  <c r="C795"/>
  <c r="L794"/>
  <c r="H794"/>
  <c r="D794"/>
  <c r="M793"/>
  <c r="I793"/>
  <c r="E793"/>
  <c r="A793"/>
  <c r="J792"/>
  <c r="F792"/>
  <c r="B792"/>
  <c r="K791"/>
  <c r="G791"/>
  <c r="C791"/>
  <c r="L790"/>
  <c r="H790"/>
  <c r="D790"/>
  <c r="M789"/>
  <c r="I789"/>
  <c r="E789"/>
  <c r="A789"/>
  <c r="J788"/>
  <c r="F788"/>
  <c r="B788"/>
  <c r="K787"/>
  <c r="G787"/>
  <c r="C787"/>
  <c r="L786"/>
  <c r="H786"/>
  <c r="D786"/>
  <c r="M785"/>
  <c r="I785"/>
  <c r="E785"/>
  <c r="A785"/>
  <c r="J784"/>
  <c r="F784"/>
  <c r="B784"/>
  <c r="K783"/>
  <c r="G783"/>
  <c r="C783"/>
  <c r="L782"/>
  <c r="H782"/>
  <c r="D782"/>
  <c r="M781"/>
  <c r="I781"/>
  <c r="E781"/>
  <c r="A781"/>
  <c r="J780"/>
  <c r="F780"/>
  <c r="B780"/>
  <c r="K779"/>
  <c r="G779"/>
  <c r="C779"/>
  <c r="L778"/>
  <c r="H778"/>
  <c r="D778"/>
  <c r="M777"/>
  <c r="I777"/>
  <c r="E777"/>
  <c r="A777"/>
  <c r="J776"/>
  <c r="F776"/>
  <c r="B776"/>
  <c r="K775"/>
  <c r="G775"/>
  <c r="C775"/>
  <c r="L774"/>
  <c r="H774"/>
  <c r="D774"/>
  <c r="M773"/>
  <c r="I773"/>
  <c r="E773"/>
  <c r="A773"/>
  <c r="J772"/>
  <c r="F772"/>
  <c r="B772"/>
  <c r="K771"/>
  <c r="G771"/>
  <c r="C771"/>
  <c r="L770"/>
  <c r="H770"/>
  <c r="D770"/>
  <c r="M769"/>
  <c r="I769"/>
  <c r="E769"/>
  <c r="A769"/>
  <c r="J768"/>
  <c r="F768"/>
  <c r="B768"/>
  <c r="K767"/>
  <c r="G767"/>
  <c r="C767"/>
  <c r="L766"/>
  <c r="H766"/>
  <c r="D766"/>
  <c r="M765"/>
  <c r="I765"/>
  <c r="E765"/>
  <c r="A765"/>
  <c r="J764"/>
  <c r="F764"/>
  <c r="B764"/>
  <c r="K763"/>
  <c r="G763"/>
  <c r="C763"/>
  <c r="L762"/>
  <c r="H762"/>
  <c r="D762"/>
  <c r="M761"/>
  <c r="I761"/>
  <c r="E761"/>
  <c r="A761"/>
  <c r="J760"/>
  <c r="F760"/>
  <c r="B760"/>
  <c r="K759"/>
  <c r="G759"/>
  <c r="C759"/>
  <c r="L758"/>
  <c r="H758"/>
  <c r="D758"/>
  <c r="M757"/>
  <c r="I757"/>
  <c r="E757"/>
  <c r="A757"/>
  <c r="J756"/>
  <c r="F756"/>
  <c r="B756"/>
  <c r="K755"/>
  <c r="G755"/>
  <c r="C755"/>
  <c r="L754"/>
  <c r="H754"/>
  <c r="D754"/>
  <c r="M753"/>
  <c r="I753"/>
  <c r="E753"/>
  <c r="A753"/>
  <c r="J752"/>
  <c r="F752"/>
  <c r="B752"/>
  <c r="K751"/>
  <c r="G751"/>
  <c r="C751"/>
  <c r="L750"/>
  <c r="H750"/>
  <c r="D750"/>
  <c r="M749"/>
  <c r="I749"/>
  <c r="E749"/>
  <c r="A749"/>
  <c r="J748"/>
  <c r="F748"/>
  <c r="B748"/>
  <c r="K747"/>
  <c r="G747"/>
  <c r="C747"/>
  <c r="L746"/>
  <c r="H746"/>
  <c r="D746"/>
  <c r="M745"/>
  <c r="I745"/>
  <c r="E745"/>
  <c r="A745"/>
  <c r="J744"/>
  <c r="F744"/>
  <c r="B744"/>
  <c r="K743"/>
  <c r="G743"/>
  <c r="C743"/>
  <c r="L742"/>
  <c r="H742"/>
  <c r="D742"/>
  <c r="M741"/>
  <c r="I741"/>
  <c r="E741"/>
  <c r="A741"/>
  <c r="J740"/>
  <c r="F740"/>
  <c r="B740"/>
  <c r="K739"/>
  <c r="G739"/>
  <c r="C739"/>
  <c r="L738"/>
  <c r="H738"/>
  <c r="D738"/>
  <c r="M737"/>
  <c r="I737"/>
  <c r="E737"/>
  <c r="A737"/>
  <c r="J736"/>
  <c r="F736"/>
  <c r="B736"/>
  <c r="K735"/>
  <c r="G735"/>
  <c r="C735"/>
  <c r="L734"/>
  <c r="H734"/>
  <c r="D734"/>
  <c r="M733"/>
  <c r="I733"/>
  <c r="E733"/>
  <c r="A733"/>
  <c r="J732"/>
  <c r="F732"/>
  <c r="B732"/>
  <c r="K731"/>
  <c r="G731"/>
  <c r="C731"/>
  <c r="L730"/>
  <c r="H730"/>
  <c r="D730"/>
  <c r="M729"/>
  <c r="I729"/>
  <c r="E729"/>
  <c r="A729"/>
  <c r="J728"/>
  <c r="F728"/>
  <c r="B728"/>
  <c r="K727"/>
  <c r="G727"/>
  <c r="C727"/>
  <c r="L726"/>
  <c r="H726"/>
  <c r="D726"/>
  <c r="M725"/>
  <c r="I725"/>
  <c r="E725"/>
  <c r="A725"/>
  <c r="J724"/>
  <c r="F724"/>
  <c r="B724"/>
  <c r="K723"/>
  <c r="G723"/>
  <c r="C723"/>
  <c r="L722"/>
  <c r="H722"/>
  <c r="D722"/>
  <c r="M721"/>
  <c r="I721"/>
  <c r="E721"/>
  <c r="A721"/>
  <c r="J720"/>
  <c r="F720"/>
  <c r="B720"/>
  <c r="K719"/>
  <c r="G719"/>
  <c r="C719"/>
  <c r="L718"/>
  <c r="H718"/>
  <c r="D718"/>
  <c r="M717"/>
  <c r="I717"/>
  <c r="E717"/>
  <c r="A717"/>
  <c r="J716"/>
  <c r="F716"/>
  <c r="B716"/>
  <c r="K715"/>
  <c r="G715"/>
  <c r="C715"/>
  <c r="L714"/>
  <c r="H714"/>
  <c r="D714"/>
  <c r="M713"/>
  <c r="I713"/>
  <c r="E713"/>
  <c r="A713"/>
  <c r="J712"/>
  <c r="F712"/>
  <c r="B712"/>
  <c r="K711"/>
  <c r="G711"/>
  <c r="C711"/>
  <c r="L710"/>
  <c r="H710"/>
  <c r="D710"/>
  <c r="M709"/>
  <c r="I709"/>
  <c r="E709"/>
  <c r="A709"/>
  <c r="J708"/>
  <c r="F708"/>
  <c r="B708"/>
  <c r="K707"/>
  <c r="G707"/>
  <c r="C707"/>
  <c r="L706"/>
  <c r="H706"/>
  <c r="D706"/>
  <c r="M705"/>
  <c r="I705"/>
  <c r="E705"/>
  <c r="A705"/>
  <c r="J704"/>
  <c r="F704"/>
  <c r="B704"/>
  <c r="K703"/>
  <c r="G703"/>
  <c r="C703"/>
  <c r="L702"/>
  <c r="H702"/>
  <c r="D702"/>
  <c r="M701"/>
  <c r="I701"/>
  <c r="E701"/>
  <c r="A701"/>
  <c r="J700"/>
  <c r="F700"/>
  <c r="B700"/>
  <c r="K699"/>
  <c r="G699"/>
  <c r="C699"/>
  <c r="L698"/>
  <c r="H698"/>
  <c r="D698"/>
  <c r="M697"/>
  <c r="I697"/>
  <c r="E697"/>
  <c r="A697"/>
  <c r="J696"/>
  <c r="F696"/>
  <c r="B696"/>
  <c r="K695"/>
  <c r="G695"/>
  <c r="C695"/>
  <c r="L694"/>
  <c r="H694"/>
  <c r="D694"/>
  <c r="M693"/>
  <c r="I693"/>
  <c r="E693"/>
  <c r="A693"/>
  <c r="J692"/>
  <c r="F692"/>
  <c r="B692"/>
  <c r="K691"/>
  <c r="G691"/>
  <c r="C691"/>
  <c r="L690"/>
  <c r="H690"/>
  <c r="D690"/>
  <c r="M689"/>
  <c r="I689"/>
  <c r="E689"/>
  <c r="A689"/>
  <c r="J688"/>
  <c r="F688"/>
  <c r="B688"/>
  <c r="K687"/>
  <c r="G687"/>
  <c r="C687"/>
  <c r="L686"/>
  <c r="H686"/>
  <c r="D686"/>
  <c r="M685"/>
  <c r="I685"/>
  <c r="E685"/>
  <c r="A685"/>
  <c r="J684"/>
  <c r="F684"/>
  <c r="B684"/>
  <c r="K683"/>
  <c r="G683"/>
  <c r="C683"/>
  <c r="L682"/>
  <c r="H682"/>
  <c r="D682"/>
  <c r="M681"/>
  <c r="I681"/>
  <c r="E681"/>
  <c r="A681"/>
  <c r="J680"/>
  <c r="F680"/>
  <c r="B680"/>
  <c r="K679"/>
  <c r="G679"/>
  <c r="C679"/>
  <c r="L678"/>
  <c r="H678"/>
  <c r="D678"/>
  <c r="M677"/>
  <c r="I677"/>
  <c r="E677"/>
  <c r="A677"/>
  <c r="J676"/>
  <c r="F676"/>
  <c r="B676"/>
  <c r="K675"/>
  <c r="G675"/>
  <c r="C675"/>
  <c r="L674"/>
  <c r="H674"/>
  <c r="D674"/>
  <c r="M673"/>
  <c r="I673"/>
  <c r="E673"/>
  <c r="A673"/>
  <c r="J672"/>
  <c r="F672"/>
  <c r="B672"/>
  <c r="K671"/>
  <c r="G671"/>
  <c r="C671"/>
  <c r="L670"/>
  <c r="H670"/>
  <c r="D670"/>
  <c r="M669"/>
  <c r="I669"/>
  <c r="E669"/>
  <c r="A669"/>
  <c r="J668"/>
  <c r="F668"/>
  <c r="B668"/>
  <c r="K667"/>
  <c r="G667"/>
  <c r="C667"/>
  <c r="L666"/>
  <c r="H666"/>
  <c r="D666"/>
  <c r="M665"/>
  <c r="I665"/>
  <c r="E665"/>
  <c r="A665"/>
  <c r="J664"/>
  <c r="F664"/>
  <c r="B664"/>
  <c r="K663"/>
  <c r="G663"/>
  <c r="C663"/>
  <c r="L662"/>
  <c r="H662"/>
  <c r="D662"/>
  <c r="M661"/>
  <c r="I661"/>
  <c r="E661"/>
  <c r="A661"/>
  <c r="J660"/>
  <c r="F660"/>
  <c r="B660"/>
  <c r="K659"/>
  <c r="G659"/>
  <c r="C659"/>
  <c r="L658"/>
  <c r="H658"/>
  <c r="D658"/>
  <c r="M657"/>
  <c r="I657"/>
  <c r="E657"/>
  <c r="A657"/>
  <c r="J656"/>
  <c r="F656"/>
  <c r="B656"/>
  <c r="K655"/>
  <c r="G655"/>
  <c r="C655"/>
  <c r="L654"/>
  <c r="H654"/>
  <c r="D654"/>
  <c r="M653"/>
  <c r="I653"/>
  <c r="E653"/>
  <c r="A653"/>
  <c r="J652"/>
  <c r="F652"/>
  <c r="B652"/>
  <c r="K651"/>
  <c r="G651"/>
  <c r="C651"/>
  <c r="L650"/>
  <c r="H650"/>
  <c r="D650"/>
  <c r="M649"/>
  <c r="I649"/>
  <c r="E649"/>
  <c r="A649"/>
  <c r="J648"/>
  <c r="F648"/>
  <c r="B648"/>
  <c r="K647"/>
  <c r="G647"/>
  <c r="C647"/>
  <c r="L646"/>
  <c r="H646"/>
  <c r="D646"/>
  <c r="M645"/>
  <c r="I645"/>
  <c r="E645"/>
  <c r="A645"/>
  <c r="J644"/>
  <c r="F644"/>
  <c r="B644"/>
  <c r="K643"/>
  <c r="G643"/>
  <c r="C643"/>
  <c r="L642"/>
  <c r="H642"/>
  <c r="D642"/>
  <c r="M641"/>
  <c r="I641"/>
  <c r="E641"/>
  <c r="A641"/>
  <c r="J640"/>
  <c r="F640"/>
  <c r="B640"/>
  <c r="K639"/>
  <c r="G639"/>
  <c r="C639"/>
  <c r="L638"/>
  <c r="H638"/>
  <c r="D638"/>
  <c r="M637"/>
  <c r="I637"/>
  <c r="E637"/>
  <c r="A637"/>
  <c r="J636"/>
  <c r="F636"/>
  <c r="B636"/>
  <c r="K635"/>
  <c r="G635"/>
  <c r="C635"/>
  <c r="L634"/>
  <c r="H634"/>
  <c r="D634"/>
  <c r="M633"/>
  <c r="I633"/>
  <c r="E633"/>
  <c r="A633"/>
  <c r="J632"/>
  <c r="F632"/>
  <c r="B632"/>
  <c r="K631"/>
  <c r="G631"/>
  <c r="C631"/>
  <c r="L630"/>
  <c r="H630"/>
  <c r="D630"/>
  <c r="M629"/>
  <c r="I629"/>
  <c r="E629"/>
  <c r="A629"/>
  <c r="J628"/>
  <c r="F628"/>
  <c r="B628"/>
  <c r="K627"/>
  <c r="G627"/>
  <c r="C627"/>
  <c r="L626"/>
  <c r="H626"/>
  <c r="D626"/>
  <c r="M625"/>
  <c r="I625"/>
  <c r="E625"/>
  <c r="A625"/>
  <c r="J624"/>
  <c r="F624"/>
  <c r="B624"/>
  <c r="K623"/>
  <c r="G623"/>
  <c r="C623"/>
  <c r="L622"/>
  <c r="H622"/>
  <c r="D622"/>
  <c r="M621"/>
  <c r="I621"/>
  <c r="E621"/>
  <c r="A621"/>
  <c r="J620"/>
  <c r="F620"/>
  <c r="B620"/>
  <c r="K619"/>
  <c r="G619"/>
  <c r="C619"/>
  <c r="L618"/>
  <c r="H618"/>
  <c r="D618"/>
  <c r="M617"/>
  <c r="I617"/>
  <c r="E617"/>
  <c r="A617"/>
  <c r="J616"/>
  <c r="F616"/>
  <c r="B616"/>
  <c r="K615"/>
  <c r="G615"/>
  <c r="C615"/>
  <c r="L614"/>
  <c r="H614"/>
  <c r="D614"/>
  <c r="M613"/>
  <c r="I613"/>
  <c r="E613"/>
  <c r="A613"/>
  <c r="J612"/>
  <c r="F612"/>
  <c r="B612"/>
  <c r="K611"/>
  <c r="G611"/>
  <c r="C611"/>
  <c r="L610"/>
  <c r="H610"/>
  <c r="D610"/>
  <c r="M609"/>
  <c r="I609"/>
  <c r="E609"/>
  <c r="A609"/>
  <c r="J608"/>
  <c r="F608"/>
  <c r="B608"/>
  <c r="K607"/>
  <c r="G607"/>
  <c r="C607"/>
  <c r="L606"/>
  <c r="H606"/>
  <c r="D606"/>
  <c r="M605"/>
  <c r="I605"/>
  <c r="E605"/>
  <c r="A605"/>
  <c r="J604"/>
  <c r="F604"/>
  <c r="B604"/>
  <c r="K603"/>
  <c r="G603"/>
  <c r="C603"/>
  <c r="L602"/>
  <c r="H602"/>
  <c r="D602"/>
  <c r="M601"/>
  <c r="I601"/>
  <c r="E601"/>
  <c r="A601"/>
  <c r="J600"/>
  <c r="F600"/>
  <c r="B600"/>
  <c r="K599"/>
  <c r="G599"/>
  <c r="C599"/>
  <c r="L598"/>
  <c r="H598"/>
  <c r="D598"/>
  <c r="M597"/>
  <c r="I597"/>
  <c r="E597"/>
  <c r="A597"/>
  <c r="J596"/>
  <c r="F596"/>
  <c r="B596"/>
  <c r="K595"/>
  <c r="G595"/>
  <c r="C595"/>
  <c r="L594"/>
  <c r="H594"/>
  <c r="D594"/>
  <c r="M593"/>
  <c r="I593"/>
  <c r="E593"/>
  <c r="A593"/>
  <c r="J592"/>
  <c r="F592"/>
  <c r="B592"/>
  <c r="K591"/>
  <c r="G591"/>
  <c r="C591"/>
  <c r="L590"/>
  <c r="H590"/>
  <c r="D590"/>
  <c r="M589"/>
  <c r="I589"/>
  <c r="E589"/>
  <c r="A589"/>
  <c r="J588"/>
  <c r="F588"/>
  <c r="B588"/>
  <c r="K587"/>
  <c r="G587"/>
  <c r="C587"/>
  <c r="L586"/>
  <c r="H586"/>
  <c r="D586"/>
  <c r="M585"/>
  <c r="I585"/>
  <c r="E585"/>
  <c r="A585"/>
  <c r="J584"/>
  <c r="F584"/>
  <c r="B584"/>
  <c r="K583"/>
  <c r="G583"/>
  <c r="C583"/>
  <c r="L582"/>
  <c r="H582"/>
  <c r="D582"/>
  <c r="M581"/>
  <c r="I581"/>
  <c r="E581"/>
  <c r="A581"/>
  <c r="J580"/>
  <c r="F580"/>
  <c r="B580"/>
  <c r="K579"/>
  <c r="G579"/>
  <c r="C579"/>
  <c r="L578"/>
  <c r="H578"/>
  <c r="D578"/>
  <c r="M577"/>
  <c r="I577"/>
  <c r="E577"/>
  <c r="A577"/>
  <c r="J576"/>
  <c r="F576"/>
  <c r="B576"/>
  <c r="K575"/>
  <c r="G575"/>
  <c r="C575"/>
  <c r="L574"/>
  <c r="H574"/>
  <c r="D574"/>
  <c r="M573"/>
  <c r="I573"/>
  <c r="E573"/>
  <c r="A573"/>
  <c r="J572"/>
  <c r="F572"/>
  <c r="B572"/>
  <c r="K571"/>
  <c r="G571"/>
  <c r="C571"/>
  <c r="L570"/>
  <c r="H570"/>
  <c r="D570"/>
  <c r="M569"/>
  <c r="I569"/>
  <c r="E569"/>
  <c r="A569"/>
  <c r="J568"/>
  <c r="F568"/>
  <c r="B568"/>
  <c r="K567"/>
  <c r="G567"/>
  <c r="C567"/>
  <c r="L566"/>
  <c r="H566"/>
  <c r="D566"/>
  <c r="M565"/>
  <c r="I565"/>
  <c r="E565"/>
  <c r="A565"/>
  <c r="J564"/>
  <c r="F564"/>
  <c r="B564"/>
  <c r="K563"/>
  <c r="G563"/>
  <c r="C563"/>
  <c r="L562"/>
  <c r="H562"/>
  <c r="D562"/>
  <c r="M561"/>
  <c r="I561"/>
  <c r="E561"/>
  <c r="A561"/>
  <c r="J560"/>
  <c r="F560"/>
  <c r="B560"/>
  <c r="K559"/>
  <c r="G559"/>
  <c r="C559"/>
  <c r="L558"/>
  <c r="H558"/>
  <c r="D558"/>
  <c r="M557"/>
  <c r="I557"/>
  <c r="E557"/>
  <c r="A557"/>
  <c r="J556"/>
  <c r="F556"/>
  <c r="B556"/>
  <c r="K555"/>
  <c r="G555"/>
  <c r="C555"/>
  <c r="L554"/>
  <c r="H554"/>
  <c r="D554"/>
  <c r="M553"/>
  <c r="I553"/>
  <c r="E553"/>
  <c r="A553"/>
  <c r="J552"/>
  <c r="F552"/>
  <c r="B552"/>
  <c r="K551"/>
  <c r="G551"/>
  <c r="C551"/>
  <c r="L550"/>
  <c r="H550"/>
  <c r="D550"/>
  <c r="M549"/>
  <c r="I549"/>
  <c r="E549"/>
  <c r="A549"/>
  <c r="J548"/>
  <c r="F548"/>
  <c r="B548"/>
  <c r="K547"/>
  <c r="G547"/>
  <c r="C547"/>
  <c r="L546"/>
  <c r="H546"/>
  <c r="D546"/>
  <c r="M545"/>
  <c r="I545"/>
  <c r="E545"/>
  <c r="A545"/>
  <c r="J544"/>
  <c r="F544"/>
  <c r="B544"/>
  <c r="K543"/>
  <c r="G543"/>
  <c r="C543"/>
  <c r="L542"/>
  <c r="H542"/>
  <c r="D542"/>
  <c r="M541"/>
  <c r="I541"/>
  <c r="E541"/>
  <c r="A541"/>
  <c r="J540"/>
  <c r="F540"/>
  <c r="B540"/>
  <c r="K539"/>
  <c r="G539"/>
  <c r="C539"/>
  <c r="L538"/>
  <c r="H538"/>
  <c r="D538"/>
  <c r="M537"/>
  <c r="I537"/>
  <c r="E537"/>
  <c r="A537"/>
  <c r="J536"/>
  <c r="F536"/>
  <c r="B536"/>
  <c r="K535"/>
  <c r="G535"/>
  <c r="C535"/>
  <c r="L534"/>
  <c r="H534"/>
  <c r="D534"/>
  <c r="M533"/>
  <c r="I533"/>
  <c r="E533"/>
  <c r="A533"/>
  <c r="J532"/>
  <c r="F532"/>
  <c r="B532"/>
  <c r="K531"/>
  <c r="G531"/>
  <c r="C531"/>
  <c r="L530"/>
  <c r="H530"/>
  <c r="D530"/>
  <c r="M529"/>
  <c r="I529"/>
  <c r="E529"/>
  <c r="A529"/>
  <c r="J528"/>
  <c r="F528"/>
  <c r="B528"/>
  <c r="K527"/>
  <c r="G527"/>
  <c r="C527"/>
  <c r="L526"/>
  <c r="H526"/>
  <c r="D526"/>
  <c r="M525"/>
  <c r="I525"/>
  <c r="E525"/>
  <c r="A525"/>
  <c r="J524"/>
  <c r="F524"/>
  <c r="B524"/>
  <c r="K523"/>
  <c r="G523"/>
  <c r="C523"/>
  <c r="L522"/>
  <c r="H522"/>
  <c r="D522"/>
  <c r="M521"/>
  <c r="I521"/>
  <c r="E521"/>
  <c r="A521"/>
  <c r="J520"/>
  <c r="F520"/>
  <c r="B520"/>
  <c r="K519"/>
  <c r="G519"/>
  <c r="C519"/>
  <c r="L518"/>
  <c r="H518"/>
  <c r="D518"/>
  <c r="M517"/>
  <c r="I517"/>
  <c r="E517"/>
  <c r="A517"/>
  <c r="J516"/>
  <c r="F516"/>
  <c r="B516"/>
  <c r="K515"/>
  <c r="G515"/>
  <c r="C515"/>
  <c r="L514"/>
  <c r="H514"/>
  <c r="D514"/>
  <c r="M513"/>
  <c r="I513"/>
  <c r="E513"/>
  <c r="A513"/>
  <c r="J512"/>
  <c r="F512"/>
  <c r="B512"/>
  <c r="K511"/>
  <c r="G511"/>
  <c r="C511"/>
  <c r="L510"/>
  <c r="H510"/>
  <c r="D510"/>
  <c r="M509"/>
  <c r="I509"/>
  <c r="E509"/>
  <c r="A509"/>
  <c r="J508"/>
  <c r="F508"/>
  <c r="B508"/>
  <c r="K507"/>
  <c r="G507"/>
  <c r="C507"/>
  <c r="L506"/>
  <c r="H506"/>
  <c r="D506"/>
  <c r="M505"/>
  <c r="I505"/>
  <c r="E505"/>
  <c r="A505"/>
  <c r="J504"/>
  <c r="F504"/>
  <c r="B504"/>
  <c r="K503"/>
  <c r="G503"/>
  <c r="C503"/>
  <c r="L502"/>
  <c r="H502"/>
  <c r="D502"/>
  <c r="M501"/>
  <c r="I501"/>
  <c r="E501"/>
  <c r="A501"/>
  <c r="J500"/>
  <c r="F500"/>
  <c r="B500"/>
  <c r="K499"/>
  <c r="G499"/>
  <c r="C499"/>
  <c r="L498"/>
  <c r="H498"/>
  <c r="D498"/>
  <c r="M497"/>
  <c r="I497"/>
  <c r="E497"/>
  <c r="A497"/>
  <c r="J496"/>
  <c r="F496"/>
  <c r="B496"/>
  <c r="K495"/>
  <c r="G495"/>
  <c r="C495"/>
  <c r="L494"/>
  <c r="H494"/>
  <c r="D494"/>
  <c r="M493"/>
  <c r="I493"/>
  <c r="E493"/>
  <c r="A493"/>
  <c r="J492"/>
  <c r="F492"/>
  <c r="B492"/>
  <c r="K491"/>
  <c r="G491"/>
  <c r="C491"/>
  <c r="L490"/>
  <c r="H490"/>
  <c r="D490"/>
  <c r="M489"/>
  <c r="I489"/>
  <c r="E489"/>
  <c r="A489"/>
  <c r="J488"/>
  <c r="F488"/>
  <c r="B488"/>
  <c r="K487"/>
  <c r="G487"/>
  <c r="C487"/>
  <c r="L486"/>
  <c r="H486"/>
  <c r="D486"/>
  <c r="M485"/>
  <c r="I485"/>
  <c r="E485"/>
  <c r="A485"/>
  <c r="J484"/>
  <c r="F484"/>
  <c r="B484"/>
  <c r="K483"/>
  <c r="G483"/>
  <c r="C483"/>
  <c r="L482"/>
  <c r="H482"/>
  <c r="D482"/>
  <c r="M481"/>
  <c r="I481"/>
  <c r="E481"/>
  <c r="A481"/>
  <c r="J480"/>
  <c r="F480"/>
  <c r="B480"/>
  <c r="K479"/>
  <c r="G479"/>
  <c r="C479"/>
  <c r="L478"/>
  <c r="H478"/>
  <c r="D478"/>
  <c r="M477"/>
  <c r="I477"/>
  <c r="E477"/>
  <c r="A477"/>
  <c r="J476"/>
  <c r="F476"/>
  <c r="B476"/>
  <c r="K475"/>
  <c r="G475"/>
  <c r="C475"/>
  <c r="L474"/>
  <c r="H474"/>
  <c r="D474"/>
  <c r="M473"/>
  <c r="I473"/>
  <c r="E473"/>
  <c r="A473"/>
  <c r="J472"/>
  <c r="F472"/>
  <c r="B472"/>
  <c r="K471"/>
  <c r="G471"/>
  <c r="C471"/>
  <c r="L470"/>
  <c r="H470"/>
  <c r="D470"/>
  <c r="M469"/>
  <c r="I469"/>
  <c r="E469"/>
  <c r="A469"/>
  <c r="J468"/>
  <c r="F468"/>
  <c r="B468"/>
  <c r="K467"/>
  <c r="G467"/>
  <c r="C467"/>
  <c r="L466"/>
  <c r="H466"/>
  <c r="D466"/>
  <c r="M465"/>
  <c r="I465"/>
  <c r="E465"/>
  <c r="A465"/>
  <c r="J464"/>
  <c r="F464"/>
  <c r="B464"/>
  <c r="K463"/>
  <c r="G463"/>
  <c r="C463"/>
  <c r="L462"/>
  <c r="H462"/>
  <c r="D462"/>
  <c r="M461"/>
  <c r="I461"/>
  <c r="E461"/>
  <c r="A461"/>
  <c r="J460"/>
  <c r="F460"/>
  <c r="B460"/>
  <c r="K459"/>
  <c r="G459"/>
  <c r="C459"/>
  <c r="L458"/>
  <c r="H458"/>
  <c r="D458"/>
  <c r="M457"/>
  <c r="I457"/>
  <c r="E457"/>
  <c r="A457"/>
  <c r="J456"/>
  <c r="F456"/>
  <c r="B456"/>
  <c r="K455"/>
  <c r="G455"/>
  <c r="C455"/>
  <c r="L454"/>
  <c r="H454"/>
  <c r="D454"/>
  <c r="M453"/>
  <c r="I453"/>
  <c r="E453"/>
  <c r="A453"/>
  <c r="J452"/>
  <c r="F452"/>
  <c r="B452"/>
  <c r="K451"/>
  <c r="G451"/>
  <c r="C451"/>
  <c r="L450"/>
  <c r="H450"/>
  <c r="D450"/>
  <c r="M449"/>
  <c r="I449"/>
  <c r="E449"/>
  <c r="A449"/>
  <c r="J448"/>
  <c r="F448"/>
  <c r="B448"/>
  <c r="K447"/>
  <c r="G447"/>
  <c r="C447"/>
  <c r="L446"/>
  <c r="H446"/>
  <c r="D446"/>
  <c r="M445"/>
  <c r="I445"/>
  <c r="E445"/>
  <c r="A445"/>
  <c r="J444"/>
  <c r="F444"/>
  <c r="B444"/>
  <c r="K443"/>
  <c r="G443"/>
  <c r="C443"/>
  <c r="L442"/>
  <c r="H442"/>
  <c r="D442"/>
  <c r="M441"/>
  <c r="I441"/>
  <c r="E441"/>
  <c r="A441"/>
  <c r="J440"/>
  <c r="F440"/>
  <c r="B440"/>
  <c r="K439"/>
  <c r="G439"/>
  <c r="C439"/>
  <c r="L438"/>
  <c r="H438"/>
  <c r="D438"/>
  <c r="M437"/>
  <c r="I437"/>
  <c r="E437"/>
  <c r="A437"/>
  <c r="J436"/>
  <c r="F436"/>
  <c r="B436"/>
  <c r="K435"/>
  <c r="G435"/>
  <c r="C435"/>
  <c r="L434"/>
  <c r="H434"/>
  <c r="D434"/>
  <c r="M433"/>
  <c r="I433"/>
  <c r="E433"/>
  <c r="A433"/>
  <c r="J432"/>
  <c r="F432"/>
  <c r="B432"/>
  <c r="K431"/>
  <c r="G431"/>
  <c r="C431"/>
  <c r="L430"/>
  <c r="H430"/>
  <c r="D430"/>
  <c r="M429"/>
  <c r="I429"/>
  <c r="E429"/>
  <c r="A429"/>
  <c r="J428"/>
  <c r="F428"/>
  <c r="B428"/>
  <c r="K427"/>
  <c r="G427"/>
  <c r="C427"/>
  <c r="L426"/>
  <c r="H426"/>
  <c r="D426"/>
  <c r="M425"/>
  <c r="I425"/>
  <c r="E425"/>
  <c r="A425"/>
  <c r="J424"/>
  <c r="F424"/>
  <c r="B424"/>
  <c r="K423"/>
  <c r="G423"/>
  <c r="C423"/>
  <c r="L422"/>
  <c r="H422"/>
  <c r="D422"/>
  <c r="M421"/>
  <c r="I421"/>
  <c r="E421"/>
  <c r="A421"/>
  <c r="J420"/>
  <c r="F420"/>
  <c r="B420"/>
  <c r="K419"/>
  <c r="G419"/>
  <c r="C419"/>
  <c r="L418"/>
  <c r="H418"/>
  <c r="D418"/>
  <c r="M417"/>
  <c r="I417"/>
  <c r="E417"/>
  <c r="A417"/>
  <c r="J416"/>
  <c r="F416"/>
  <c r="B416"/>
  <c r="K415"/>
  <c r="G415"/>
  <c r="C415"/>
  <c r="L414"/>
  <c r="H414"/>
  <c r="D414"/>
  <c r="M413"/>
  <c r="I413"/>
  <c r="E413"/>
  <c r="A413"/>
  <c r="J412"/>
  <c r="F412"/>
  <c r="B412"/>
  <c r="K411"/>
  <c r="G411"/>
  <c r="C411"/>
  <c r="L410"/>
  <c r="H410"/>
  <c r="D410"/>
  <c r="M409"/>
  <c r="I409"/>
  <c r="E409"/>
  <c r="A409"/>
  <c r="J408"/>
  <c r="F408"/>
  <c r="B408"/>
  <c r="K407"/>
  <c r="G407"/>
  <c r="C407"/>
  <c r="L406"/>
  <c r="H406"/>
  <c r="D406"/>
  <c r="M405"/>
  <c r="I405"/>
  <c r="E405"/>
  <c r="A405"/>
  <c r="J404"/>
  <c r="F404"/>
  <c r="B404"/>
  <c r="K403"/>
  <c r="G403"/>
  <c r="C403"/>
  <c r="L402"/>
  <c r="H402"/>
  <c r="D402"/>
  <c r="M401"/>
  <c r="I401"/>
  <c r="E401"/>
  <c r="A401"/>
  <c r="J400"/>
  <c r="F400"/>
  <c r="B400"/>
  <c r="K399"/>
  <c r="G399"/>
  <c r="C399"/>
  <c r="L398"/>
  <c r="H398"/>
  <c r="D398"/>
  <c r="M397"/>
  <c r="I397"/>
  <c r="E397"/>
  <c r="A397"/>
  <c r="J396"/>
  <c r="F396"/>
  <c r="B396"/>
  <c r="K395"/>
  <c r="G395"/>
  <c r="C395"/>
  <c r="L394"/>
  <c r="H394"/>
  <c r="D394"/>
  <c r="M393"/>
  <c r="I393"/>
  <c r="E393"/>
  <c r="A393"/>
  <c r="J392"/>
  <c r="F392"/>
  <c r="B392"/>
  <c r="K391"/>
  <c r="G391"/>
  <c r="C391"/>
  <c r="L390"/>
  <c r="H390"/>
  <c r="D390"/>
  <c r="M389"/>
  <c r="I389"/>
  <c r="E389"/>
  <c r="A389"/>
  <c r="J388"/>
  <c r="F388"/>
  <c r="B388"/>
  <c r="K387"/>
  <c r="G387"/>
  <c r="C387"/>
  <c r="L386"/>
  <c r="H386"/>
  <c r="D386"/>
  <c r="M385"/>
  <c r="I385"/>
  <c r="E385"/>
  <c r="A385"/>
  <c r="J384"/>
  <c r="F384"/>
  <c r="B384"/>
  <c r="K383"/>
  <c r="G383"/>
  <c r="C383"/>
  <c r="L382"/>
  <c r="H382"/>
  <c r="D382"/>
  <c r="M381"/>
  <c r="I381"/>
  <c r="E381"/>
  <c r="A381"/>
  <c r="J380"/>
  <c r="F380"/>
  <c r="B380"/>
  <c r="K379"/>
  <c r="G379"/>
  <c r="C379"/>
  <c r="L378"/>
  <c r="H378"/>
  <c r="D378"/>
  <c r="M377"/>
  <c r="I377"/>
  <c r="E377"/>
  <c r="A377"/>
  <c r="J376"/>
  <c r="F376"/>
  <c r="B376"/>
  <c r="K375"/>
  <c r="J463"/>
  <c r="G462"/>
  <c r="D461"/>
  <c r="A460"/>
  <c r="K458"/>
  <c r="H457"/>
  <c r="E456"/>
  <c r="B455"/>
  <c r="L453"/>
  <c r="I452"/>
  <c r="F451"/>
  <c r="C450"/>
  <c r="M448"/>
  <c r="J447"/>
  <c r="G446"/>
  <c r="D445"/>
  <c r="A444"/>
  <c r="K442"/>
  <c r="H441"/>
  <c r="E440"/>
  <c r="B439"/>
  <c r="L437"/>
  <c r="I436"/>
  <c r="F435"/>
  <c r="C434"/>
  <c r="M432"/>
  <c r="J431"/>
  <c r="G430"/>
  <c r="D429"/>
  <c r="A428"/>
  <c r="K426"/>
  <c r="H425"/>
  <c r="E424"/>
  <c r="B423"/>
  <c r="L421"/>
  <c r="I420"/>
  <c r="F419"/>
  <c r="C418"/>
  <c r="M416"/>
  <c r="J415"/>
  <c r="G414"/>
  <c r="D413"/>
  <c r="A412"/>
  <c r="K410"/>
  <c r="A410"/>
  <c r="F409"/>
  <c r="K408"/>
  <c r="C408"/>
  <c r="H407"/>
  <c r="M406"/>
  <c r="E406"/>
  <c r="J405"/>
  <c r="B405"/>
  <c r="G404"/>
  <c r="L403"/>
  <c r="D403"/>
  <c r="I402"/>
  <c r="A402"/>
  <c r="F401"/>
  <c r="K400"/>
  <c r="C400"/>
  <c r="H399"/>
  <c r="M398"/>
  <c r="E398"/>
  <c r="J397"/>
  <c r="B397"/>
  <c r="G396"/>
  <c r="L395"/>
  <c r="D395"/>
  <c r="I394"/>
  <c r="A394"/>
  <c r="F393"/>
  <c r="K392"/>
  <c r="C392"/>
  <c r="H391"/>
  <c r="M390"/>
  <c r="E390"/>
  <c r="J389"/>
  <c r="B389"/>
  <c r="G388"/>
  <c r="L387"/>
  <c r="D387"/>
  <c r="I386"/>
  <c r="A386"/>
  <c r="F385"/>
  <c r="K384"/>
  <c r="C384"/>
  <c r="H383"/>
  <c r="M382"/>
  <c r="E382"/>
  <c r="J381"/>
  <c r="B381"/>
  <c r="G380"/>
  <c r="L379"/>
  <c r="D379"/>
  <c r="I378"/>
  <c r="A378"/>
  <c r="F377"/>
  <c r="K376"/>
  <c r="C376"/>
  <c r="H375"/>
  <c r="D375"/>
  <c r="M374"/>
  <c r="I374"/>
  <c r="E374"/>
  <c r="A374"/>
  <c r="J373"/>
  <c r="F373"/>
  <c r="B373"/>
  <c r="K372"/>
  <c r="G372"/>
  <c r="C372"/>
  <c r="L371"/>
  <c r="H371"/>
  <c r="D371"/>
  <c r="M370"/>
  <c r="I370"/>
  <c r="E370"/>
  <c r="A370"/>
  <c r="J369"/>
  <c r="F369"/>
  <c r="B369"/>
  <c r="K368"/>
  <c r="G368"/>
  <c r="C368"/>
  <c r="L367"/>
  <c r="H367"/>
  <c r="D367"/>
  <c r="M366"/>
  <c r="I366"/>
  <c r="E366"/>
  <c r="A366"/>
  <c r="J365"/>
  <c r="F365"/>
  <c r="B365"/>
  <c r="K364"/>
  <c r="G364"/>
  <c r="C364"/>
  <c r="L363"/>
  <c r="H363"/>
  <c r="D363"/>
  <c r="M362"/>
  <c r="I362"/>
  <c r="E362"/>
  <c r="A362"/>
  <c r="J361"/>
  <c r="F361"/>
  <c r="B361"/>
  <c r="K360"/>
  <c r="G360"/>
  <c r="C360"/>
  <c r="L359"/>
  <c r="H359"/>
  <c r="D359"/>
  <c r="M358"/>
  <c r="I358"/>
  <c r="E358"/>
  <c r="A358"/>
  <c r="J357"/>
  <c r="F357"/>
  <c r="B357"/>
  <c r="K356"/>
  <c r="G356"/>
  <c r="C356"/>
  <c r="L355"/>
  <c r="H355"/>
  <c r="D355"/>
  <c r="M354"/>
  <c r="I354"/>
  <c r="E354"/>
  <c r="A354"/>
  <c r="J353"/>
  <c r="F353"/>
  <c r="B353"/>
  <c r="K352"/>
  <c r="G352"/>
  <c r="C352"/>
  <c r="L351"/>
  <c r="H351"/>
  <c r="D351"/>
  <c r="M350"/>
  <c r="I350"/>
  <c r="E350"/>
  <c r="A350"/>
  <c r="J349"/>
  <c r="F349"/>
  <c r="B349"/>
  <c r="K348"/>
  <c r="G348"/>
  <c r="C348"/>
  <c r="L347"/>
  <c r="H347"/>
  <c r="D347"/>
  <c r="M346"/>
  <c r="I346"/>
  <c r="E346"/>
  <c r="A346"/>
  <c r="J345"/>
  <c r="F345"/>
  <c r="B345"/>
  <c r="K344"/>
  <c r="G344"/>
  <c r="C344"/>
  <c r="L343"/>
  <c r="H343"/>
  <c r="D343"/>
  <c r="M342"/>
  <c r="I342"/>
  <c r="E342"/>
  <c r="A342"/>
  <c r="J341"/>
  <c r="F341"/>
  <c r="B341"/>
  <c r="K340"/>
  <c r="G340"/>
  <c r="C340"/>
  <c r="L339"/>
  <c r="H339"/>
  <c r="D339"/>
  <c r="M338"/>
  <c r="I338"/>
  <c r="E338"/>
  <c r="A338"/>
  <c r="J337"/>
  <c r="F337"/>
  <c r="B337"/>
  <c r="K336"/>
  <c r="G336"/>
  <c r="C336"/>
  <c r="L335"/>
  <c r="H335"/>
  <c r="D335"/>
  <c r="M334"/>
  <c r="I334"/>
  <c r="E334"/>
  <c r="A334"/>
  <c r="J333"/>
  <c r="F333"/>
  <c r="B333"/>
  <c r="K332"/>
  <c r="G332"/>
  <c r="C332"/>
  <c r="L331"/>
  <c r="H331"/>
  <c r="D331"/>
  <c r="M330"/>
  <c r="I330"/>
  <c r="E330"/>
  <c r="A330"/>
  <c r="J329"/>
  <c r="F329"/>
  <c r="B329"/>
  <c r="K328"/>
  <c r="G328"/>
  <c r="C328"/>
  <c r="L327"/>
  <c r="H327"/>
  <c r="D327"/>
  <c r="M326"/>
  <c r="I326"/>
  <c r="E326"/>
  <c r="A326"/>
  <c r="J325"/>
  <c r="F325"/>
  <c r="B325"/>
  <c r="K324"/>
  <c r="G324"/>
  <c r="C324"/>
  <c r="L323"/>
  <c r="H323"/>
  <c r="D323"/>
  <c r="M322"/>
  <c r="I322"/>
  <c r="E322"/>
  <c r="A322"/>
  <c r="J321"/>
  <c r="F321"/>
  <c r="B321"/>
  <c r="K320"/>
  <c r="G320"/>
  <c r="C320"/>
  <c r="L319"/>
  <c r="H319"/>
  <c r="D319"/>
  <c r="M318"/>
  <c r="I318"/>
  <c r="E318"/>
  <c r="A318"/>
  <c r="J317"/>
  <c r="F317"/>
  <c r="B317"/>
  <c r="K316"/>
  <c r="G316"/>
  <c r="C316"/>
  <c r="L315"/>
  <c r="H315"/>
  <c r="D315"/>
  <c r="M314"/>
  <c r="I314"/>
  <c r="E314"/>
  <c r="A314"/>
  <c r="J313"/>
  <c r="F313"/>
  <c r="B313"/>
  <c r="K312"/>
  <c r="G312"/>
  <c r="C312"/>
  <c r="L311"/>
  <c r="H311"/>
  <c r="D311"/>
  <c r="M310"/>
  <c r="I310"/>
  <c r="E310"/>
  <c r="A310"/>
  <c r="J309"/>
  <c r="F309"/>
  <c r="B309"/>
  <c r="K308"/>
  <c r="G308"/>
  <c r="C308"/>
  <c r="L307"/>
  <c r="H307"/>
  <c r="D307"/>
  <c r="M306"/>
  <c r="I306"/>
  <c r="E306"/>
  <c r="A306"/>
  <c r="J305"/>
  <c r="F305"/>
  <c r="B305"/>
  <c r="K304"/>
  <c r="G304"/>
  <c r="C304"/>
  <c r="L303"/>
  <c r="H303"/>
  <c r="D303"/>
  <c r="M302"/>
  <c r="I302"/>
  <c r="E302"/>
  <c r="A302"/>
  <c r="J301"/>
  <c r="F301"/>
  <c r="B301"/>
  <c r="K300"/>
  <c r="G300"/>
  <c r="C300"/>
  <c r="L299"/>
  <c r="H299"/>
  <c r="D299"/>
  <c r="M298"/>
  <c r="I298"/>
  <c r="E298"/>
  <c r="A298"/>
  <c r="J297"/>
  <c r="F297"/>
  <c r="B297"/>
  <c r="K296"/>
  <c r="G296"/>
  <c r="C296"/>
  <c r="L295"/>
  <c r="H295"/>
  <c r="D295"/>
  <c r="M294"/>
  <c r="I294"/>
  <c r="E294"/>
  <c r="A294"/>
  <c r="J293"/>
  <c r="F293"/>
  <c r="B293"/>
  <c r="K292"/>
  <c r="G292"/>
  <c r="C292"/>
  <c r="L291"/>
  <c r="H291"/>
  <c r="D291"/>
  <c r="M290"/>
  <c r="I290"/>
  <c r="E290"/>
  <c r="A290"/>
  <c r="J289"/>
  <c r="F289"/>
  <c r="B289"/>
  <c r="K288"/>
  <c r="G288"/>
  <c r="C288"/>
  <c r="L287"/>
  <c r="H287"/>
  <c r="D287"/>
  <c r="M286"/>
  <c r="I286"/>
  <c r="E286"/>
  <c r="A286"/>
  <c r="J285"/>
  <c r="F285"/>
  <c r="B285"/>
  <c r="K284"/>
  <c r="G284"/>
  <c r="C284"/>
  <c r="L283"/>
  <c r="H283"/>
  <c r="D283"/>
  <c r="M282"/>
  <c r="I282"/>
  <c r="E282"/>
  <c r="A282"/>
  <c r="J281"/>
  <c r="F281"/>
  <c r="B281"/>
  <c r="K280"/>
  <c r="G280"/>
  <c r="C280"/>
  <c r="L279"/>
  <c r="H279"/>
  <c r="D279"/>
  <c r="M278"/>
  <c r="I278"/>
  <c r="E278"/>
  <c r="A278"/>
  <c r="J277"/>
  <c r="F277"/>
  <c r="B277"/>
  <c r="K276"/>
  <c r="G276"/>
  <c r="C276"/>
  <c r="L275"/>
  <c r="H275"/>
  <c r="D275"/>
  <c r="M274"/>
  <c r="I274"/>
  <c r="E274"/>
  <c r="A274"/>
  <c r="J273"/>
  <c r="F273"/>
  <c r="B273"/>
  <c r="K272"/>
  <c r="G272"/>
  <c r="C272"/>
  <c r="L271"/>
  <c r="H271"/>
  <c r="D271"/>
  <c r="M270"/>
  <c r="I270"/>
  <c r="E270"/>
  <c r="A270"/>
  <c r="J269"/>
  <c r="F269"/>
  <c r="B269"/>
  <c r="K268"/>
  <c r="G268"/>
  <c r="C268"/>
  <c r="L267"/>
  <c r="H267"/>
  <c r="D267"/>
  <c r="M266"/>
  <c r="I266"/>
  <c r="E266"/>
  <c r="A266"/>
  <c r="J265"/>
  <c r="F265"/>
  <c r="B265"/>
  <c r="K264"/>
  <c r="G264"/>
  <c r="C264"/>
  <c r="L263"/>
  <c r="H263"/>
  <c r="D263"/>
  <c r="M262"/>
  <c r="I262"/>
  <c r="E262"/>
  <c r="A262"/>
  <c r="J261"/>
  <c r="F261"/>
  <c r="B261"/>
  <c r="K260"/>
  <c r="G260"/>
  <c r="C260"/>
  <c r="L259"/>
  <c r="H259"/>
  <c r="D259"/>
  <c r="M258"/>
  <c r="I258"/>
  <c r="E258"/>
  <c r="A258"/>
  <c r="J257"/>
  <c r="F257"/>
  <c r="B257"/>
  <c r="K256"/>
  <c r="G256"/>
  <c r="C256"/>
  <c r="L255"/>
  <c r="H255"/>
  <c r="D255"/>
  <c r="M254"/>
  <c r="I254"/>
  <c r="E254"/>
  <c r="A254"/>
  <c r="J253"/>
  <c r="F253"/>
  <c r="B253"/>
  <c r="K252"/>
  <c r="G252"/>
  <c r="C252"/>
  <c r="L251"/>
  <c r="H251"/>
  <c r="D251"/>
  <c r="M250"/>
  <c r="I250"/>
  <c r="E250"/>
  <c r="A250"/>
  <c r="J249"/>
  <c r="F249"/>
  <c r="B249"/>
  <c r="K248"/>
  <c r="G248"/>
  <c r="C248"/>
  <c r="L247"/>
  <c r="H247"/>
  <c r="D247"/>
  <c r="M246"/>
  <c r="I246"/>
  <c r="E246"/>
  <c r="A246"/>
  <c r="J245"/>
  <c r="F245"/>
  <c r="B245"/>
  <c r="K244"/>
  <c r="G244"/>
  <c r="C244"/>
  <c r="L243"/>
  <c r="H243"/>
  <c r="D243"/>
  <c r="M242"/>
  <c r="I242"/>
  <c r="E242"/>
  <c r="A242"/>
  <c r="J241"/>
  <c r="F241"/>
  <c r="B241"/>
  <c r="K240"/>
  <c r="G240"/>
  <c r="C240"/>
  <c r="L239"/>
  <c r="H239"/>
  <c r="D239"/>
  <c r="M238"/>
  <c r="I238"/>
  <c r="E238"/>
  <c r="A238"/>
  <c r="J237"/>
  <c r="F237"/>
  <c r="B237"/>
  <c r="K236"/>
  <c r="G236"/>
  <c r="C236"/>
  <c r="L235"/>
  <c r="H235"/>
  <c r="D235"/>
  <c r="M234"/>
  <c r="I234"/>
  <c r="E234"/>
  <c r="A234"/>
  <c r="J233"/>
  <c r="F233"/>
  <c r="B233"/>
  <c r="K232"/>
  <c r="G232"/>
  <c r="C232"/>
  <c r="L231"/>
  <c r="H231"/>
  <c r="D231"/>
  <c r="M230"/>
  <c r="I230"/>
  <c r="E230"/>
  <c r="A230"/>
  <c r="J229"/>
  <c r="F229"/>
  <c r="B229"/>
  <c r="K228"/>
  <c r="G228"/>
  <c r="C228"/>
  <c r="L227"/>
  <c r="H227"/>
  <c r="D227"/>
  <c r="M226"/>
  <c r="I226"/>
  <c r="E226"/>
  <c r="A226"/>
  <c r="J225"/>
  <c r="F225"/>
  <c r="B225"/>
  <c r="K224"/>
  <c r="G224"/>
  <c r="C224"/>
  <c r="L223"/>
  <c r="H223"/>
  <c r="D223"/>
  <c r="M222"/>
  <c r="I222"/>
  <c r="E222"/>
  <c r="A222"/>
  <c r="J221"/>
  <c r="F221"/>
  <c r="B221"/>
  <c r="K220"/>
  <c r="G220"/>
  <c r="C220"/>
  <c r="L219"/>
  <c r="H219"/>
  <c r="D219"/>
  <c r="M218"/>
  <c r="I218"/>
  <c r="E218"/>
  <c r="A218"/>
  <c r="J217"/>
  <c r="F217"/>
  <c r="B217"/>
  <c r="K216"/>
  <c r="G216"/>
  <c r="C216"/>
  <c r="L215"/>
  <c r="H215"/>
  <c r="D215"/>
  <c r="M214"/>
  <c r="I214"/>
  <c r="E214"/>
  <c r="A214"/>
  <c r="J213"/>
  <c r="F213"/>
  <c r="B213"/>
  <c r="K212"/>
  <c r="G212"/>
  <c r="C212"/>
  <c r="L211"/>
  <c r="H211"/>
  <c r="D211"/>
  <c r="M210"/>
  <c r="I210"/>
  <c r="E210"/>
  <c r="A210"/>
  <c r="J209"/>
  <c r="F209"/>
  <c r="B209"/>
  <c r="K208"/>
  <c r="G208"/>
  <c r="C208"/>
  <c r="L207"/>
  <c r="H207"/>
  <c r="D207"/>
  <c r="M206"/>
  <c r="I206"/>
  <c r="E206"/>
  <c r="A206"/>
  <c r="J205"/>
  <c r="F205"/>
  <c r="B205"/>
  <c r="K204"/>
  <c r="G204"/>
  <c r="C204"/>
  <c r="L203"/>
  <c r="H203"/>
  <c r="D203"/>
  <c r="M202"/>
  <c r="I202"/>
  <c r="E202"/>
  <c r="A202"/>
  <c r="J201"/>
  <c r="F201"/>
  <c r="B201"/>
  <c r="K200"/>
  <c r="G200"/>
  <c r="C200"/>
  <c r="L199"/>
  <c r="H199"/>
  <c r="D199"/>
  <c r="M198"/>
  <c r="I198"/>
  <c r="E198"/>
  <c r="A198"/>
  <c r="J197"/>
  <c r="F197"/>
  <c r="B197"/>
  <c r="K196"/>
  <c r="G196"/>
  <c r="C196"/>
  <c r="L195"/>
  <c r="H195"/>
  <c r="D195"/>
  <c r="M194"/>
  <c r="I194"/>
  <c r="E194"/>
  <c r="A194"/>
  <c r="J193"/>
  <c r="F193"/>
  <c r="B193"/>
  <c r="K192"/>
  <c r="G192"/>
  <c r="C192"/>
  <c r="L191"/>
  <c r="H191"/>
  <c r="D191"/>
  <c r="M190"/>
  <c r="I190"/>
  <c r="E190"/>
  <c r="A190"/>
  <c r="J189"/>
  <c r="F189"/>
  <c r="B189"/>
  <c r="K188"/>
  <c r="G188"/>
  <c r="C188"/>
  <c r="L187"/>
  <c r="H187"/>
  <c r="D187"/>
  <c r="M186"/>
  <c r="I186"/>
  <c r="E186"/>
  <c r="A186"/>
  <c r="J185"/>
  <c r="F185"/>
  <c r="B185"/>
  <c r="K184"/>
  <c r="G184"/>
  <c r="C184"/>
  <c r="L183"/>
  <c r="H183"/>
  <c r="D183"/>
  <c r="M182"/>
  <c r="I182"/>
  <c r="E182"/>
  <c r="A182"/>
  <c r="J181"/>
  <c r="F181"/>
  <c r="B181"/>
  <c r="K180"/>
  <c r="G180"/>
  <c r="C180"/>
  <c r="L179"/>
  <c r="H179"/>
  <c r="D179"/>
  <c r="M178"/>
  <c r="I178"/>
  <c r="E178"/>
  <c r="A178"/>
  <c r="J177"/>
  <c r="F177"/>
  <c r="B177"/>
  <c r="K176"/>
  <c r="G176"/>
  <c r="C176"/>
  <c r="L175"/>
  <c r="H175"/>
  <c r="D175"/>
  <c r="M174"/>
  <c r="I174"/>
  <c r="E174"/>
  <c r="A174"/>
  <c r="J173"/>
  <c r="F173"/>
  <c r="B173"/>
  <c r="K172"/>
  <c r="G172"/>
  <c r="C172"/>
  <c r="L171"/>
  <c r="H171"/>
  <c r="D171"/>
  <c r="M170"/>
  <c r="I170"/>
  <c r="E170"/>
  <c r="A170"/>
  <c r="J169"/>
  <c r="F169"/>
  <c r="B169"/>
  <c r="K168"/>
  <c r="G168"/>
  <c r="C168"/>
  <c r="L167"/>
  <c r="H167"/>
  <c r="D167"/>
  <c r="M166"/>
  <c r="I166"/>
  <c r="E166"/>
  <c r="A166"/>
  <c r="J165"/>
  <c r="F165"/>
  <c r="B165"/>
  <c r="K164"/>
  <c r="G164"/>
  <c r="C164"/>
  <c r="L163"/>
  <c r="H163"/>
  <c r="D163"/>
  <c r="M162"/>
  <c r="I162"/>
  <c r="E162"/>
  <c r="A162"/>
  <c r="J161"/>
  <c r="F161"/>
  <c r="B161"/>
  <c r="K160"/>
  <c r="G160"/>
  <c r="C160"/>
  <c r="L159"/>
  <c r="H159"/>
  <c r="D159"/>
  <c r="M158"/>
  <c r="I158"/>
  <c r="E158"/>
  <c r="A158"/>
  <c r="J157"/>
  <c r="F157"/>
  <c r="B157"/>
  <c r="K156"/>
  <c r="G156"/>
  <c r="C156"/>
  <c r="L155"/>
  <c r="H155"/>
  <c r="D155"/>
  <c r="M154"/>
  <c r="I154"/>
  <c r="E154"/>
  <c r="A154"/>
  <c r="J153"/>
  <c r="F153"/>
  <c r="B153"/>
  <c r="K152"/>
  <c r="G152"/>
  <c r="C152"/>
  <c r="L151"/>
  <c r="H151"/>
  <c r="D151"/>
  <c r="M150"/>
  <c r="I150"/>
  <c r="E150"/>
  <c r="A150"/>
  <c r="J149"/>
  <c r="F149"/>
  <c r="B149"/>
  <c r="K148"/>
  <c r="G148"/>
  <c r="C148"/>
  <c r="L147"/>
  <c r="H147"/>
  <c r="D147"/>
  <c r="M146"/>
  <c r="I146"/>
  <c r="E146"/>
  <c r="A146"/>
  <c r="J145"/>
  <c r="F145"/>
  <c r="B145"/>
  <c r="K144"/>
  <c r="G144"/>
  <c r="C144"/>
  <c r="L143"/>
  <c r="H143"/>
  <c r="D143"/>
  <c r="M142"/>
  <c r="I142"/>
  <c r="E142"/>
  <c r="A142"/>
  <c r="J141"/>
  <c r="F141"/>
  <c r="B141"/>
  <c r="K140"/>
  <c r="G140"/>
  <c r="C140"/>
  <c r="L139"/>
  <c r="H139"/>
  <c r="D139"/>
  <c r="M138"/>
  <c r="I138"/>
  <c r="E138"/>
  <c r="A138"/>
  <c r="J137"/>
  <c r="F137"/>
  <c r="B137"/>
  <c r="K136"/>
  <c r="G136"/>
  <c r="C136"/>
  <c r="L135"/>
  <c r="H135"/>
  <c r="D135"/>
  <c r="M134"/>
  <c r="I134"/>
  <c r="E134"/>
  <c r="A134"/>
  <c r="J133"/>
  <c r="F133"/>
  <c r="B133"/>
  <c r="K132"/>
  <c r="G132"/>
  <c r="C132"/>
  <c r="L131"/>
  <c r="H131"/>
  <c r="D131"/>
  <c r="M130"/>
  <c r="I130"/>
  <c r="E130"/>
  <c r="A130"/>
  <c r="J129"/>
  <c r="F129"/>
  <c r="B129"/>
  <c r="K128"/>
  <c r="G128"/>
  <c r="C128"/>
  <c r="L127"/>
  <c r="H127"/>
  <c r="D127"/>
  <c r="M126"/>
  <c r="I126"/>
  <c r="E126"/>
  <c r="A126"/>
  <c r="J125"/>
  <c r="F125"/>
  <c r="B125"/>
  <c r="K124"/>
  <c r="G124"/>
  <c r="C124"/>
  <c r="L123"/>
  <c r="H123"/>
  <c r="D123"/>
  <c r="M122"/>
  <c r="I122"/>
  <c r="E122"/>
  <c r="A122"/>
  <c r="J121"/>
  <c r="F121"/>
  <c r="B121"/>
  <c r="K120"/>
  <c r="G120"/>
  <c r="C120"/>
  <c r="L119"/>
  <c r="H119"/>
  <c r="D119"/>
  <c r="M118"/>
  <c r="I118"/>
  <c r="E118"/>
  <c r="A118"/>
  <c r="J117"/>
  <c r="F117"/>
  <c r="B117"/>
  <c r="K116"/>
  <c r="G116"/>
  <c r="C116"/>
  <c r="L115"/>
  <c r="H115"/>
  <c r="D115"/>
  <c r="M114"/>
  <c r="I114"/>
  <c r="E114"/>
  <c r="A114"/>
  <c r="J113"/>
  <c r="F113"/>
  <c r="B113"/>
  <c r="K112"/>
  <c r="G112"/>
  <c r="C112"/>
  <c r="L111"/>
  <c r="H111"/>
  <c r="D111"/>
  <c r="M110"/>
  <c r="I110"/>
  <c r="E110"/>
  <c r="A110"/>
  <c r="J109"/>
  <c r="F109"/>
  <c r="B109"/>
  <c r="K108"/>
  <c r="G108"/>
  <c r="C108"/>
  <c r="L107"/>
  <c r="H107"/>
  <c r="D107"/>
  <c r="M106"/>
  <c r="I106"/>
  <c r="E106"/>
  <c r="A106"/>
  <c r="J105"/>
  <c r="F105"/>
  <c r="B105"/>
  <c r="K104"/>
  <c r="G104"/>
  <c r="C104"/>
  <c r="L103"/>
  <c r="H103"/>
  <c r="D103"/>
  <c r="M102"/>
  <c r="I102"/>
  <c r="E102"/>
  <c r="A102"/>
  <c r="J101"/>
  <c r="F101"/>
  <c r="B101"/>
  <c r="K100"/>
  <c r="G100"/>
  <c r="C100"/>
  <c r="L99"/>
  <c r="H99"/>
  <c r="D99"/>
  <c r="M98"/>
  <c r="I98"/>
  <c r="E98"/>
  <c r="A98"/>
  <c r="J97"/>
  <c r="F97"/>
  <c r="B97"/>
  <c r="K96"/>
  <c r="G96"/>
  <c r="C96"/>
  <c r="L95"/>
  <c r="H95"/>
  <c r="D95"/>
  <c r="M94"/>
  <c r="I94"/>
  <c r="E94"/>
  <c r="A94"/>
  <c r="J93"/>
  <c r="F93"/>
  <c r="B93"/>
  <c r="K92"/>
  <c r="G92"/>
  <c r="C92"/>
  <c r="L91"/>
  <c r="H91"/>
  <c r="D91"/>
  <c r="M90"/>
  <c r="I90"/>
  <c r="E90"/>
  <c r="A90"/>
  <c r="J89"/>
  <c r="F89"/>
  <c r="B89"/>
  <c r="K88"/>
  <c r="G88"/>
  <c r="C88"/>
  <c r="L87"/>
  <c r="H87"/>
  <c r="D87"/>
  <c r="M86"/>
  <c r="I86"/>
  <c r="E86"/>
  <c r="A86"/>
  <c r="J85"/>
  <c r="F85"/>
  <c r="B85"/>
  <c r="K84"/>
  <c r="G84"/>
  <c r="C84"/>
  <c r="L83"/>
  <c r="H83"/>
  <c r="D83"/>
  <c r="M82"/>
  <c r="I82"/>
  <c r="E82"/>
  <c r="A82"/>
  <c r="J81"/>
  <c r="F81"/>
  <c r="B81"/>
  <c r="K80"/>
  <c r="G80"/>
  <c r="C80"/>
  <c r="L79"/>
  <c r="H79"/>
  <c r="D79"/>
  <c r="M78"/>
  <c r="I78"/>
  <c r="E78"/>
  <c r="A78"/>
  <c r="J77"/>
  <c r="F77"/>
  <c r="B77"/>
  <c r="K76"/>
  <c r="G76"/>
  <c r="C76"/>
  <c r="L75"/>
  <c r="H75"/>
  <c r="D75"/>
  <c r="M74"/>
  <c r="I74"/>
  <c r="E74"/>
  <c r="A74"/>
  <c r="J73"/>
  <c r="F73"/>
  <c r="B73"/>
  <c r="K72"/>
  <c r="G72"/>
  <c r="C72"/>
  <c r="L71"/>
  <c r="H71"/>
  <c r="D71"/>
  <c r="M70"/>
  <c r="I70"/>
  <c r="E70"/>
  <c r="A70"/>
  <c r="J69"/>
  <c r="F69"/>
  <c r="B69"/>
  <c r="K68"/>
  <c r="G68"/>
  <c r="C68"/>
  <c r="L67"/>
  <c r="H67"/>
  <c r="D67"/>
  <c r="M66"/>
  <c r="I66"/>
  <c r="E66"/>
  <c r="A66"/>
  <c r="J65"/>
  <c r="F65"/>
  <c r="B65"/>
  <c r="K64"/>
  <c r="G64"/>
  <c r="C64"/>
  <c r="L63"/>
  <c r="H63"/>
  <c r="D63"/>
  <c r="M62"/>
  <c r="I62"/>
  <c r="E62"/>
  <c r="A62"/>
  <c r="J61"/>
  <c r="F61"/>
  <c r="B61"/>
  <c r="K60"/>
  <c r="G60"/>
  <c r="C60"/>
  <c r="L59"/>
  <c r="H59"/>
  <c r="D59"/>
  <c r="M58"/>
  <c r="I58"/>
  <c r="E58"/>
  <c r="A58"/>
  <c r="J57"/>
  <c r="F57"/>
  <c r="B57"/>
  <c r="K56"/>
  <c r="G56"/>
  <c r="C56"/>
  <c r="L55"/>
  <c r="H55"/>
  <c r="D55"/>
  <c r="M54"/>
  <c r="I54"/>
  <c r="E54"/>
  <c r="A54"/>
  <c r="J53"/>
  <c r="F53"/>
  <c r="B53"/>
  <c r="K52"/>
  <c r="G52"/>
  <c r="C52"/>
  <c r="L51"/>
  <c r="H51"/>
  <c r="D51"/>
  <c r="M50"/>
  <c r="I50"/>
  <c r="E50"/>
  <c r="A50"/>
  <c r="J49"/>
  <c r="F49"/>
  <c r="B49"/>
  <c r="K48"/>
  <c r="G48"/>
  <c r="C48"/>
  <c r="L47"/>
  <c r="H47"/>
  <c r="D47"/>
  <c r="M46"/>
  <c r="I46"/>
  <c r="E46"/>
  <c r="A46"/>
  <c r="J45"/>
  <c r="F45"/>
  <c r="B45"/>
  <c r="K44"/>
  <c r="G44"/>
  <c r="C44"/>
  <c r="L43"/>
  <c r="H43"/>
  <c r="D43"/>
  <c r="M42"/>
  <c r="I42"/>
  <c r="E42"/>
  <c r="A42"/>
  <c r="J41"/>
  <c r="F41"/>
  <c r="B41"/>
  <c r="K40"/>
  <c r="G40"/>
  <c r="C40"/>
  <c r="L39"/>
  <c r="H39"/>
  <c r="D39"/>
  <c r="M38"/>
  <c r="I38"/>
  <c r="E38"/>
  <c r="A38"/>
  <c r="J37"/>
  <c r="F37"/>
  <c r="B37"/>
  <c r="K36"/>
  <c r="G36"/>
  <c r="C36"/>
  <c r="L35"/>
  <c r="H35"/>
  <c r="D35"/>
  <c r="M34"/>
  <c r="I34"/>
  <c r="E34"/>
  <c r="A34"/>
  <c r="J33"/>
  <c r="F33"/>
  <c r="B33"/>
  <c r="K32"/>
  <c r="G32"/>
  <c r="C32"/>
  <c r="L31"/>
  <c r="H31"/>
  <c r="D31"/>
  <c r="M30"/>
  <c r="I30"/>
  <c r="E30"/>
  <c r="A30"/>
  <c r="J29"/>
  <c r="F29"/>
  <c r="B29"/>
  <c r="K28"/>
  <c r="G28"/>
  <c r="C28"/>
  <c r="L27"/>
  <c r="H27"/>
  <c r="D27"/>
  <c r="M26"/>
  <c r="I26"/>
  <c r="E26"/>
  <c r="A26"/>
  <c r="J25"/>
  <c r="F25"/>
  <c r="B25"/>
  <c r="K24"/>
  <c r="G24"/>
  <c r="C24"/>
  <c r="L23"/>
  <c r="H23"/>
  <c r="D23"/>
  <c r="M22"/>
  <c r="I22"/>
  <c r="E22"/>
  <c r="A22"/>
  <c r="J21"/>
  <c r="F21"/>
  <c r="B21"/>
  <c r="K20"/>
  <c r="G20"/>
  <c r="C20"/>
  <c r="L19"/>
  <c r="H19"/>
  <c r="D19"/>
  <c r="M18"/>
  <c r="I18"/>
  <c r="E18"/>
  <c r="A18"/>
  <c r="J17"/>
  <c r="F17"/>
  <c r="B17"/>
  <c r="K16"/>
  <c r="G16"/>
  <c r="C16"/>
  <c r="L15"/>
  <c r="H15"/>
  <c r="D15"/>
  <c r="M14"/>
  <c r="I14"/>
  <c r="E14"/>
  <c r="A14"/>
  <c r="J13"/>
  <c r="F13"/>
  <c r="B13"/>
  <c r="K12"/>
  <c r="G12"/>
  <c r="C12"/>
  <c r="L11"/>
  <c r="H11"/>
  <c r="D11"/>
  <c r="M10"/>
  <c r="I10"/>
  <c r="E10"/>
  <c r="A10"/>
  <c r="J9"/>
  <c r="F9"/>
  <c r="B9"/>
  <c r="K8"/>
  <c r="G8"/>
  <c r="C8"/>
  <c r="L7"/>
  <c r="H7"/>
  <c r="D7"/>
  <c r="M6"/>
  <c r="I6"/>
  <c r="E6"/>
  <c r="A6"/>
  <c r="J5"/>
  <c r="F5"/>
  <c r="B5"/>
  <c r="K4"/>
  <c r="G4"/>
  <c r="C4"/>
  <c r="L3"/>
  <c r="H3"/>
  <c r="D3"/>
  <c r="M2"/>
  <c r="I2"/>
  <c r="E2"/>
  <c r="A2"/>
  <c r="J1"/>
  <c r="F1"/>
  <c r="B1"/>
  <c r="I103"/>
  <c r="E103"/>
  <c r="A103"/>
  <c r="J102"/>
  <c r="F102"/>
  <c r="B102"/>
  <c r="K101"/>
  <c r="G101"/>
  <c r="C101"/>
  <c r="L100"/>
  <c r="H100"/>
  <c r="D100"/>
  <c r="M99"/>
  <c r="I99"/>
  <c r="E99"/>
  <c r="A99"/>
  <c r="J98"/>
  <c r="F98"/>
  <c r="B98"/>
  <c r="K97"/>
  <c r="G97"/>
  <c r="C97"/>
  <c r="L96"/>
  <c r="H96"/>
  <c r="D96"/>
  <c r="M95"/>
  <c r="I95"/>
  <c r="E95"/>
  <c r="A95"/>
  <c r="J94"/>
  <c r="F94"/>
  <c r="B94"/>
  <c r="K93"/>
  <c r="G93"/>
  <c r="C93"/>
  <c r="L92"/>
  <c r="H92"/>
  <c r="D92"/>
  <c r="M91"/>
  <c r="I91"/>
  <c r="E91"/>
  <c r="A91"/>
  <c r="J90"/>
  <c r="F90"/>
  <c r="B90"/>
  <c r="K89"/>
  <c r="G89"/>
  <c r="C89"/>
  <c r="L88"/>
  <c r="H88"/>
  <c r="D88"/>
  <c r="M87"/>
  <c r="I87"/>
  <c r="E87"/>
  <c r="A87"/>
  <c r="J86"/>
  <c r="F86"/>
  <c r="B86"/>
  <c r="K85"/>
  <c r="G85"/>
  <c r="C85"/>
  <c r="L84"/>
  <c r="H84"/>
  <c r="D84"/>
  <c r="M83"/>
  <c r="I83"/>
  <c r="E83"/>
  <c r="A83"/>
  <c r="J82"/>
  <c r="F82"/>
  <c r="B82"/>
  <c r="K81"/>
  <c r="G81"/>
  <c r="C81"/>
  <c r="L80"/>
  <c r="H80"/>
  <c r="D80"/>
  <c r="M79"/>
  <c r="E79"/>
  <c r="A79"/>
  <c r="J78"/>
  <c r="F78"/>
  <c r="B78"/>
  <c r="K77"/>
  <c r="G77"/>
  <c r="C77"/>
  <c r="L76"/>
  <c r="H76"/>
  <c r="D76"/>
  <c r="M75"/>
  <c r="I75"/>
  <c r="E75"/>
  <c r="A75"/>
  <c r="J74"/>
  <c r="F74"/>
  <c r="B74"/>
  <c r="K73"/>
  <c r="G73"/>
  <c r="C73"/>
  <c r="L72"/>
  <c r="H72"/>
  <c r="D72"/>
  <c r="M71"/>
  <c r="I71"/>
  <c r="E71"/>
  <c r="J70"/>
  <c r="F70"/>
  <c r="B70"/>
  <c r="K69"/>
  <c r="G69"/>
  <c r="C69"/>
  <c r="L68"/>
  <c r="H68"/>
  <c r="M67"/>
  <c r="I67"/>
  <c r="E67"/>
  <c r="A67"/>
  <c r="F66"/>
  <c r="K65"/>
  <c r="C65"/>
  <c r="H64"/>
  <c r="M63"/>
  <c r="I63"/>
  <c r="A63"/>
  <c r="J62"/>
  <c r="B62"/>
  <c r="G61"/>
  <c r="L60"/>
  <c r="D60"/>
  <c r="I59"/>
  <c r="A59"/>
  <c r="J58"/>
  <c r="B58"/>
  <c r="G57"/>
  <c r="C57"/>
  <c r="H56"/>
  <c r="D56"/>
  <c r="I55"/>
  <c r="E55"/>
  <c r="J54"/>
  <c r="B54"/>
  <c r="G53"/>
  <c r="L52"/>
  <c r="D52"/>
  <c r="I51"/>
  <c r="E51"/>
  <c r="J50"/>
  <c r="B50"/>
  <c r="G49"/>
  <c r="L48"/>
  <c r="H48"/>
  <c r="D48"/>
  <c r="I47"/>
  <c r="E47"/>
  <c r="A47"/>
  <c r="F46"/>
  <c r="K45"/>
  <c r="G45"/>
  <c r="L44"/>
  <c r="D44"/>
  <c r="M43"/>
  <c r="E43"/>
  <c r="J42"/>
  <c r="B42"/>
  <c r="K41"/>
  <c r="C41"/>
  <c r="L40"/>
  <c r="H40"/>
  <c r="M39"/>
  <c r="I39"/>
  <c r="A39"/>
  <c r="J38"/>
  <c r="B38"/>
  <c r="K37"/>
  <c r="G37"/>
  <c r="C37"/>
  <c r="H36"/>
  <c r="D36"/>
  <c r="M35"/>
  <c r="E35"/>
  <c r="A35"/>
  <c r="F34"/>
  <c r="B34"/>
  <c r="G33"/>
  <c r="C33"/>
  <c r="H32"/>
  <c r="D32"/>
  <c r="I31"/>
  <c r="E31"/>
  <c r="J30"/>
  <c r="F30"/>
  <c r="K29"/>
  <c r="C29"/>
  <c r="L28"/>
  <c r="D28"/>
  <c r="M27"/>
  <c r="E27"/>
  <c r="J26"/>
  <c r="B26"/>
  <c r="G25"/>
  <c r="C25"/>
  <c r="H24"/>
  <c r="D24"/>
  <c r="I23"/>
  <c r="A23"/>
  <c r="J22"/>
  <c r="F22"/>
  <c r="K21"/>
  <c r="G21"/>
  <c r="L20"/>
  <c r="H20"/>
  <c r="M19"/>
  <c r="E19"/>
  <c r="A19"/>
  <c r="F18"/>
  <c r="K17"/>
  <c r="G17"/>
  <c r="L16"/>
  <c r="H16"/>
  <c r="D16"/>
  <c r="I15"/>
  <c r="E15"/>
  <c r="J14"/>
  <c r="F14"/>
  <c r="K13"/>
  <c r="C13"/>
  <c r="L12"/>
  <c r="D12"/>
  <c r="I11"/>
  <c r="E11"/>
  <c r="J10"/>
  <c r="B10"/>
  <c r="G9"/>
  <c r="L8"/>
  <c r="D8"/>
  <c r="I7"/>
  <c r="E7"/>
  <c r="J6"/>
  <c r="B6"/>
  <c r="G5"/>
  <c r="C5"/>
  <c r="H4"/>
  <c r="M3"/>
  <c r="E3"/>
  <c r="A3"/>
  <c r="F2"/>
  <c r="K1"/>
  <c r="C1"/>
  <c r="B360"/>
  <c r="I321"/>
  <c r="I317"/>
  <c r="J316"/>
  <c r="B316"/>
  <c r="G315"/>
  <c r="L314"/>
  <c r="D314"/>
  <c r="I313"/>
  <c r="A313"/>
  <c r="F312"/>
  <c r="K311"/>
  <c r="C311"/>
  <c r="H310"/>
  <c r="M309"/>
  <c r="E309"/>
  <c r="J308"/>
  <c r="B308"/>
  <c r="G307"/>
  <c r="L306"/>
  <c r="D306"/>
  <c r="I305"/>
  <c r="A305"/>
  <c r="F304"/>
  <c r="K303"/>
  <c r="C303"/>
  <c r="H302"/>
  <c r="M301"/>
  <c r="A301"/>
  <c r="F300"/>
  <c r="K299"/>
  <c r="C299"/>
  <c r="H298"/>
  <c r="M297"/>
  <c r="E297"/>
  <c r="J296"/>
  <c r="B296"/>
  <c r="G295"/>
  <c r="L294"/>
  <c r="D294"/>
  <c r="I293"/>
  <c r="A293"/>
  <c r="F292"/>
  <c r="K291"/>
  <c r="C291"/>
  <c r="H290"/>
  <c r="M289"/>
  <c r="E289"/>
  <c r="J288"/>
  <c r="B288"/>
  <c r="G287"/>
  <c r="L286"/>
  <c r="D286"/>
  <c r="I285"/>
  <c r="A285"/>
  <c r="B284"/>
  <c r="G283"/>
  <c r="L282"/>
  <c r="D282"/>
  <c r="I281"/>
  <c r="A281"/>
  <c r="F280"/>
  <c r="K279"/>
  <c r="C279"/>
  <c r="H278"/>
  <c r="M277"/>
  <c r="E277"/>
  <c r="J276"/>
  <c r="B276"/>
  <c r="G275"/>
  <c r="H274"/>
  <c r="M273"/>
  <c r="E273"/>
  <c r="J272"/>
  <c r="B272"/>
  <c r="G271"/>
  <c r="L270"/>
  <c r="D270"/>
  <c r="I269"/>
  <c r="J268"/>
  <c r="B268"/>
  <c r="G267"/>
  <c r="L266"/>
  <c r="D266"/>
  <c r="I265"/>
  <c r="J264"/>
  <c r="B264"/>
  <c r="G263"/>
  <c r="H262"/>
  <c r="M261"/>
  <c r="A261"/>
  <c r="F260"/>
  <c r="G259"/>
  <c r="L258"/>
  <c r="M257"/>
  <c r="E257"/>
  <c r="J256"/>
  <c r="K255"/>
  <c r="L254"/>
  <c r="D254"/>
  <c r="I253"/>
  <c r="A253"/>
  <c r="F252"/>
  <c r="K251"/>
  <c r="C251"/>
  <c r="H250"/>
  <c r="M249"/>
  <c r="E249"/>
  <c r="J248"/>
  <c r="B248"/>
  <c r="G247"/>
  <c r="H246"/>
  <c r="M245"/>
  <c r="E245"/>
  <c r="J244"/>
  <c r="B244"/>
  <c r="G243"/>
  <c r="H242"/>
  <c r="I241"/>
  <c r="A241"/>
  <c r="F240"/>
  <c r="K239"/>
  <c r="C239"/>
  <c r="D238"/>
  <c r="I237"/>
  <c r="A237"/>
  <c r="B236"/>
  <c r="G235"/>
  <c r="L234"/>
  <c r="M233"/>
  <c r="E233"/>
  <c r="F232"/>
  <c r="K231"/>
  <c r="L230"/>
  <c r="M229"/>
  <c r="E229"/>
  <c r="F228"/>
  <c r="K227"/>
  <c r="L226"/>
  <c r="D226"/>
  <c r="E225"/>
  <c r="J224"/>
  <c r="K223"/>
  <c r="C223"/>
  <c r="D222"/>
  <c r="I221"/>
  <c r="J220"/>
  <c r="K219"/>
  <c r="L218"/>
  <c r="D218"/>
  <c r="E217"/>
  <c r="J216"/>
  <c r="K215"/>
  <c r="C215"/>
  <c r="D214"/>
  <c r="I213"/>
  <c r="J212"/>
  <c r="B212"/>
  <c r="C211"/>
  <c r="D210"/>
  <c r="I209"/>
  <c r="J208"/>
  <c r="B208"/>
  <c r="C207"/>
  <c r="H206"/>
  <c r="I205"/>
  <c r="J204"/>
  <c r="B204"/>
  <c r="G203"/>
  <c r="L202"/>
  <c r="M201"/>
  <c r="A201"/>
  <c r="B200"/>
  <c r="C199"/>
  <c r="H198"/>
  <c r="I197"/>
  <c r="A197"/>
  <c r="F196"/>
  <c r="G195"/>
  <c r="L194"/>
  <c r="M193"/>
  <c r="A193"/>
  <c r="F192"/>
  <c r="G191"/>
  <c r="L190"/>
  <c r="M189"/>
  <c r="E189"/>
  <c r="F188"/>
  <c r="K187"/>
  <c r="L186"/>
  <c r="D186"/>
  <c r="E185"/>
  <c r="J184"/>
  <c r="K183"/>
  <c r="L182"/>
  <c r="D182"/>
  <c r="E181"/>
  <c r="J180"/>
  <c r="K179"/>
  <c r="C179"/>
  <c r="D178"/>
  <c r="I177"/>
  <c r="J176"/>
  <c r="B176"/>
  <c r="C175"/>
  <c r="H174"/>
  <c r="I173"/>
  <c r="A173"/>
  <c r="B172"/>
  <c r="G171"/>
  <c r="H170"/>
  <c r="M169"/>
  <c r="I169"/>
  <c r="J168"/>
  <c r="B168"/>
  <c r="G167"/>
  <c r="H166"/>
  <c r="M165"/>
  <c r="E165"/>
  <c r="F164"/>
  <c r="K163"/>
  <c r="C163"/>
  <c r="D162"/>
  <c r="M161"/>
  <c r="A161"/>
  <c r="F160"/>
  <c r="G159"/>
  <c r="L158"/>
  <c r="M157"/>
  <c r="E157"/>
  <c r="J156"/>
  <c r="K155"/>
  <c r="C155"/>
  <c r="D154"/>
  <c r="E153"/>
  <c r="J152"/>
  <c r="B152"/>
  <c r="C151"/>
  <c r="H150"/>
  <c r="I149"/>
  <c r="A149"/>
  <c r="B148"/>
  <c r="G147"/>
  <c r="H146"/>
  <c r="M145"/>
  <c r="A145"/>
  <c r="F144"/>
  <c r="G143"/>
  <c r="H142"/>
  <c r="M141"/>
  <c r="E141"/>
  <c r="F140"/>
  <c r="K139"/>
  <c r="L138"/>
  <c r="D138"/>
  <c r="E137"/>
  <c r="J136"/>
  <c r="K135"/>
  <c r="C135"/>
  <c r="D134"/>
  <c r="E133"/>
  <c r="F132"/>
  <c r="K131"/>
  <c r="L130"/>
  <c r="D130"/>
  <c r="E129"/>
  <c r="J128"/>
  <c r="K127"/>
  <c r="L126"/>
  <c r="D126"/>
  <c r="E125"/>
  <c r="F124"/>
  <c r="G123"/>
  <c r="H122"/>
  <c r="M121"/>
  <c r="A121"/>
  <c r="K119"/>
  <c r="L118"/>
  <c r="M117"/>
  <c r="E117"/>
  <c r="B116"/>
  <c r="C115"/>
  <c r="H114"/>
  <c r="E113"/>
  <c r="J112"/>
  <c r="C111"/>
  <c r="M109"/>
  <c r="A109"/>
  <c r="F108"/>
  <c r="C107"/>
  <c r="H106"/>
  <c r="E105"/>
  <c r="B104"/>
  <c r="L102"/>
  <c r="M101"/>
  <c r="J100"/>
  <c r="K99"/>
  <c r="H98"/>
  <c r="E97"/>
  <c r="J96"/>
  <c r="G95"/>
  <c r="D94"/>
  <c r="E93"/>
  <c r="J92"/>
  <c r="C91"/>
  <c r="M89"/>
  <c r="A89"/>
  <c r="B88"/>
  <c r="L86"/>
  <c r="I85"/>
  <c r="A85"/>
  <c r="K83"/>
  <c r="H82"/>
  <c r="E81"/>
  <c r="B80"/>
  <c r="G79"/>
  <c r="D78"/>
  <c r="I77"/>
  <c r="F76"/>
  <c r="C75"/>
  <c r="M73"/>
  <c r="J72"/>
  <c r="G71"/>
  <c r="D70"/>
  <c r="A69"/>
  <c r="K67"/>
  <c r="L66"/>
  <c r="M65"/>
  <c r="J64"/>
  <c r="C63"/>
  <c r="D62"/>
  <c r="E61"/>
  <c r="B60"/>
  <c r="L58"/>
  <c r="I57"/>
  <c r="F56"/>
  <c r="C55"/>
  <c r="M53"/>
  <c r="J52"/>
  <c r="G51"/>
  <c r="H50"/>
  <c r="I49"/>
  <c r="F48"/>
  <c r="C47"/>
  <c r="D46"/>
  <c r="A45"/>
  <c r="B44"/>
  <c r="C43"/>
  <c r="M41"/>
  <c r="J40"/>
  <c r="G39"/>
  <c r="D38"/>
  <c r="I37"/>
  <c r="F36"/>
  <c r="K35"/>
  <c r="H34"/>
  <c r="M33"/>
  <c r="A33"/>
  <c r="K31"/>
  <c r="C31"/>
  <c r="M29"/>
  <c r="E29"/>
  <c r="B28"/>
  <c r="L26"/>
  <c r="I25"/>
  <c r="F24"/>
  <c r="G23"/>
  <c r="H22"/>
  <c r="E21"/>
  <c r="B20"/>
  <c r="L18"/>
  <c r="I17"/>
  <c r="J16"/>
  <c r="K15"/>
  <c r="L14"/>
  <c r="I13"/>
  <c r="F12"/>
  <c r="G11"/>
  <c r="D10"/>
  <c r="A9"/>
  <c r="K7"/>
  <c r="H6"/>
  <c r="M5"/>
  <c r="J4"/>
  <c r="B4"/>
  <c r="L2"/>
  <c r="I1"/>
  <c r="A464"/>
  <c r="K462"/>
  <c r="H461"/>
  <c r="E460"/>
  <c r="B459"/>
  <c r="L457"/>
  <c r="I456"/>
  <c r="F455"/>
  <c r="C454"/>
  <c r="M452"/>
  <c r="J451"/>
  <c r="G450"/>
  <c r="D449"/>
  <c r="A448"/>
  <c r="K446"/>
  <c r="H445"/>
  <c r="E444"/>
  <c r="B443"/>
  <c r="L441"/>
  <c r="I440"/>
  <c r="F439"/>
  <c r="C438"/>
  <c r="M436"/>
  <c r="J435"/>
  <c r="G434"/>
  <c r="D433"/>
  <c r="A432"/>
  <c r="K430"/>
  <c r="H429"/>
  <c r="E428"/>
  <c r="B427"/>
  <c r="L425"/>
  <c r="I424"/>
  <c r="F423"/>
  <c r="C422"/>
  <c r="M420"/>
  <c r="J419"/>
  <c r="G418"/>
  <c r="D417"/>
  <c r="A416"/>
  <c r="K414"/>
  <c r="H413"/>
  <c r="E412"/>
  <c r="B411"/>
  <c r="C410"/>
  <c r="H409"/>
  <c r="M408"/>
  <c r="E408"/>
  <c r="J407"/>
  <c r="B407"/>
  <c r="G406"/>
  <c r="L405"/>
  <c r="D405"/>
  <c r="I404"/>
  <c r="A404"/>
  <c r="F403"/>
  <c r="K402"/>
  <c r="C402"/>
  <c r="H401"/>
  <c r="M400"/>
  <c r="E400"/>
  <c r="J399"/>
  <c r="B399"/>
  <c r="G398"/>
  <c r="L397"/>
  <c r="D397"/>
  <c r="I396"/>
  <c r="A396"/>
  <c r="F395"/>
  <c r="K394"/>
  <c r="C394"/>
  <c r="H393"/>
  <c r="M392"/>
  <c r="E392"/>
  <c r="J391"/>
  <c r="B391"/>
  <c r="G390"/>
  <c r="L389"/>
  <c r="D389"/>
  <c r="I388"/>
  <c r="A388"/>
  <c r="F387"/>
  <c r="K386"/>
  <c r="C386"/>
  <c r="H385"/>
  <c r="M384"/>
  <c r="E384"/>
  <c r="J383"/>
  <c r="B383"/>
  <c r="G382"/>
  <c r="L381"/>
  <c r="D381"/>
  <c r="I380"/>
  <c r="A380"/>
  <c r="F379"/>
  <c r="K378"/>
  <c r="C378"/>
  <c r="H377"/>
  <c r="M376"/>
  <c r="E376"/>
  <c r="J375"/>
  <c r="E375"/>
  <c r="A375"/>
  <c r="J374"/>
  <c r="F374"/>
  <c r="B374"/>
  <c r="K373"/>
  <c r="G373"/>
  <c r="C373"/>
  <c r="L372"/>
  <c r="H372"/>
  <c r="D372"/>
  <c r="M371"/>
  <c r="I371"/>
  <c r="E371"/>
  <c r="A371"/>
  <c r="J370"/>
  <c r="F370"/>
  <c r="B370"/>
  <c r="K369"/>
  <c r="G369"/>
  <c r="C369"/>
  <c r="L368"/>
  <c r="H368"/>
  <c r="D368"/>
  <c r="M367"/>
  <c r="I367"/>
  <c r="E367"/>
  <c r="A367"/>
  <c r="J366"/>
  <c r="F366"/>
  <c r="B366"/>
  <c r="K365"/>
  <c r="G365"/>
  <c r="C365"/>
  <c r="L364"/>
  <c r="H364"/>
  <c r="D364"/>
  <c r="M363"/>
  <c r="I363"/>
  <c r="E363"/>
  <c r="A363"/>
  <c r="J362"/>
  <c r="F362"/>
  <c r="B362"/>
  <c r="K361"/>
  <c r="G361"/>
  <c r="C361"/>
  <c r="L360"/>
  <c r="H360"/>
  <c r="D360"/>
  <c r="M359"/>
  <c r="I359"/>
  <c r="E359"/>
  <c r="A359"/>
  <c r="J358"/>
  <c r="F358"/>
  <c r="B358"/>
  <c r="K357"/>
  <c r="G357"/>
  <c r="C357"/>
  <c r="L356"/>
  <c r="H356"/>
  <c r="D356"/>
  <c r="M355"/>
  <c r="I355"/>
  <c r="E355"/>
  <c r="A355"/>
  <c r="J354"/>
  <c r="F354"/>
  <c r="B354"/>
  <c r="K353"/>
  <c r="G353"/>
  <c r="C353"/>
  <c r="L352"/>
  <c r="H352"/>
  <c r="D352"/>
  <c r="M351"/>
  <c r="I351"/>
  <c r="E351"/>
  <c r="A351"/>
  <c r="J350"/>
  <c r="F350"/>
  <c r="B350"/>
  <c r="K349"/>
  <c r="G349"/>
  <c r="C349"/>
  <c r="L348"/>
  <c r="H348"/>
  <c r="D348"/>
  <c r="M347"/>
  <c r="I347"/>
  <c r="E347"/>
  <c r="A347"/>
  <c r="J346"/>
  <c r="F346"/>
  <c r="B346"/>
  <c r="K345"/>
  <c r="G345"/>
  <c r="C345"/>
  <c r="L344"/>
  <c r="H344"/>
  <c r="D344"/>
  <c r="M343"/>
  <c r="I343"/>
  <c r="E343"/>
  <c r="A343"/>
  <c r="J342"/>
  <c r="F342"/>
  <c r="B342"/>
  <c r="K341"/>
  <c r="G341"/>
  <c r="C341"/>
  <c r="L340"/>
  <c r="H340"/>
  <c r="D340"/>
  <c r="M339"/>
  <c r="I339"/>
  <c r="E339"/>
  <c r="A339"/>
  <c r="J338"/>
  <c r="F338"/>
  <c r="B338"/>
  <c r="K337"/>
  <c r="G337"/>
  <c r="C337"/>
  <c r="L336"/>
  <c r="H336"/>
  <c r="D336"/>
  <c r="M335"/>
  <c r="I335"/>
  <c r="E335"/>
  <c r="A335"/>
  <c r="J334"/>
  <c r="F334"/>
  <c r="B334"/>
  <c r="K333"/>
  <c r="G333"/>
  <c r="C333"/>
  <c r="L332"/>
  <c r="H332"/>
  <c r="D332"/>
  <c r="M331"/>
  <c r="I331"/>
  <c r="E331"/>
  <c r="A331"/>
  <c r="J330"/>
  <c r="F330"/>
  <c r="B330"/>
  <c r="K329"/>
  <c r="G329"/>
  <c r="C329"/>
  <c r="L328"/>
  <c r="H328"/>
  <c r="D328"/>
  <c r="M327"/>
  <c r="I327"/>
  <c r="E327"/>
  <c r="A327"/>
  <c r="J326"/>
  <c r="F326"/>
  <c r="B326"/>
  <c r="K325"/>
  <c r="G325"/>
  <c r="C325"/>
  <c r="L324"/>
  <c r="H324"/>
  <c r="D324"/>
  <c r="M323"/>
  <c r="I323"/>
  <c r="E323"/>
  <c r="A323"/>
  <c r="J322"/>
  <c r="F322"/>
  <c r="B322"/>
  <c r="K321"/>
  <c r="G321"/>
  <c r="C321"/>
  <c r="L320"/>
  <c r="H320"/>
  <c r="D320"/>
  <c r="M319"/>
  <c r="I319"/>
  <c r="E319"/>
  <c r="A319"/>
  <c r="J318"/>
  <c r="F318"/>
  <c r="B318"/>
  <c r="K317"/>
  <c r="G317"/>
  <c r="C317"/>
  <c r="L316"/>
  <c r="H316"/>
  <c r="D316"/>
  <c r="M315"/>
  <c r="I315"/>
  <c r="E315"/>
  <c r="A315"/>
  <c r="J314"/>
  <c r="F314"/>
  <c r="B314"/>
  <c r="K313"/>
  <c r="G313"/>
  <c r="C313"/>
  <c r="L312"/>
  <c r="H312"/>
  <c r="D312"/>
  <c r="M311"/>
  <c r="I311"/>
  <c r="E311"/>
  <c r="A311"/>
  <c r="J310"/>
  <c r="F310"/>
  <c r="B310"/>
  <c r="K309"/>
  <c r="G309"/>
  <c r="C309"/>
  <c r="L308"/>
  <c r="H308"/>
  <c r="D308"/>
  <c r="M307"/>
  <c r="I307"/>
  <c r="E307"/>
  <c r="A307"/>
  <c r="J306"/>
  <c r="F306"/>
  <c r="B306"/>
  <c r="K305"/>
  <c r="G305"/>
  <c r="C305"/>
  <c r="L304"/>
  <c r="H304"/>
  <c r="D304"/>
  <c r="M303"/>
  <c r="I303"/>
  <c r="E303"/>
  <c r="A303"/>
  <c r="J302"/>
  <c r="F302"/>
  <c r="B302"/>
  <c r="K301"/>
  <c r="G301"/>
  <c r="C301"/>
  <c r="L300"/>
  <c r="H300"/>
  <c r="D300"/>
  <c r="M299"/>
  <c r="I299"/>
  <c r="E299"/>
  <c r="A299"/>
  <c r="J298"/>
  <c r="F298"/>
  <c r="B298"/>
  <c r="K297"/>
  <c r="G297"/>
  <c r="C297"/>
  <c r="L296"/>
  <c r="H296"/>
  <c r="D296"/>
  <c r="M295"/>
  <c r="I295"/>
  <c r="E295"/>
  <c r="A295"/>
  <c r="J294"/>
  <c r="F294"/>
  <c r="B294"/>
  <c r="K293"/>
  <c r="G293"/>
  <c r="C293"/>
  <c r="L292"/>
  <c r="H292"/>
  <c r="D292"/>
  <c r="M291"/>
  <c r="I291"/>
  <c r="E291"/>
  <c r="A291"/>
  <c r="J290"/>
  <c r="F290"/>
  <c r="B290"/>
  <c r="K289"/>
  <c r="G289"/>
  <c r="C289"/>
  <c r="L288"/>
  <c r="H288"/>
  <c r="D288"/>
  <c r="M287"/>
  <c r="I287"/>
  <c r="E287"/>
  <c r="A287"/>
  <c r="J286"/>
  <c r="F286"/>
  <c r="B286"/>
  <c r="K285"/>
  <c r="G285"/>
  <c r="C285"/>
  <c r="L284"/>
  <c r="H284"/>
  <c r="D284"/>
  <c r="M283"/>
  <c r="I283"/>
  <c r="E283"/>
  <c r="A283"/>
  <c r="J282"/>
  <c r="F282"/>
  <c r="B282"/>
  <c r="K281"/>
  <c r="G281"/>
  <c r="C281"/>
  <c r="L280"/>
  <c r="H280"/>
  <c r="D280"/>
  <c r="M279"/>
  <c r="I279"/>
  <c r="E279"/>
  <c r="A279"/>
  <c r="J278"/>
  <c r="F278"/>
  <c r="B278"/>
  <c r="K277"/>
  <c r="G277"/>
  <c r="C277"/>
  <c r="L276"/>
  <c r="H276"/>
  <c r="D276"/>
  <c r="M275"/>
  <c r="I275"/>
  <c r="E275"/>
  <c r="A275"/>
  <c r="J274"/>
  <c r="F274"/>
  <c r="B274"/>
  <c r="K273"/>
  <c r="G273"/>
  <c r="C273"/>
  <c r="L272"/>
  <c r="H272"/>
  <c r="D272"/>
  <c r="M271"/>
  <c r="I271"/>
  <c r="E271"/>
  <c r="A271"/>
  <c r="J270"/>
  <c r="F270"/>
  <c r="B270"/>
  <c r="K269"/>
  <c r="G269"/>
  <c r="C269"/>
  <c r="L268"/>
  <c r="H268"/>
  <c r="D268"/>
  <c r="M267"/>
  <c r="I267"/>
  <c r="E267"/>
  <c r="A267"/>
  <c r="J266"/>
  <c r="F266"/>
  <c r="B266"/>
  <c r="K265"/>
  <c r="G265"/>
  <c r="C265"/>
  <c r="L264"/>
  <c r="H264"/>
  <c r="D264"/>
  <c r="M263"/>
  <c r="I263"/>
  <c r="E263"/>
  <c r="A263"/>
  <c r="J262"/>
  <c r="F262"/>
  <c r="B262"/>
  <c r="K261"/>
  <c r="G261"/>
  <c r="C261"/>
  <c r="L260"/>
  <c r="H260"/>
  <c r="D260"/>
  <c r="M259"/>
  <c r="I259"/>
  <c r="E259"/>
  <c r="A259"/>
  <c r="J258"/>
  <c r="F258"/>
  <c r="B258"/>
  <c r="K257"/>
  <c r="G257"/>
  <c r="C257"/>
  <c r="L256"/>
  <c r="H256"/>
  <c r="D256"/>
  <c r="M255"/>
  <c r="I255"/>
  <c r="E255"/>
  <c r="A255"/>
  <c r="J254"/>
  <c r="F254"/>
  <c r="B254"/>
  <c r="K253"/>
  <c r="G253"/>
  <c r="C253"/>
  <c r="L252"/>
  <c r="H252"/>
  <c r="D252"/>
  <c r="M251"/>
  <c r="I251"/>
  <c r="E251"/>
  <c r="A251"/>
  <c r="J250"/>
  <c r="F250"/>
  <c r="B250"/>
  <c r="K249"/>
  <c r="G249"/>
  <c r="C249"/>
  <c r="L248"/>
  <c r="H248"/>
  <c r="D248"/>
  <c r="M247"/>
  <c r="I247"/>
  <c r="E247"/>
  <c r="A247"/>
  <c r="J246"/>
  <c r="F246"/>
  <c r="B246"/>
  <c r="K245"/>
  <c r="G245"/>
  <c r="C245"/>
  <c r="L244"/>
  <c r="H244"/>
  <c r="D244"/>
  <c r="M243"/>
  <c r="I243"/>
  <c r="E243"/>
  <c r="A243"/>
  <c r="J242"/>
  <c r="F242"/>
  <c r="B242"/>
  <c r="K241"/>
  <c r="G241"/>
  <c r="C241"/>
  <c r="L240"/>
  <c r="H240"/>
  <c r="D240"/>
  <c r="M239"/>
  <c r="I239"/>
  <c r="E239"/>
  <c r="A239"/>
  <c r="J238"/>
  <c r="F238"/>
  <c r="B238"/>
  <c r="K237"/>
  <c r="G237"/>
  <c r="C237"/>
  <c r="L236"/>
  <c r="H236"/>
  <c r="D236"/>
  <c r="M235"/>
  <c r="I235"/>
  <c r="E235"/>
  <c r="A235"/>
  <c r="J234"/>
  <c r="F234"/>
  <c r="B234"/>
  <c r="K233"/>
  <c r="G233"/>
  <c r="C233"/>
  <c r="L232"/>
  <c r="H232"/>
  <c r="D232"/>
  <c r="M231"/>
  <c r="I231"/>
  <c r="E231"/>
  <c r="A231"/>
  <c r="J230"/>
  <c r="F230"/>
  <c r="B230"/>
  <c r="K229"/>
  <c r="G229"/>
  <c r="C229"/>
  <c r="L228"/>
  <c r="H228"/>
  <c r="D228"/>
  <c r="M227"/>
  <c r="I227"/>
  <c r="E227"/>
  <c r="A227"/>
  <c r="J226"/>
  <c r="F226"/>
  <c r="B226"/>
  <c r="K225"/>
  <c r="G225"/>
  <c r="C225"/>
  <c r="L224"/>
  <c r="H224"/>
  <c r="D224"/>
  <c r="M223"/>
  <c r="I223"/>
  <c r="E223"/>
  <c r="A223"/>
  <c r="J222"/>
  <c r="F222"/>
  <c r="B222"/>
  <c r="K221"/>
  <c r="G221"/>
  <c r="C221"/>
  <c r="L220"/>
  <c r="H220"/>
  <c r="D220"/>
  <c r="M219"/>
  <c r="I219"/>
  <c r="E219"/>
  <c r="A219"/>
  <c r="J218"/>
  <c r="F218"/>
  <c r="B218"/>
  <c r="K217"/>
  <c r="G217"/>
  <c r="C217"/>
  <c r="L216"/>
  <c r="H216"/>
  <c r="D216"/>
  <c r="M215"/>
  <c r="I215"/>
  <c r="E215"/>
  <c r="A215"/>
  <c r="J214"/>
  <c r="F214"/>
  <c r="B214"/>
  <c r="K213"/>
  <c r="G213"/>
  <c r="C213"/>
  <c r="L212"/>
  <c r="H212"/>
  <c r="D212"/>
  <c r="M211"/>
  <c r="I211"/>
  <c r="E211"/>
  <c r="A211"/>
  <c r="J210"/>
  <c r="F210"/>
  <c r="B210"/>
  <c r="K209"/>
  <c r="G209"/>
  <c r="C209"/>
  <c r="L208"/>
  <c r="H208"/>
  <c r="D208"/>
  <c r="M207"/>
  <c r="I207"/>
  <c r="E207"/>
  <c r="A207"/>
  <c r="J206"/>
  <c r="F206"/>
  <c r="B206"/>
  <c r="K205"/>
  <c r="G205"/>
  <c r="C205"/>
  <c r="L204"/>
  <c r="H204"/>
  <c r="D204"/>
  <c r="M203"/>
  <c r="I203"/>
  <c r="E203"/>
  <c r="A203"/>
  <c r="J202"/>
  <c r="F202"/>
  <c r="B202"/>
  <c r="K201"/>
  <c r="G201"/>
  <c r="C201"/>
  <c r="L200"/>
  <c r="H200"/>
  <c r="D200"/>
  <c r="M199"/>
  <c r="I199"/>
  <c r="E199"/>
  <c r="A199"/>
  <c r="J198"/>
  <c r="F198"/>
  <c r="B198"/>
  <c r="K197"/>
  <c r="G197"/>
  <c r="C197"/>
  <c r="L196"/>
  <c r="H196"/>
  <c r="D196"/>
  <c r="M195"/>
  <c r="I195"/>
  <c r="E195"/>
  <c r="A195"/>
  <c r="J194"/>
  <c r="F194"/>
  <c r="B194"/>
  <c r="K193"/>
  <c r="G193"/>
  <c r="C193"/>
  <c r="L192"/>
  <c r="H192"/>
  <c r="D192"/>
  <c r="M191"/>
  <c r="I191"/>
  <c r="E191"/>
  <c r="A191"/>
  <c r="J190"/>
  <c r="F190"/>
  <c r="B190"/>
  <c r="K189"/>
  <c r="G189"/>
  <c r="C189"/>
  <c r="L188"/>
  <c r="H188"/>
  <c r="D188"/>
  <c r="M187"/>
  <c r="I187"/>
  <c r="E187"/>
  <c r="A187"/>
  <c r="J186"/>
  <c r="F186"/>
  <c r="B186"/>
  <c r="K185"/>
  <c r="G185"/>
  <c r="C185"/>
  <c r="L184"/>
  <c r="H184"/>
  <c r="D184"/>
  <c r="M183"/>
  <c r="I183"/>
  <c r="E183"/>
  <c r="A183"/>
  <c r="J182"/>
  <c r="F182"/>
  <c r="B182"/>
  <c r="K181"/>
  <c r="G181"/>
  <c r="C181"/>
  <c r="L180"/>
  <c r="H180"/>
  <c r="D180"/>
  <c r="M179"/>
  <c r="I179"/>
  <c r="E179"/>
  <c r="A179"/>
  <c r="J178"/>
  <c r="F178"/>
  <c r="B178"/>
  <c r="K177"/>
  <c r="G177"/>
  <c r="C177"/>
  <c r="L176"/>
  <c r="H176"/>
  <c r="D176"/>
  <c r="M175"/>
  <c r="I175"/>
  <c r="E175"/>
  <c r="A175"/>
  <c r="J174"/>
  <c r="F174"/>
  <c r="B174"/>
  <c r="K173"/>
  <c r="G173"/>
  <c r="C173"/>
  <c r="L172"/>
  <c r="H172"/>
  <c r="D172"/>
  <c r="M171"/>
  <c r="I171"/>
  <c r="E171"/>
  <c r="A171"/>
  <c r="J170"/>
  <c r="F170"/>
  <c r="B170"/>
  <c r="K169"/>
  <c r="G169"/>
  <c r="C169"/>
  <c r="L168"/>
  <c r="H168"/>
  <c r="D168"/>
  <c r="M167"/>
  <c r="I167"/>
  <c r="E167"/>
  <c r="A167"/>
  <c r="J166"/>
  <c r="F166"/>
  <c r="B166"/>
  <c r="K165"/>
  <c r="G165"/>
  <c r="C165"/>
  <c r="L164"/>
  <c r="H164"/>
  <c r="D164"/>
  <c r="M163"/>
  <c r="I163"/>
  <c r="E163"/>
  <c r="A163"/>
  <c r="J162"/>
  <c r="F162"/>
  <c r="B162"/>
  <c r="K161"/>
  <c r="G161"/>
  <c r="C161"/>
  <c r="L160"/>
  <c r="H160"/>
  <c r="D160"/>
  <c r="M159"/>
  <c r="I159"/>
  <c r="E159"/>
  <c r="A159"/>
  <c r="J158"/>
  <c r="F158"/>
  <c r="B158"/>
  <c r="K157"/>
  <c r="G157"/>
  <c r="C157"/>
  <c r="L156"/>
  <c r="H156"/>
  <c r="D156"/>
  <c r="M155"/>
  <c r="I155"/>
  <c r="E155"/>
  <c r="A155"/>
  <c r="J154"/>
  <c r="F154"/>
  <c r="B154"/>
  <c r="K153"/>
  <c r="G153"/>
  <c r="C153"/>
  <c r="L152"/>
  <c r="H152"/>
  <c r="D152"/>
  <c r="M151"/>
  <c r="I151"/>
  <c r="E151"/>
  <c r="A151"/>
  <c r="J150"/>
  <c r="F150"/>
  <c r="B150"/>
  <c r="K149"/>
  <c r="G149"/>
  <c r="C149"/>
  <c r="L148"/>
  <c r="H148"/>
  <c r="D148"/>
  <c r="M147"/>
  <c r="I147"/>
  <c r="E147"/>
  <c r="A147"/>
  <c r="J146"/>
  <c r="F146"/>
  <c r="B146"/>
  <c r="K145"/>
  <c r="G145"/>
  <c r="C145"/>
  <c r="L144"/>
  <c r="H144"/>
  <c r="D144"/>
  <c r="M143"/>
  <c r="I143"/>
  <c r="E143"/>
  <c r="A143"/>
  <c r="J142"/>
  <c r="F142"/>
  <c r="B142"/>
  <c r="K141"/>
  <c r="G141"/>
  <c r="C141"/>
  <c r="L140"/>
  <c r="H140"/>
  <c r="D140"/>
  <c r="M139"/>
  <c r="I139"/>
  <c r="E139"/>
  <c r="A139"/>
  <c r="J138"/>
  <c r="F138"/>
  <c r="B138"/>
  <c r="K137"/>
  <c r="G137"/>
  <c r="C137"/>
  <c r="L136"/>
  <c r="H136"/>
  <c r="D136"/>
  <c r="M135"/>
  <c r="I135"/>
  <c r="E135"/>
  <c r="A135"/>
  <c r="J134"/>
  <c r="F134"/>
  <c r="B134"/>
  <c r="K133"/>
  <c r="G133"/>
  <c r="C133"/>
  <c r="L132"/>
  <c r="H132"/>
  <c r="D132"/>
  <c r="M131"/>
  <c r="I131"/>
  <c r="E131"/>
  <c r="A131"/>
  <c r="J130"/>
  <c r="F130"/>
  <c r="B130"/>
  <c r="K129"/>
  <c r="G129"/>
  <c r="C129"/>
  <c r="L128"/>
  <c r="H128"/>
  <c r="D128"/>
  <c r="M127"/>
  <c r="I127"/>
  <c r="E127"/>
  <c r="A127"/>
  <c r="J126"/>
  <c r="F126"/>
  <c r="B126"/>
  <c r="K125"/>
  <c r="G125"/>
  <c r="C125"/>
  <c r="L124"/>
  <c r="H124"/>
  <c r="D124"/>
  <c r="M123"/>
  <c r="I123"/>
  <c r="E123"/>
  <c r="A123"/>
  <c r="J122"/>
  <c r="F122"/>
  <c r="B122"/>
  <c r="K121"/>
  <c r="G121"/>
  <c r="C121"/>
  <c r="L120"/>
  <c r="H120"/>
  <c r="D120"/>
  <c r="M119"/>
  <c r="I119"/>
  <c r="E119"/>
  <c r="A119"/>
  <c r="J118"/>
  <c r="F118"/>
  <c r="B118"/>
  <c r="K117"/>
  <c r="G117"/>
  <c r="C117"/>
  <c r="L116"/>
  <c r="H116"/>
  <c r="D116"/>
  <c r="M115"/>
  <c r="I115"/>
  <c r="E115"/>
  <c r="A115"/>
  <c r="J114"/>
  <c r="F114"/>
  <c r="B114"/>
  <c r="K113"/>
  <c r="G113"/>
  <c r="C113"/>
  <c r="L112"/>
  <c r="H112"/>
  <c r="D112"/>
  <c r="M111"/>
  <c r="I111"/>
  <c r="E111"/>
  <c r="A111"/>
  <c r="J110"/>
  <c r="F110"/>
  <c r="B110"/>
  <c r="K109"/>
  <c r="G109"/>
  <c r="C109"/>
  <c r="L108"/>
  <c r="H108"/>
  <c r="D108"/>
  <c r="M107"/>
  <c r="I107"/>
  <c r="E107"/>
  <c r="A107"/>
  <c r="J106"/>
  <c r="F106"/>
  <c r="B106"/>
  <c r="K105"/>
  <c r="G105"/>
  <c r="C105"/>
  <c r="L104"/>
  <c r="H104"/>
  <c r="D104"/>
  <c r="M103"/>
  <c r="I79"/>
  <c r="A71"/>
  <c r="D68"/>
  <c r="J66"/>
  <c r="B66"/>
  <c r="G65"/>
  <c r="L64"/>
  <c r="D64"/>
  <c r="E63"/>
  <c r="F62"/>
  <c r="K61"/>
  <c r="C61"/>
  <c r="H60"/>
  <c r="M59"/>
  <c r="E59"/>
  <c r="F58"/>
  <c r="K57"/>
  <c r="L56"/>
  <c r="M55"/>
  <c r="A55"/>
  <c r="F54"/>
  <c r="K53"/>
  <c r="C53"/>
  <c r="H52"/>
  <c r="M51"/>
  <c r="A51"/>
  <c r="F50"/>
  <c r="K49"/>
  <c r="C49"/>
  <c r="M47"/>
  <c r="J46"/>
  <c r="B46"/>
  <c r="C45"/>
  <c r="H44"/>
  <c r="I43"/>
  <c r="A43"/>
  <c r="F42"/>
  <c r="G41"/>
  <c r="D40"/>
  <c r="E39"/>
  <c r="F38"/>
  <c r="L36"/>
  <c r="I35"/>
  <c r="J34"/>
  <c r="K33"/>
  <c r="L32"/>
  <c r="M31"/>
  <c r="A31"/>
  <c r="B30"/>
  <c r="G29"/>
  <c r="H28"/>
  <c r="I27"/>
  <c r="A27"/>
  <c r="F26"/>
  <c r="K25"/>
  <c r="L24"/>
  <c r="M23"/>
  <c r="E23"/>
  <c r="B22"/>
  <c r="C21"/>
  <c r="D20"/>
  <c r="I19"/>
  <c r="J18"/>
  <c r="B18"/>
  <c r="C17"/>
  <c r="M15"/>
  <c r="A15"/>
  <c r="B14"/>
  <c r="G13"/>
  <c r="H12"/>
  <c r="M11"/>
  <c r="A11"/>
  <c r="F10"/>
  <c r="K9"/>
  <c r="C9"/>
  <c r="H8"/>
  <c r="M7"/>
  <c r="A7"/>
  <c r="F6"/>
  <c r="K5"/>
  <c r="L4"/>
  <c r="D4"/>
  <c r="I3"/>
  <c r="J2"/>
  <c r="B2"/>
  <c r="G1"/>
  <c r="G359"/>
  <c r="E301"/>
  <c r="F284"/>
  <c r="L274"/>
  <c r="A269"/>
  <c r="A265"/>
  <c r="L262"/>
  <c r="E261"/>
  <c r="K259"/>
  <c r="D258"/>
  <c r="F256"/>
  <c r="C255"/>
  <c r="C247"/>
  <c r="M241"/>
  <c r="L238"/>
  <c r="F236"/>
  <c r="H234"/>
  <c r="A233"/>
  <c r="G231"/>
  <c r="D230"/>
  <c r="J228"/>
  <c r="C227"/>
  <c r="I225"/>
  <c r="B224"/>
  <c r="H222"/>
  <c r="A221"/>
  <c r="C219"/>
  <c r="I217"/>
  <c r="B216"/>
  <c r="H214"/>
  <c r="E213"/>
  <c r="K211"/>
  <c r="L210"/>
  <c r="E209"/>
  <c r="K207"/>
  <c r="D206"/>
  <c r="E205"/>
  <c r="K203"/>
  <c r="D202"/>
  <c r="J200"/>
  <c r="G199"/>
  <c r="M197"/>
  <c r="B196"/>
  <c r="H194"/>
  <c r="E193"/>
  <c r="B192"/>
  <c r="H190"/>
  <c r="J188"/>
  <c r="C187"/>
  <c r="I185"/>
  <c r="F184"/>
  <c r="C183"/>
  <c r="I181"/>
  <c r="B180"/>
  <c r="H178"/>
  <c r="A177"/>
  <c r="G175"/>
  <c r="M173"/>
  <c r="J172"/>
  <c r="C171"/>
  <c r="A169"/>
  <c r="C167"/>
  <c r="A165"/>
  <c r="L162"/>
  <c r="E161"/>
  <c r="K159"/>
  <c r="D158"/>
  <c r="B156"/>
  <c r="I153"/>
  <c r="K151"/>
  <c r="M149"/>
  <c r="F148"/>
  <c r="L146"/>
  <c r="I145"/>
  <c r="B144"/>
  <c r="L142"/>
  <c r="A141"/>
  <c r="G139"/>
  <c r="M137"/>
  <c r="F136"/>
  <c r="L134"/>
  <c r="M133"/>
  <c r="A133"/>
  <c r="G131"/>
  <c r="M129"/>
  <c r="F128"/>
  <c r="G127"/>
  <c r="M125"/>
  <c r="B124"/>
  <c r="L122"/>
  <c r="E121"/>
  <c r="B120"/>
  <c r="C119"/>
  <c r="D118"/>
  <c r="A117"/>
  <c r="G115"/>
  <c r="I113"/>
  <c r="K111"/>
  <c r="L110"/>
  <c r="I109"/>
  <c r="K107"/>
  <c r="D106"/>
  <c r="J104"/>
  <c r="G103"/>
  <c r="I101"/>
  <c r="F100"/>
  <c r="C99"/>
  <c r="M97"/>
  <c r="F96"/>
  <c r="C95"/>
  <c r="M93"/>
  <c r="B92"/>
  <c r="L90"/>
  <c r="E89"/>
  <c r="K87"/>
  <c r="D86"/>
  <c r="J84"/>
  <c r="G83"/>
  <c r="D82"/>
  <c r="J80"/>
  <c r="C79"/>
  <c r="E77"/>
  <c r="B76"/>
  <c r="L74"/>
  <c r="E73"/>
  <c r="B72"/>
  <c r="L70"/>
  <c r="I69"/>
  <c r="F68"/>
  <c r="C67"/>
  <c r="E65"/>
  <c r="B64"/>
  <c r="L62"/>
  <c r="A61"/>
  <c r="K59"/>
  <c r="H58"/>
  <c r="E57"/>
  <c r="B56"/>
  <c r="L54"/>
  <c r="I53"/>
  <c r="F52"/>
  <c r="C51"/>
  <c r="E49"/>
  <c r="B48"/>
  <c r="L46"/>
  <c r="E45"/>
  <c r="K43"/>
  <c r="D42"/>
  <c r="A41"/>
  <c r="B40"/>
  <c r="L38"/>
  <c r="A37"/>
  <c r="G35"/>
  <c r="I33"/>
  <c r="F32"/>
  <c r="H30"/>
  <c r="A29"/>
  <c r="G27"/>
  <c r="D26"/>
  <c r="A25"/>
  <c r="K23"/>
  <c r="D22"/>
  <c r="J20"/>
  <c r="G19"/>
  <c r="D18"/>
  <c r="A17"/>
  <c r="G15"/>
  <c r="D14"/>
  <c r="A13"/>
  <c r="K11"/>
  <c r="H10"/>
  <c r="E9"/>
  <c r="B8"/>
  <c r="L6"/>
  <c r="E5"/>
  <c r="G3"/>
  <c r="D2"/>
  <c r="E464"/>
  <c r="B463"/>
  <c r="L461"/>
  <c r="I460"/>
  <c r="F459"/>
  <c r="C458"/>
  <c r="M456"/>
  <c r="J455"/>
  <c r="G454"/>
  <c r="D453"/>
  <c r="A452"/>
  <c r="K450"/>
  <c r="H449"/>
  <c r="E448"/>
  <c r="B447"/>
  <c r="L445"/>
  <c r="I444"/>
  <c r="F443"/>
  <c r="C442"/>
  <c r="M440"/>
  <c r="J439"/>
  <c r="G438"/>
  <c r="D437"/>
  <c r="A436"/>
  <c r="K434"/>
  <c r="H433"/>
  <c r="E432"/>
  <c r="B431"/>
  <c r="L429"/>
  <c r="I428"/>
  <c r="F427"/>
  <c r="C426"/>
  <c r="M424"/>
  <c r="J423"/>
  <c r="G422"/>
  <c r="D421"/>
  <c r="A420"/>
  <c r="K418"/>
  <c r="H417"/>
  <c r="E416"/>
  <c r="B415"/>
  <c r="L413"/>
  <c r="I412"/>
  <c r="F411"/>
  <c r="E410"/>
  <c r="J409"/>
  <c r="B409"/>
  <c r="G408"/>
  <c r="L407"/>
  <c r="D407"/>
  <c r="I406"/>
  <c r="A406"/>
  <c r="F405"/>
  <c r="K404"/>
  <c r="C404"/>
  <c r="H403"/>
  <c r="M402"/>
  <c r="E402"/>
  <c r="J401"/>
  <c r="B401"/>
  <c r="G400"/>
  <c r="L399"/>
  <c r="D399"/>
  <c r="I398"/>
  <c r="A398"/>
  <c r="F397"/>
  <c r="K396"/>
  <c r="C396"/>
  <c r="H395"/>
  <c r="M394"/>
  <c r="E394"/>
  <c r="J393"/>
  <c r="B393"/>
  <c r="G392"/>
  <c r="L391"/>
  <c r="D391"/>
  <c r="I390"/>
  <c r="A390"/>
  <c r="F389"/>
  <c r="K388"/>
  <c r="C388"/>
  <c r="H387"/>
  <c r="M386"/>
  <c r="E386"/>
  <c r="J385"/>
  <c r="B385"/>
  <c r="G384"/>
  <c r="L383"/>
  <c r="D383"/>
  <c r="I382"/>
  <c r="A382"/>
  <c r="F381"/>
  <c r="K380"/>
  <c r="C380"/>
  <c r="H379"/>
  <c r="M378"/>
  <c r="E378"/>
  <c r="J377"/>
  <c r="B377"/>
  <c r="G376"/>
  <c r="L375"/>
  <c r="F375"/>
  <c r="B375"/>
  <c r="K374"/>
  <c r="G374"/>
  <c r="C374"/>
  <c r="L373"/>
  <c r="H373"/>
  <c r="D373"/>
  <c r="M372"/>
  <c r="I372"/>
  <c r="E372"/>
  <c r="A372"/>
  <c r="J371"/>
  <c r="F371"/>
  <c r="B371"/>
  <c r="K370"/>
  <c r="G370"/>
  <c r="C370"/>
  <c r="L369"/>
  <c r="H369"/>
  <c r="D369"/>
  <c r="M368"/>
  <c r="I368"/>
  <c r="E368"/>
  <c r="A368"/>
  <c r="J367"/>
  <c r="F367"/>
  <c r="B367"/>
  <c r="K366"/>
  <c r="G366"/>
  <c r="C366"/>
  <c r="L365"/>
  <c r="H365"/>
  <c r="D365"/>
  <c r="M364"/>
  <c r="I364"/>
  <c r="E364"/>
  <c r="A364"/>
  <c r="J363"/>
  <c r="F363"/>
  <c r="B363"/>
  <c r="K362"/>
  <c r="G362"/>
  <c r="C362"/>
  <c r="L361"/>
  <c r="H361"/>
  <c r="D361"/>
  <c r="M360"/>
  <c r="I360"/>
  <c r="E360"/>
  <c r="A360"/>
  <c r="J359"/>
  <c r="F359"/>
  <c r="B359"/>
  <c r="K358"/>
  <c r="G358"/>
  <c r="C358"/>
  <c r="L357"/>
  <c r="H357"/>
  <c r="D357"/>
  <c r="M356"/>
  <c r="I356"/>
  <c r="E356"/>
  <c r="A356"/>
  <c r="J355"/>
  <c r="F355"/>
  <c r="B355"/>
  <c r="K354"/>
  <c r="G354"/>
  <c r="C354"/>
  <c r="L353"/>
  <c r="H353"/>
  <c r="D353"/>
  <c r="M352"/>
  <c r="I352"/>
  <c r="E352"/>
  <c r="A352"/>
  <c r="J351"/>
  <c r="F351"/>
  <c r="B351"/>
  <c r="K350"/>
  <c r="G350"/>
  <c r="C350"/>
  <c r="L349"/>
  <c r="H349"/>
  <c r="D349"/>
  <c r="M348"/>
  <c r="I348"/>
  <c r="E348"/>
  <c r="A348"/>
  <c r="J347"/>
  <c r="F347"/>
  <c r="B347"/>
  <c r="K346"/>
  <c r="G346"/>
  <c r="C346"/>
  <c r="L345"/>
  <c r="H345"/>
  <c r="D345"/>
  <c r="M344"/>
  <c r="I344"/>
  <c r="E344"/>
  <c r="A344"/>
  <c r="J343"/>
  <c r="F343"/>
  <c r="B343"/>
  <c r="K342"/>
  <c r="G342"/>
  <c r="C342"/>
  <c r="L341"/>
  <c r="H341"/>
  <c r="D341"/>
  <c r="M340"/>
  <c r="I340"/>
  <c r="E340"/>
  <c r="A340"/>
  <c r="J339"/>
  <c r="F339"/>
  <c r="B339"/>
  <c r="K338"/>
  <c r="G338"/>
  <c r="C338"/>
  <c r="L337"/>
  <c r="H337"/>
  <c r="D337"/>
  <c r="M336"/>
  <c r="I336"/>
  <c r="E336"/>
  <c r="A336"/>
  <c r="J335"/>
  <c r="F335"/>
  <c r="B335"/>
  <c r="K334"/>
  <c r="G334"/>
  <c r="C334"/>
  <c r="L333"/>
  <c r="H333"/>
  <c r="D333"/>
  <c r="M332"/>
  <c r="I332"/>
  <c r="E332"/>
  <c r="A332"/>
  <c r="J331"/>
  <c r="F331"/>
  <c r="B331"/>
  <c r="K330"/>
  <c r="G330"/>
  <c r="C330"/>
  <c r="L329"/>
  <c r="H329"/>
  <c r="D329"/>
  <c r="M328"/>
  <c r="I328"/>
  <c r="E328"/>
  <c r="A328"/>
  <c r="J327"/>
  <c r="F327"/>
  <c r="B327"/>
  <c r="K326"/>
  <c r="G326"/>
  <c r="C326"/>
  <c r="L325"/>
  <c r="H325"/>
  <c r="D325"/>
  <c r="M324"/>
  <c r="I324"/>
  <c r="E324"/>
  <c r="A324"/>
  <c r="J323"/>
  <c r="F323"/>
  <c r="B323"/>
  <c r="K322"/>
  <c r="G322"/>
  <c r="C322"/>
  <c r="L321"/>
  <c r="H321"/>
  <c r="D321"/>
  <c r="M320"/>
  <c r="I320"/>
  <c r="E320"/>
  <c r="A320"/>
  <c r="J319"/>
  <c r="F319"/>
  <c r="B319"/>
  <c r="K318"/>
  <c r="G318"/>
  <c r="C318"/>
  <c r="L317"/>
  <c r="H317"/>
  <c r="D317"/>
  <c r="M316"/>
  <c r="I316"/>
  <c r="E316"/>
  <c r="A316"/>
  <c r="J315"/>
  <c r="F315"/>
  <c r="B315"/>
  <c r="K314"/>
  <c r="G314"/>
  <c r="C314"/>
  <c r="L313"/>
  <c r="H313"/>
  <c r="D313"/>
  <c r="M312"/>
  <c r="I312"/>
  <c r="E312"/>
  <c r="A312"/>
  <c r="J311"/>
  <c r="F311"/>
  <c r="B311"/>
  <c r="K310"/>
  <c r="G310"/>
  <c r="C310"/>
  <c r="L309"/>
  <c r="H309"/>
  <c r="D309"/>
  <c r="M308"/>
  <c r="I308"/>
  <c r="E308"/>
  <c r="A308"/>
  <c r="J307"/>
  <c r="F307"/>
  <c r="B307"/>
  <c r="K306"/>
  <c r="G306"/>
  <c r="C306"/>
  <c r="L305"/>
  <c r="H305"/>
  <c r="D305"/>
  <c r="M304"/>
  <c r="I304"/>
  <c r="E304"/>
  <c r="A304"/>
  <c r="J303"/>
  <c r="F303"/>
  <c r="B303"/>
  <c r="K302"/>
  <c r="G302"/>
  <c r="C302"/>
  <c r="L301"/>
  <c r="H301"/>
  <c r="D301"/>
  <c r="M300"/>
  <c r="I300"/>
  <c r="E300"/>
  <c r="A300"/>
  <c r="J299"/>
  <c r="F299"/>
  <c r="B299"/>
  <c r="K298"/>
  <c r="G298"/>
  <c r="C298"/>
  <c r="L297"/>
  <c r="H297"/>
  <c r="D297"/>
  <c r="M296"/>
  <c r="I296"/>
  <c r="E296"/>
  <c r="A296"/>
  <c r="J295"/>
  <c r="F295"/>
  <c r="B295"/>
  <c r="K294"/>
  <c r="G294"/>
  <c r="C294"/>
  <c r="L293"/>
  <c r="H293"/>
  <c r="D293"/>
  <c r="M292"/>
  <c r="I292"/>
  <c r="E292"/>
  <c r="A292"/>
  <c r="J291"/>
  <c r="F291"/>
  <c r="B291"/>
  <c r="K290"/>
  <c r="G290"/>
  <c r="C290"/>
  <c r="L289"/>
  <c r="H289"/>
  <c r="D289"/>
  <c r="M288"/>
  <c r="I288"/>
  <c r="E288"/>
  <c r="A288"/>
  <c r="J287"/>
  <c r="F287"/>
  <c r="B287"/>
  <c r="K286"/>
  <c r="G286"/>
  <c r="C286"/>
  <c r="L285"/>
  <c r="H285"/>
  <c r="D285"/>
  <c r="M284"/>
  <c r="I284"/>
  <c r="E284"/>
  <c r="A284"/>
  <c r="J283"/>
  <c r="F283"/>
  <c r="B283"/>
  <c r="K282"/>
  <c r="G282"/>
  <c r="C282"/>
  <c r="L281"/>
  <c r="H281"/>
  <c r="D281"/>
  <c r="M280"/>
  <c r="I280"/>
  <c r="E280"/>
  <c r="A280"/>
  <c r="J279"/>
  <c r="F279"/>
  <c r="B279"/>
  <c r="K278"/>
  <c r="G278"/>
  <c r="C278"/>
  <c r="L277"/>
  <c r="H277"/>
  <c r="D277"/>
  <c r="M276"/>
  <c r="I276"/>
  <c r="E276"/>
  <c r="A276"/>
  <c r="J275"/>
  <c r="F275"/>
  <c r="B275"/>
  <c r="K274"/>
  <c r="G274"/>
  <c r="C274"/>
  <c r="L273"/>
  <c r="H273"/>
  <c r="D273"/>
  <c r="M272"/>
  <c r="I272"/>
  <c r="E272"/>
  <c r="A272"/>
  <c r="J271"/>
  <c r="F271"/>
  <c r="B271"/>
  <c r="K270"/>
  <c r="G270"/>
  <c r="C270"/>
  <c r="L269"/>
  <c r="H269"/>
  <c r="D269"/>
  <c r="M268"/>
  <c r="I268"/>
  <c r="E268"/>
  <c r="A268"/>
  <c r="J267"/>
  <c r="F267"/>
  <c r="B267"/>
  <c r="K266"/>
  <c r="G266"/>
  <c r="C266"/>
  <c r="L265"/>
  <c r="H265"/>
  <c r="D265"/>
  <c r="M264"/>
  <c r="I264"/>
  <c r="E264"/>
  <c r="A264"/>
  <c r="J263"/>
  <c r="F263"/>
  <c r="B263"/>
  <c r="K262"/>
  <c r="G262"/>
  <c r="C262"/>
  <c r="L261"/>
  <c r="H261"/>
  <c r="D261"/>
  <c r="M260"/>
  <c r="I260"/>
  <c r="E260"/>
  <c r="A260"/>
  <c r="J259"/>
  <c r="F259"/>
  <c r="B259"/>
  <c r="K258"/>
  <c r="G258"/>
  <c r="C258"/>
  <c r="L257"/>
  <c r="H257"/>
  <c r="D257"/>
  <c r="M256"/>
  <c r="I256"/>
  <c r="E256"/>
  <c r="A256"/>
  <c r="J255"/>
  <c r="F255"/>
  <c r="B255"/>
  <c r="K254"/>
  <c r="G254"/>
  <c r="C254"/>
  <c r="L253"/>
  <c r="H253"/>
  <c r="D253"/>
  <c r="M252"/>
  <c r="I252"/>
  <c r="E252"/>
  <c r="A252"/>
  <c r="J251"/>
  <c r="F251"/>
  <c r="B251"/>
  <c r="K250"/>
  <c r="G250"/>
  <c r="C250"/>
  <c r="L249"/>
  <c r="H249"/>
  <c r="D249"/>
  <c r="M248"/>
  <c r="I248"/>
  <c r="E248"/>
  <c r="A248"/>
  <c r="J247"/>
  <c r="F247"/>
  <c r="B247"/>
  <c r="K246"/>
  <c r="G246"/>
  <c r="C246"/>
  <c r="L245"/>
  <c r="H245"/>
  <c r="D245"/>
  <c r="M244"/>
  <c r="I244"/>
  <c r="E244"/>
  <c r="A244"/>
  <c r="J243"/>
  <c r="F243"/>
  <c r="B243"/>
  <c r="K242"/>
  <c r="G242"/>
  <c r="C242"/>
  <c r="L241"/>
  <c r="H241"/>
  <c r="D241"/>
  <c r="M240"/>
  <c r="I240"/>
  <c r="E240"/>
  <c r="A240"/>
  <c r="J239"/>
  <c r="F239"/>
  <c r="B239"/>
  <c r="K238"/>
  <c r="G238"/>
  <c r="C238"/>
  <c r="L237"/>
  <c r="H237"/>
  <c r="D237"/>
  <c r="M236"/>
  <c r="I236"/>
  <c r="E236"/>
  <c r="A236"/>
  <c r="J235"/>
  <c r="F235"/>
  <c r="B235"/>
  <c r="K234"/>
  <c r="G234"/>
  <c r="C234"/>
  <c r="L233"/>
  <c r="H233"/>
  <c r="D233"/>
  <c r="M232"/>
  <c r="I232"/>
  <c r="E232"/>
  <c r="A232"/>
  <c r="J231"/>
  <c r="F231"/>
  <c r="B231"/>
  <c r="K230"/>
  <c r="G230"/>
  <c r="C230"/>
  <c r="L229"/>
  <c r="H229"/>
  <c r="D229"/>
  <c r="M228"/>
  <c r="I228"/>
  <c r="E228"/>
  <c r="A228"/>
  <c r="J227"/>
  <c r="F227"/>
  <c r="B227"/>
  <c r="K226"/>
  <c r="G226"/>
  <c r="C226"/>
  <c r="L225"/>
  <c r="H225"/>
  <c r="D225"/>
  <c r="M224"/>
  <c r="I224"/>
  <c r="E224"/>
  <c r="A224"/>
  <c r="J223"/>
  <c r="F223"/>
  <c r="B223"/>
  <c r="K222"/>
  <c r="G222"/>
  <c r="C222"/>
  <c r="L221"/>
  <c r="H221"/>
  <c r="D221"/>
  <c r="M220"/>
  <c r="I220"/>
  <c r="E220"/>
  <c r="A220"/>
  <c r="J219"/>
  <c r="F219"/>
  <c r="B219"/>
  <c r="K218"/>
  <c r="G218"/>
  <c r="C218"/>
  <c r="L217"/>
  <c r="H217"/>
  <c r="D217"/>
  <c r="M216"/>
  <c r="I216"/>
  <c r="E216"/>
  <c r="A216"/>
  <c r="J215"/>
  <c r="F215"/>
  <c r="B215"/>
  <c r="K214"/>
  <c r="G214"/>
  <c r="C214"/>
  <c r="L213"/>
  <c r="H213"/>
  <c r="D213"/>
  <c r="M212"/>
  <c r="I212"/>
  <c r="E212"/>
  <c r="A212"/>
  <c r="J211"/>
  <c r="F211"/>
  <c r="B211"/>
  <c r="K210"/>
  <c r="G210"/>
  <c r="C210"/>
  <c r="L209"/>
  <c r="H209"/>
  <c r="D209"/>
  <c r="M208"/>
  <c r="I208"/>
  <c r="E208"/>
  <c r="A208"/>
  <c r="J207"/>
  <c r="F207"/>
  <c r="B207"/>
  <c r="K206"/>
  <c r="G206"/>
  <c r="C206"/>
  <c r="L205"/>
  <c r="H205"/>
  <c r="D205"/>
  <c r="M204"/>
  <c r="I204"/>
  <c r="E204"/>
  <c r="A204"/>
  <c r="J203"/>
  <c r="F203"/>
  <c r="B203"/>
  <c r="K202"/>
  <c r="G202"/>
  <c r="C202"/>
  <c r="L201"/>
  <c r="H201"/>
  <c r="D201"/>
  <c r="M200"/>
  <c r="I200"/>
  <c r="E200"/>
  <c r="A200"/>
  <c r="J199"/>
  <c r="F199"/>
  <c r="B199"/>
  <c r="K198"/>
  <c r="G198"/>
  <c r="C198"/>
  <c r="L197"/>
  <c r="H197"/>
  <c r="D197"/>
  <c r="M196"/>
  <c r="I196"/>
  <c r="E196"/>
  <c r="A196"/>
  <c r="J195"/>
  <c r="F195"/>
  <c r="B195"/>
  <c r="K194"/>
  <c r="G194"/>
  <c r="C194"/>
  <c r="L193"/>
  <c r="H193"/>
  <c r="D193"/>
  <c r="M192"/>
  <c r="I192"/>
  <c r="E192"/>
  <c r="A192"/>
  <c r="J191"/>
  <c r="F191"/>
  <c r="B191"/>
  <c r="K190"/>
  <c r="G190"/>
  <c r="C190"/>
  <c r="L189"/>
  <c r="H189"/>
  <c r="D189"/>
  <c r="M188"/>
  <c r="I188"/>
  <c r="E188"/>
  <c r="A188"/>
  <c r="J187"/>
  <c r="F187"/>
  <c r="B187"/>
  <c r="K186"/>
  <c r="G186"/>
  <c r="C186"/>
  <c r="L185"/>
  <c r="H185"/>
  <c r="D185"/>
  <c r="M184"/>
  <c r="I184"/>
  <c r="E184"/>
  <c r="A184"/>
  <c r="J183"/>
  <c r="F183"/>
  <c r="B183"/>
  <c r="K182"/>
  <c r="G182"/>
  <c r="C182"/>
  <c r="L181"/>
  <c r="H181"/>
  <c r="D181"/>
  <c r="M180"/>
  <c r="I180"/>
  <c r="E180"/>
  <c r="A180"/>
  <c r="J179"/>
  <c r="F179"/>
  <c r="B179"/>
  <c r="K178"/>
  <c r="G178"/>
  <c r="C178"/>
  <c r="L177"/>
  <c r="H177"/>
  <c r="D177"/>
  <c r="M176"/>
  <c r="I176"/>
  <c r="E176"/>
  <c r="A176"/>
  <c r="J175"/>
  <c r="F175"/>
  <c r="B175"/>
  <c r="K174"/>
  <c r="G174"/>
  <c r="C174"/>
  <c r="L173"/>
  <c r="H173"/>
  <c r="D173"/>
  <c r="M172"/>
  <c r="I172"/>
  <c r="E172"/>
  <c r="A172"/>
  <c r="J171"/>
  <c r="F171"/>
  <c r="B171"/>
  <c r="K170"/>
  <c r="G170"/>
  <c r="C170"/>
  <c r="L169"/>
  <c r="H169"/>
  <c r="D169"/>
  <c r="M168"/>
  <c r="I168"/>
  <c r="E168"/>
  <c r="A168"/>
  <c r="J167"/>
  <c r="F167"/>
  <c r="B167"/>
  <c r="K166"/>
  <c r="G166"/>
  <c r="C166"/>
  <c r="L165"/>
  <c r="H165"/>
  <c r="D165"/>
  <c r="M164"/>
  <c r="I164"/>
  <c r="E164"/>
  <c r="A164"/>
  <c r="J163"/>
  <c r="F163"/>
  <c r="B163"/>
  <c r="K162"/>
  <c r="G162"/>
  <c r="C162"/>
  <c r="L161"/>
  <c r="H161"/>
  <c r="D161"/>
  <c r="M160"/>
  <c r="I160"/>
  <c r="E160"/>
  <c r="A160"/>
  <c r="J159"/>
  <c r="F159"/>
  <c r="B159"/>
  <c r="K158"/>
  <c r="G158"/>
  <c r="C158"/>
  <c r="L157"/>
  <c r="H157"/>
  <c r="D157"/>
  <c r="M156"/>
  <c r="I156"/>
  <c r="E156"/>
  <c r="A156"/>
  <c r="J155"/>
  <c r="F155"/>
  <c r="B155"/>
  <c r="K154"/>
  <c r="G154"/>
  <c r="C154"/>
  <c r="L153"/>
  <c r="H153"/>
  <c r="D153"/>
  <c r="M152"/>
  <c r="I152"/>
  <c r="E152"/>
  <c r="A152"/>
  <c r="J151"/>
  <c r="F151"/>
  <c r="B151"/>
  <c r="K150"/>
  <c r="G150"/>
  <c r="C150"/>
  <c r="L149"/>
  <c r="H149"/>
  <c r="D149"/>
  <c r="M148"/>
  <c r="I148"/>
  <c r="E148"/>
  <c r="A148"/>
  <c r="J147"/>
  <c r="F147"/>
  <c r="B147"/>
  <c r="K146"/>
  <c r="G146"/>
  <c r="C146"/>
  <c r="L145"/>
  <c r="H145"/>
  <c r="D145"/>
  <c r="M144"/>
  <c r="I144"/>
  <c r="E144"/>
  <c r="A144"/>
  <c r="J143"/>
  <c r="F143"/>
  <c r="B143"/>
  <c r="K142"/>
  <c r="G142"/>
  <c r="C142"/>
  <c r="L141"/>
  <c r="H141"/>
  <c r="D141"/>
  <c r="M140"/>
  <c r="I140"/>
  <c r="E140"/>
  <c r="A140"/>
  <c r="J139"/>
  <c r="F139"/>
  <c r="B139"/>
  <c r="K138"/>
  <c r="G138"/>
  <c r="C138"/>
  <c r="L137"/>
  <c r="H137"/>
  <c r="D137"/>
  <c r="M136"/>
  <c r="I136"/>
  <c r="E136"/>
  <c r="A136"/>
  <c r="J135"/>
  <c r="F135"/>
  <c r="B135"/>
  <c r="K134"/>
  <c r="G134"/>
  <c r="C134"/>
  <c r="L133"/>
  <c r="H133"/>
  <c r="D133"/>
  <c r="M132"/>
  <c r="I132"/>
  <c r="E132"/>
  <c r="A132"/>
  <c r="J131"/>
  <c r="F131"/>
  <c r="B131"/>
  <c r="K130"/>
  <c r="G130"/>
  <c r="C130"/>
  <c r="L129"/>
  <c r="H129"/>
  <c r="D129"/>
  <c r="M128"/>
  <c r="I128"/>
  <c r="E128"/>
  <c r="A128"/>
  <c r="J127"/>
  <c r="F127"/>
  <c r="B127"/>
  <c r="K126"/>
  <c r="G126"/>
  <c r="C126"/>
  <c r="L125"/>
  <c r="H125"/>
  <c r="D125"/>
  <c r="M124"/>
  <c r="I124"/>
  <c r="E124"/>
  <c r="A124"/>
  <c r="J123"/>
  <c r="F123"/>
  <c r="B123"/>
  <c r="K122"/>
  <c r="G122"/>
  <c r="C122"/>
  <c r="L121"/>
  <c r="H121"/>
  <c r="D121"/>
  <c r="M120"/>
  <c r="I120"/>
  <c r="E120"/>
  <c r="A120"/>
  <c r="J119"/>
  <c r="F119"/>
  <c r="B119"/>
  <c r="K118"/>
  <c r="G118"/>
  <c r="C118"/>
  <c r="L117"/>
  <c r="H117"/>
  <c r="D117"/>
  <c r="M116"/>
  <c r="I116"/>
  <c r="E116"/>
  <c r="A116"/>
  <c r="J115"/>
  <c r="F115"/>
  <c r="B115"/>
  <c r="K114"/>
  <c r="G114"/>
  <c r="C114"/>
  <c r="L113"/>
  <c r="H113"/>
  <c r="D113"/>
  <c r="M112"/>
  <c r="I112"/>
  <c r="E112"/>
  <c r="A112"/>
  <c r="J111"/>
  <c r="F111"/>
  <c r="B111"/>
  <c r="K110"/>
  <c r="G110"/>
  <c r="C110"/>
  <c r="L109"/>
  <c r="H109"/>
  <c r="D109"/>
  <c r="M108"/>
  <c r="I108"/>
  <c r="E108"/>
  <c r="A108"/>
  <c r="J107"/>
  <c r="F107"/>
  <c r="B107"/>
  <c r="K106"/>
  <c r="G106"/>
  <c r="C106"/>
  <c r="L105"/>
  <c r="H105"/>
  <c r="D105"/>
  <c r="M104"/>
  <c r="I104"/>
  <c r="E104"/>
  <c r="A104"/>
  <c r="J103"/>
  <c r="F103"/>
  <c r="B103"/>
  <c r="K102"/>
  <c r="G102"/>
  <c r="C102"/>
  <c r="L101"/>
  <c r="H101"/>
  <c r="D101"/>
  <c r="M100"/>
  <c r="I100"/>
  <c r="E100"/>
  <c r="A100"/>
  <c r="J99"/>
  <c r="F99"/>
  <c r="B99"/>
  <c r="K98"/>
  <c r="G98"/>
  <c r="C98"/>
  <c r="L97"/>
  <c r="H97"/>
  <c r="D97"/>
  <c r="M96"/>
  <c r="I96"/>
  <c r="E96"/>
  <c r="A96"/>
  <c r="J95"/>
  <c r="F95"/>
  <c r="B95"/>
  <c r="K94"/>
  <c r="G94"/>
  <c r="C94"/>
  <c r="L93"/>
  <c r="H93"/>
  <c r="D93"/>
  <c r="M92"/>
  <c r="I92"/>
  <c r="E92"/>
  <c r="A92"/>
  <c r="J91"/>
  <c r="F91"/>
  <c r="B91"/>
  <c r="K90"/>
  <c r="G90"/>
  <c r="C90"/>
  <c r="L89"/>
  <c r="H89"/>
  <c r="D89"/>
  <c r="M88"/>
  <c r="I88"/>
  <c r="E88"/>
  <c r="A88"/>
  <c r="J87"/>
  <c r="F87"/>
  <c r="B87"/>
  <c r="K86"/>
  <c r="G86"/>
  <c r="C86"/>
  <c r="L85"/>
  <c r="H85"/>
  <c r="D85"/>
  <c r="M84"/>
  <c r="I84"/>
  <c r="E84"/>
  <c r="A84"/>
  <c r="J83"/>
  <c r="F83"/>
  <c r="B83"/>
  <c r="K82"/>
  <c r="G82"/>
  <c r="C82"/>
  <c r="L81"/>
  <c r="H81"/>
  <c r="D81"/>
  <c r="M80"/>
  <c r="I80"/>
  <c r="E80"/>
  <c r="A80"/>
  <c r="J79"/>
  <c r="F79"/>
  <c r="B79"/>
  <c r="K78"/>
  <c r="G78"/>
  <c r="C78"/>
  <c r="L77"/>
  <c r="H77"/>
  <c r="D77"/>
  <c r="M76"/>
  <c r="I76"/>
  <c r="E76"/>
  <c r="A76"/>
  <c r="J75"/>
  <c r="F75"/>
  <c r="B75"/>
  <c r="K74"/>
  <c r="G74"/>
  <c r="C74"/>
  <c r="L73"/>
  <c r="H73"/>
  <c r="D73"/>
  <c r="M72"/>
  <c r="I72"/>
  <c r="E72"/>
  <c r="A72"/>
  <c r="J71"/>
  <c r="F71"/>
  <c r="B71"/>
  <c r="K70"/>
  <c r="G70"/>
  <c r="C70"/>
  <c r="L69"/>
  <c r="H69"/>
  <c r="D69"/>
  <c r="M68"/>
  <c r="I68"/>
  <c r="E68"/>
  <c r="A68"/>
  <c r="J67"/>
  <c r="F67"/>
  <c r="B67"/>
  <c r="K66"/>
  <c r="G66"/>
  <c r="C66"/>
  <c r="L65"/>
  <c r="H65"/>
  <c r="D65"/>
  <c r="M64"/>
  <c r="I64"/>
  <c r="E64"/>
  <c r="A64"/>
  <c r="J63"/>
  <c r="F63"/>
  <c r="B63"/>
  <c r="K62"/>
  <c r="G62"/>
  <c r="C62"/>
  <c r="L61"/>
  <c r="H61"/>
  <c r="D61"/>
  <c r="M60"/>
  <c r="I60"/>
  <c r="E60"/>
  <c r="A60"/>
  <c r="J59"/>
  <c r="F59"/>
  <c r="B59"/>
  <c r="K58"/>
  <c r="G58"/>
  <c r="C58"/>
  <c r="L57"/>
  <c r="H57"/>
  <c r="D57"/>
  <c r="M56"/>
  <c r="I56"/>
  <c r="E56"/>
  <c r="A56"/>
  <c r="J55"/>
  <c r="F55"/>
  <c r="B55"/>
  <c r="K54"/>
  <c r="G54"/>
  <c r="C54"/>
  <c r="L53"/>
  <c r="H53"/>
  <c r="D53"/>
  <c r="M52"/>
  <c r="I52"/>
  <c r="E52"/>
  <c r="A52"/>
  <c r="J51"/>
  <c r="F51"/>
  <c r="B51"/>
  <c r="K50"/>
  <c r="G50"/>
  <c r="C50"/>
  <c r="L49"/>
  <c r="H49"/>
  <c r="D49"/>
  <c r="M48"/>
  <c r="I48"/>
  <c r="E48"/>
  <c r="A48"/>
  <c r="J47"/>
  <c r="F47"/>
  <c r="B47"/>
  <c r="K46"/>
  <c r="G46"/>
  <c r="C46"/>
  <c r="L45"/>
  <c r="H45"/>
  <c r="D45"/>
  <c r="M44"/>
  <c r="I44"/>
  <c r="E44"/>
  <c r="A44"/>
  <c r="J43"/>
  <c r="F43"/>
  <c r="B43"/>
  <c r="K42"/>
  <c r="G42"/>
  <c r="C42"/>
  <c r="L41"/>
  <c r="H41"/>
  <c r="D41"/>
  <c r="M40"/>
  <c r="I40"/>
  <c r="E40"/>
  <c r="A40"/>
  <c r="J39"/>
  <c r="F39"/>
  <c r="B39"/>
  <c r="K38"/>
  <c r="G38"/>
  <c r="C38"/>
  <c r="L37"/>
  <c r="H37"/>
  <c r="D37"/>
  <c r="M36"/>
  <c r="I36"/>
  <c r="E36"/>
  <c r="A36"/>
  <c r="J35"/>
  <c r="F35"/>
  <c r="B35"/>
  <c r="K34"/>
  <c r="G34"/>
  <c r="C34"/>
  <c r="L33"/>
  <c r="H33"/>
  <c r="D33"/>
  <c r="M32"/>
  <c r="I32"/>
  <c r="E32"/>
  <c r="A32"/>
  <c r="J31"/>
  <c r="F31"/>
  <c r="B31"/>
  <c r="K30"/>
  <c r="G30"/>
  <c r="C30"/>
  <c r="L29"/>
  <c r="H29"/>
  <c r="D29"/>
  <c r="M28"/>
  <c r="I28"/>
  <c r="E28"/>
  <c r="A28"/>
  <c r="J27"/>
  <c r="F27"/>
  <c r="B27"/>
  <c r="K26"/>
  <c r="G26"/>
  <c r="C26"/>
  <c r="L25"/>
  <c r="H25"/>
  <c r="D25"/>
  <c r="M24"/>
  <c r="I24"/>
  <c r="E24"/>
  <c r="A24"/>
  <c r="J23"/>
  <c r="F23"/>
  <c r="B23"/>
  <c r="K22"/>
  <c r="G22"/>
  <c r="C22"/>
  <c r="L21"/>
  <c r="H21"/>
  <c r="D21"/>
  <c r="M20"/>
  <c r="I20"/>
  <c r="E20"/>
  <c r="A20"/>
  <c r="J19"/>
  <c r="F19"/>
  <c r="B19"/>
  <c r="K18"/>
  <c r="G18"/>
  <c r="C18"/>
  <c r="L17"/>
  <c r="H17"/>
  <c r="D17"/>
  <c r="M16"/>
  <c r="I16"/>
  <c r="E16"/>
  <c r="A16"/>
  <c r="J15"/>
  <c r="F15"/>
  <c r="B15"/>
  <c r="K14"/>
  <c r="G14"/>
  <c r="C14"/>
  <c r="L13"/>
  <c r="H13"/>
  <c r="D13"/>
  <c r="M12"/>
  <c r="I12"/>
  <c r="E12"/>
  <c r="A12"/>
  <c r="J11"/>
  <c r="F11"/>
  <c r="B11"/>
  <c r="K10"/>
  <c r="G10"/>
  <c r="C10"/>
  <c r="L9"/>
  <c r="H9"/>
  <c r="D9"/>
  <c r="M8"/>
  <c r="I8"/>
  <c r="E8"/>
  <c r="A8"/>
  <c r="J7"/>
  <c r="F7"/>
  <c r="B7"/>
  <c r="K6"/>
  <c r="G6"/>
  <c r="C6"/>
  <c r="L5"/>
  <c r="H5"/>
  <c r="D5"/>
  <c r="M4"/>
  <c r="I4"/>
  <c r="E4"/>
  <c r="A4"/>
  <c r="J3"/>
  <c r="F3"/>
  <c r="B3"/>
  <c r="K2"/>
  <c r="G2"/>
  <c r="C2"/>
  <c r="L1"/>
  <c r="H1"/>
  <c r="D1"/>
  <c r="I464"/>
  <c r="F463"/>
  <c r="C462"/>
  <c r="M460"/>
  <c r="J459"/>
  <c r="G458"/>
  <c r="D457"/>
  <c r="A456"/>
  <c r="K454"/>
  <c r="H453"/>
  <c r="E452"/>
  <c r="B451"/>
  <c r="L449"/>
  <c r="I448"/>
  <c r="F447"/>
  <c r="C446"/>
  <c r="M444"/>
  <c r="J443"/>
  <c r="G442"/>
  <c r="D441"/>
  <c r="A440"/>
  <c r="K438"/>
  <c r="H437"/>
  <c r="E436"/>
  <c r="B435"/>
  <c r="L433"/>
  <c r="I432"/>
  <c r="F431"/>
  <c r="C430"/>
  <c r="M428"/>
  <c r="J427"/>
  <c r="G426"/>
  <c r="D425"/>
  <c r="A424"/>
  <c r="K422"/>
  <c r="H421"/>
  <c r="E420"/>
  <c r="B419"/>
  <c r="L417"/>
  <c r="I416"/>
  <c r="F415"/>
  <c r="C414"/>
  <c r="M412"/>
  <c r="J411"/>
  <c r="G410"/>
  <c r="L409"/>
  <c r="D409"/>
  <c r="I408"/>
  <c r="A408"/>
  <c r="F407"/>
  <c r="K406"/>
  <c r="C406"/>
  <c r="H405"/>
  <c r="M404"/>
  <c r="E404"/>
  <c r="J403"/>
  <c r="B403"/>
  <c r="G402"/>
  <c r="L401"/>
  <c r="D401"/>
  <c r="I400"/>
  <c r="A400"/>
  <c r="F399"/>
  <c r="K398"/>
  <c r="C398"/>
  <c r="H397"/>
  <c r="M396"/>
  <c r="E396"/>
  <c r="J395"/>
  <c r="B395"/>
  <c r="G394"/>
  <c r="L393"/>
  <c r="D393"/>
  <c r="I392"/>
  <c r="A392"/>
  <c r="F391"/>
  <c r="K390"/>
  <c r="C390"/>
  <c r="H389"/>
  <c r="M388"/>
  <c r="E388"/>
  <c r="J387"/>
  <c r="B387"/>
  <c r="G386"/>
  <c r="L385"/>
  <c r="D385"/>
  <c r="I384"/>
  <c r="A384"/>
  <c r="F383"/>
  <c r="K382"/>
  <c r="C382"/>
  <c r="H381"/>
  <c r="M380"/>
  <c r="E380"/>
  <c r="J379"/>
  <c r="B379"/>
  <c r="G378"/>
  <c r="L377"/>
  <c r="D377"/>
  <c r="I376"/>
  <c r="A376"/>
  <c r="G375"/>
  <c r="C375"/>
  <c r="L374"/>
  <c r="H374"/>
  <c r="D374"/>
  <c r="M373"/>
  <c r="I373"/>
  <c r="E373"/>
  <c r="A373"/>
  <c r="J372"/>
  <c r="F372"/>
  <c r="B372"/>
  <c r="K371"/>
  <c r="G371"/>
  <c r="C371"/>
  <c r="L370"/>
  <c r="H370"/>
  <c r="D370"/>
  <c r="M369"/>
  <c r="I369"/>
  <c r="E369"/>
  <c r="A369"/>
  <c r="J368"/>
  <c r="F368"/>
  <c r="B368"/>
  <c r="K367"/>
  <c r="G367"/>
  <c r="C367"/>
  <c r="L366"/>
  <c r="H366"/>
  <c r="D366"/>
  <c r="M365"/>
  <c r="I365"/>
  <c r="E365"/>
  <c r="A365"/>
  <c r="J364"/>
  <c r="F364"/>
  <c r="B364"/>
  <c r="K363"/>
  <c r="G363"/>
  <c r="C363"/>
  <c r="L362"/>
  <c r="H362"/>
  <c r="D362"/>
  <c r="M361"/>
  <c r="I361"/>
  <c r="E361"/>
  <c r="A361"/>
  <c r="J360"/>
  <c r="F360"/>
  <c r="K359"/>
  <c r="C359"/>
  <c r="L358"/>
  <c r="H358"/>
  <c r="D358"/>
  <c r="M357"/>
  <c r="I357"/>
  <c r="E357"/>
  <c r="A357"/>
  <c r="J356"/>
  <c r="F356"/>
  <c r="B356"/>
  <c r="K355"/>
  <c r="G355"/>
  <c r="C355"/>
  <c r="L354"/>
  <c r="H354"/>
  <c r="D354"/>
  <c r="M353"/>
  <c r="I353"/>
  <c r="E353"/>
  <c r="A353"/>
  <c r="J352"/>
  <c r="F352"/>
  <c r="B352"/>
  <c r="K351"/>
  <c r="G351"/>
  <c r="C351"/>
  <c r="L350"/>
  <c r="H350"/>
  <c r="D350"/>
  <c r="M349"/>
  <c r="I349"/>
  <c r="E349"/>
  <c r="A349"/>
  <c r="J348"/>
  <c r="F348"/>
  <c r="B348"/>
  <c r="K347"/>
  <c r="G347"/>
  <c r="C347"/>
  <c r="L346"/>
  <c r="H346"/>
  <c r="D346"/>
  <c r="M345"/>
  <c r="I345"/>
  <c r="E345"/>
  <c r="A345"/>
  <c r="J344"/>
  <c r="F344"/>
  <c r="B344"/>
  <c r="K343"/>
  <c r="G343"/>
  <c r="C343"/>
  <c r="L342"/>
  <c r="H342"/>
  <c r="D342"/>
  <c r="M341"/>
  <c r="I341"/>
  <c r="E341"/>
  <c r="A341"/>
  <c r="J340"/>
  <c r="F340"/>
  <c r="B340"/>
  <c r="K339"/>
  <c r="G339"/>
  <c r="C339"/>
  <c r="L338"/>
  <c r="H338"/>
  <c r="D338"/>
  <c r="M337"/>
  <c r="I337"/>
  <c r="E337"/>
  <c r="A337"/>
  <c r="J336"/>
  <c r="F336"/>
  <c r="B336"/>
  <c r="K335"/>
  <c r="G335"/>
  <c r="C335"/>
  <c r="L334"/>
  <c r="H334"/>
  <c r="D334"/>
  <c r="M333"/>
  <c r="I333"/>
  <c r="E333"/>
  <c r="A333"/>
  <c r="J332"/>
  <c r="F332"/>
  <c r="B332"/>
  <c r="K331"/>
  <c r="G331"/>
  <c r="C331"/>
  <c r="L330"/>
  <c r="H330"/>
  <c r="D330"/>
  <c r="M329"/>
  <c r="I329"/>
  <c r="E329"/>
  <c r="A329"/>
  <c r="J328"/>
  <c r="F328"/>
  <c r="B328"/>
  <c r="K327"/>
  <c r="G327"/>
  <c r="C327"/>
  <c r="L326"/>
  <c r="H326"/>
  <c r="D326"/>
  <c r="M325"/>
  <c r="I325"/>
  <c r="E325"/>
  <c r="A325"/>
  <c r="J324"/>
  <c r="F324"/>
  <c r="B324"/>
  <c r="K323"/>
  <c r="G323"/>
  <c r="C323"/>
  <c r="L322"/>
  <c r="H322"/>
  <c r="D322"/>
  <c r="M321"/>
  <c r="E321"/>
  <c r="A321"/>
  <c r="J320"/>
  <c r="F320"/>
  <c r="B320"/>
  <c r="K319"/>
  <c r="G319"/>
  <c r="C319"/>
  <c r="L318"/>
  <c r="H318"/>
  <c r="D318"/>
  <c r="M317"/>
  <c r="E317"/>
  <c r="A317"/>
  <c r="F316"/>
  <c r="K315"/>
  <c r="C315"/>
  <c r="H314"/>
  <c r="M313"/>
  <c r="E313"/>
  <c r="J312"/>
  <c r="B312"/>
  <c r="G311"/>
  <c r="L310"/>
  <c r="D310"/>
  <c r="I309"/>
  <c r="A309"/>
  <c r="F308"/>
  <c r="K307"/>
  <c r="C307"/>
  <c r="H306"/>
  <c r="M305"/>
  <c r="E305"/>
  <c r="J304"/>
  <c r="B304"/>
  <c r="G303"/>
  <c r="L302"/>
  <c r="D302"/>
  <c r="I301"/>
  <c r="J300"/>
  <c r="B300"/>
  <c r="G299"/>
  <c r="L298"/>
  <c r="D298"/>
  <c r="I297"/>
  <c r="A297"/>
  <c r="F296"/>
  <c r="K295"/>
  <c r="C295"/>
  <c r="H294"/>
  <c r="M293"/>
  <c r="E293"/>
  <c r="J292"/>
  <c r="B292"/>
  <c r="G291"/>
  <c r="L290"/>
  <c r="D290"/>
  <c r="I289"/>
  <c r="A289"/>
  <c r="F288"/>
  <c r="K287"/>
  <c r="C287"/>
  <c r="H286"/>
  <c r="M285"/>
  <c r="E285"/>
  <c r="J284"/>
  <c r="K283"/>
  <c r="C283"/>
  <c r="H282"/>
  <c r="M281"/>
  <c r="E281"/>
  <c r="J280"/>
  <c r="B280"/>
  <c r="G279"/>
  <c r="L278"/>
  <c r="D278"/>
  <c r="I277"/>
  <c r="A277"/>
  <c r="F276"/>
  <c r="K275"/>
  <c r="C275"/>
  <c r="D274"/>
  <c r="I273"/>
  <c r="A273"/>
  <c r="F272"/>
  <c r="K271"/>
  <c r="C271"/>
  <c r="H270"/>
  <c r="M269"/>
  <c r="E269"/>
  <c r="F268"/>
  <c r="K267"/>
  <c r="C267"/>
  <c r="H266"/>
  <c r="M265"/>
  <c r="E265"/>
  <c r="F264"/>
  <c r="K263"/>
  <c r="C263"/>
  <c r="D262"/>
  <c r="I261"/>
  <c r="J260"/>
  <c r="B260"/>
  <c r="C259"/>
  <c r="H258"/>
  <c r="I257"/>
  <c r="A257"/>
  <c r="B256"/>
  <c r="G255"/>
  <c r="H254"/>
  <c r="M253"/>
  <c r="E253"/>
  <c r="J252"/>
  <c r="B252"/>
  <c r="G251"/>
  <c r="L250"/>
  <c r="D250"/>
  <c r="I249"/>
  <c r="A249"/>
  <c r="F248"/>
  <c r="K247"/>
  <c r="L246"/>
  <c r="D246"/>
  <c r="I245"/>
  <c r="A245"/>
  <c r="F244"/>
  <c r="K243"/>
  <c r="L242"/>
  <c r="D242"/>
  <c r="E241"/>
  <c r="J240"/>
  <c r="B240"/>
  <c r="G239"/>
  <c r="H238"/>
  <c r="M237"/>
  <c r="E237"/>
  <c r="J236"/>
  <c r="K235"/>
  <c r="C235"/>
  <c r="D234"/>
  <c r="I233"/>
  <c r="J232"/>
  <c r="B232"/>
  <c r="C231"/>
  <c r="H230"/>
  <c r="I229"/>
  <c r="A229"/>
  <c r="B228"/>
  <c r="G227"/>
  <c r="H226"/>
  <c r="M225"/>
  <c r="A225"/>
  <c r="F224"/>
  <c r="G223"/>
  <c r="L222"/>
  <c r="M221"/>
  <c r="E221"/>
  <c r="F220"/>
  <c r="B220"/>
  <c r="G219"/>
  <c r="H218"/>
  <c r="M217"/>
  <c r="A217"/>
  <c r="F216"/>
  <c r="G215"/>
  <c r="L214"/>
  <c r="M213"/>
  <c r="A213"/>
  <c r="F212"/>
  <c r="G211"/>
  <c r="H210"/>
  <c r="M209"/>
  <c r="A209"/>
  <c r="F208"/>
  <c r="G207"/>
  <c r="L206"/>
  <c r="M205"/>
  <c r="A205"/>
  <c r="F204"/>
  <c r="C203"/>
  <c r="H202"/>
  <c r="I201"/>
  <c r="E201"/>
  <c r="F200"/>
  <c r="K199"/>
  <c r="L198"/>
  <c r="D198"/>
  <c r="E197"/>
  <c r="J196"/>
  <c r="K195"/>
  <c r="C195"/>
  <c r="D194"/>
  <c r="I193"/>
  <c r="J192"/>
  <c r="K191"/>
  <c r="C191"/>
  <c r="D190"/>
  <c r="I189"/>
  <c r="A189"/>
  <c r="B188"/>
  <c r="G187"/>
  <c r="H186"/>
  <c r="M185"/>
  <c r="A185"/>
  <c r="B184"/>
  <c r="G183"/>
  <c r="H182"/>
  <c r="M181"/>
  <c r="A181"/>
  <c r="F180"/>
  <c r="G179"/>
  <c r="L178"/>
  <c r="M177"/>
  <c r="E177"/>
  <c r="F176"/>
  <c r="K175"/>
  <c r="L174"/>
  <c r="D174"/>
  <c r="E173"/>
  <c r="F172"/>
  <c r="K171"/>
  <c r="L170"/>
  <c r="D170"/>
  <c r="E169"/>
  <c r="F168"/>
  <c r="K167"/>
  <c r="L166"/>
  <c r="D166"/>
  <c r="I165"/>
  <c r="J164"/>
  <c r="B164"/>
  <c r="G163"/>
  <c r="H162"/>
  <c r="I161"/>
  <c r="J160"/>
  <c r="B160"/>
  <c r="C159"/>
  <c r="H158"/>
  <c r="I157"/>
  <c r="A157"/>
  <c r="F156"/>
  <c r="G155"/>
  <c r="L154"/>
  <c r="M153"/>
  <c r="A153"/>
  <c r="F152"/>
  <c r="G151"/>
  <c r="L150"/>
  <c r="D150"/>
  <c r="E149"/>
  <c r="J148"/>
  <c r="K147"/>
  <c r="C147"/>
  <c r="D146"/>
  <c r="E145"/>
  <c r="J144"/>
  <c r="K143"/>
  <c r="C143"/>
  <c r="D142"/>
  <c r="I141"/>
  <c r="J140"/>
  <c r="B140"/>
  <c r="C139"/>
  <c r="H138"/>
  <c r="I137"/>
  <c r="A137"/>
  <c r="B136"/>
  <c r="G135"/>
  <c r="H134"/>
  <c r="I133"/>
  <c r="J132"/>
  <c r="B132"/>
  <c r="C131"/>
  <c r="H130"/>
  <c r="I129"/>
  <c r="A129"/>
  <c r="B128"/>
  <c r="C127"/>
  <c r="H126"/>
  <c r="I125"/>
  <c r="J124"/>
  <c r="K123"/>
  <c r="C123"/>
  <c r="D122"/>
  <c r="I121"/>
  <c r="J120"/>
  <c r="F120"/>
  <c r="G119"/>
  <c r="H118"/>
  <c r="I117"/>
  <c r="J116"/>
  <c r="K115"/>
  <c r="L114"/>
  <c r="D114"/>
  <c r="A113"/>
  <c r="F112"/>
  <c r="G111"/>
  <c r="D110"/>
  <c r="J108"/>
  <c r="B108"/>
  <c r="L106"/>
  <c r="M105"/>
  <c r="A105"/>
  <c r="K103"/>
  <c r="C103"/>
  <c r="D102"/>
  <c r="A101"/>
  <c r="G99"/>
  <c r="D98"/>
  <c r="A97"/>
  <c r="K95"/>
  <c r="H94"/>
  <c r="I93"/>
  <c r="F92"/>
  <c r="G91"/>
  <c r="D90"/>
  <c r="I89"/>
  <c r="F88"/>
  <c r="G87"/>
  <c r="H86"/>
  <c r="E85"/>
  <c r="B84"/>
  <c r="L82"/>
  <c r="I81"/>
  <c r="A81"/>
  <c r="K79"/>
  <c r="H78"/>
  <c r="M77"/>
  <c r="J76"/>
  <c r="G75"/>
  <c r="H74"/>
  <c r="I73"/>
  <c r="F72"/>
  <c r="C71"/>
  <c r="M69"/>
  <c r="J68"/>
  <c r="G67"/>
  <c r="H66"/>
  <c r="I65"/>
  <c r="F64"/>
  <c r="G63"/>
  <c r="H62"/>
  <c r="I61"/>
  <c r="F60"/>
  <c r="C59"/>
  <c r="M57"/>
  <c r="J56"/>
  <c r="G55"/>
  <c r="D54"/>
  <c r="A53"/>
  <c r="K51"/>
  <c r="L50"/>
  <c r="M49"/>
  <c r="J48"/>
  <c r="K47"/>
  <c r="H46"/>
  <c r="I45"/>
  <c r="J44"/>
  <c r="G43"/>
  <c r="H42"/>
  <c r="I41"/>
  <c r="F40"/>
  <c r="C39"/>
  <c r="M37"/>
  <c r="E37"/>
  <c r="B36"/>
  <c r="L34"/>
  <c r="D34"/>
  <c r="J32"/>
  <c r="G31"/>
  <c r="L30"/>
  <c r="I29"/>
  <c r="J28"/>
  <c r="K27"/>
  <c r="H26"/>
  <c r="E25"/>
  <c r="B24"/>
  <c r="L22"/>
  <c r="M21"/>
  <c r="A21"/>
  <c r="K19"/>
  <c r="H18"/>
  <c r="E17"/>
  <c r="F16"/>
  <c r="C15"/>
  <c r="M13"/>
  <c r="J12"/>
  <c r="B12"/>
  <c r="L10"/>
  <c r="I9"/>
  <c r="J8"/>
  <c r="G7"/>
  <c r="D6"/>
  <c r="A5"/>
  <c r="F4"/>
  <c r="C3"/>
  <c r="M1"/>
  <c r="E1"/>
  <c r="C243"/>
  <c r="H154"/>
  <c r="A125"/>
  <c r="F116"/>
  <c r="M113"/>
  <c r="B112"/>
  <c r="H110"/>
  <c r="E109"/>
  <c r="G107"/>
  <c r="I105"/>
  <c r="F104"/>
  <c r="H102"/>
  <c r="E101"/>
  <c r="B100"/>
  <c r="L98"/>
  <c r="I97"/>
  <c r="B96"/>
  <c r="L94"/>
  <c r="A93"/>
  <c r="K91"/>
  <c r="H90"/>
  <c r="J88"/>
  <c r="C87"/>
  <c r="M85"/>
  <c r="F84"/>
  <c r="C83"/>
  <c r="M81"/>
  <c r="F80"/>
  <c r="L78"/>
  <c r="A77"/>
  <c r="K75"/>
  <c r="D74"/>
  <c r="A73"/>
  <c r="K71"/>
  <c r="H70"/>
  <c r="E69"/>
  <c r="B68"/>
  <c r="D66"/>
  <c r="A65"/>
  <c r="K63"/>
  <c r="M61"/>
  <c r="J60"/>
  <c r="G59"/>
  <c r="D58"/>
  <c r="A57"/>
  <c r="K55"/>
  <c r="H54"/>
  <c r="E53"/>
  <c r="B52"/>
  <c r="D50"/>
  <c r="A49"/>
  <c r="G47"/>
  <c r="M45"/>
  <c r="F44"/>
  <c r="L42"/>
  <c r="E41"/>
  <c r="K39"/>
  <c r="H38"/>
  <c r="J36"/>
  <c r="C35"/>
  <c r="E33"/>
  <c r="B32"/>
  <c r="D30"/>
  <c r="F28"/>
  <c r="C27"/>
  <c r="M25"/>
  <c r="J24"/>
  <c r="C23"/>
  <c r="I21"/>
  <c r="F20"/>
  <c r="C19"/>
  <c r="M17"/>
  <c r="B16"/>
  <c r="H14"/>
  <c r="E13"/>
  <c r="C11"/>
  <c r="M9"/>
  <c r="F8"/>
  <c r="C7"/>
  <c r="I5"/>
  <c r="K3"/>
  <c r="H2"/>
  <c r="A1"/>
</calcChain>
</file>

<file path=xl/sharedStrings.xml><?xml version="1.0" encoding="utf-8"?>
<sst xmlns="http://schemas.openxmlformats.org/spreadsheetml/2006/main" count="13043" uniqueCount="1160">
  <si>
    <t>laptop_ID</t>
  </si>
  <si>
    <t>Company</t>
  </si>
  <si>
    <t>Product</t>
  </si>
  <si>
    <t>TypeName</t>
  </si>
  <si>
    <t>Inches</t>
  </si>
  <si>
    <t>ScreenResolution</t>
  </si>
  <si>
    <t>Cpu</t>
  </si>
  <si>
    <t>Ram</t>
  </si>
  <si>
    <t>Memory</t>
  </si>
  <si>
    <t>Gpu</t>
  </si>
  <si>
    <t>OpSys</t>
  </si>
  <si>
    <t>Weight</t>
  </si>
  <si>
    <t>Price_euros</t>
  </si>
  <si>
    <t>Apple</t>
  </si>
  <si>
    <t>MacBook Pro</t>
  </si>
  <si>
    <t>Ultrabook</t>
  </si>
  <si>
    <t>IPS Panel Retina Display 2560x1600</t>
  </si>
  <si>
    <t>Intel Core i5 2.3GHz</t>
  </si>
  <si>
    <t>8GB</t>
  </si>
  <si>
    <t>128GB SSD</t>
  </si>
  <si>
    <t>Intel Iris Plus Graphics 640</t>
  </si>
  <si>
    <t>macOS</t>
  </si>
  <si>
    <t>1.37kg</t>
  </si>
  <si>
    <t>Macbook Air</t>
  </si>
  <si>
    <t>1440x900</t>
  </si>
  <si>
    <t>Intel Core i5 1.8GHz</t>
  </si>
  <si>
    <t>128GB Flash Storage</t>
  </si>
  <si>
    <t>Intel HD Graphics 6000</t>
  </si>
  <si>
    <t>1.34kg</t>
  </si>
  <si>
    <t>HP</t>
  </si>
  <si>
    <t>250 G6</t>
  </si>
  <si>
    <t>Notebook</t>
  </si>
  <si>
    <t>Full HD 1920x1080</t>
  </si>
  <si>
    <t>Intel Core i5 7200U 2.5GHz</t>
  </si>
  <si>
    <t>256GB SSD</t>
  </si>
  <si>
    <t>Intel HD Graphics 620</t>
  </si>
  <si>
    <t>No OS</t>
  </si>
  <si>
    <t>1.86kg</t>
  </si>
  <si>
    <t>IPS Panel Retina Display 2880x1800</t>
  </si>
  <si>
    <t>Intel Core i7 2.7GHz</t>
  </si>
  <si>
    <t>16GB</t>
  </si>
  <si>
    <t>512GB SSD</t>
  </si>
  <si>
    <t>AMD Radeon Pro 455</t>
  </si>
  <si>
    <t>1.83kg</t>
  </si>
  <si>
    <t>Intel Core i5 3.1GHz</t>
  </si>
  <si>
    <t>Intel Iris Plus Graphics 650</t>
  </si>
  <si>
    <t>Acer</t>
  </si>
  <si>
    <t>Aspire 3</t>
  </si>
  <si>
    <t>1366x768</t>
  </si>
  <si>
    <t>AMD A9-Series 9420 3GHz</t>
  </si>
  <si>
    <t>4GB</t>
  </si>
  <si>
    <t>500GB HDD</t>
  </si>
  <si>
    <t>AMD Radeon R5</t>
  </si>
  <si>
    <t>Windows 10</t>
  </si>
  <si>
    <t>2.1kg</t>
  </si>
  <si>
    <t>Intel Core i7 2.2GHz</t>
  </si>
  <si>
    <t>256GB Flash Storage</t>
  </si>
  <si>
    <t>Intel Iris Pro Graphics</t>
  </si>
  <si>
    <t>Mac OS X</t>
  </si>
  <si>
    <t>2.04kg</t>
  </si>
  <si>
    <t>Asus</t>
  </si>
  <si>
    <t>ZenBook UX430UN</t>
  </si>
  <si>
    <t>Intel Core i7 8550U 1.8GHz</t>
  </si>
  <si>
    <t>Nvidia GeForce MX150</t>
  </si>
  <si>
    <t>1.3kg</t>
  </si>
  <si>
    <t>Swift 3</t>
  </si>
  <si>
    <t>IPS Panel Full HD 1920x1080</t>
  </si>
  <si>
    <t>Intel Core i5 8250U 1.6GHz</t>
  </si>
  <si>
    <t>Intel UHD Graphics 620</t>
  </si>
  <si>
    <t>1.6kg</t>
  </si>
  <si>
    <t>Intel Core i3 6006U 2GHz</t>
  </si>
  <si>
    <t>Intel HD Graphics 520</t>
  </si>
  <si>
    <t>Intel Core i7 2.8GHz</t>
  </si>
  <si>
    <t>AMD Radeon Pro 555</t>
  </si>
  <si>
    <t>Dell</t>
  </si>
  <si>
    <t>Inspiron 3567</t>
  </si>
  <si>
    <t>AMD Radeon R5 M430</t>
  </si>
  <si>
    <t>2.2kg</t>
  </si>
  <si>
    <t>MacBook 12"</t>
  </si>
  <si>
    <t>IPS Panel Retina Display 2304x1440</t>
  </si>
  <si>
    <t>Intel Core M m3 1.2GHz</t>
  </si>
  <si>
    <t>Intel HD Graphics 615</t>
  </si>
  <si>
    <t>0.92kg</t>
  </si>
  <si>
    <t>Intel Core i7 7500U 2.7GHz</t>
  </si>
  <si>
    <t>Intel Core i7 2.9GHz</t>
  </si>
  <si>
    <t>AMD Radeon Pro 560</t>
  </si>
  <si>
    <t>Lenovo</t>
  </si>
  <si>
    <t>IdeaPad 320-15IKB</t>
  </si>
  <si>
    <t>Intel Core i3 7100U 2.4GHz</t>
  </si>
  <si>
    <t>1TB HDD</t>
  </si>
  <si>
    <t>Nvidia GeForce 940MX</t>
  </si>
  <si>
    <t>XPS 13</t>
  </si>
  <si>
    <t>IPS Panel Full HD / Touchscreen 1920x1080</t>
  </si>
  <si>
    <t>1.22kg</t>
  </si>
  <si>
    <t>Vivobook E200HA</t>
  </si>
  <si>
    <t>Netbook</t>
  </si>
  <si>
    <t>Intel Atom x5-Z8350 1.44GHz</t>
  </si>
  <si>
    <t>2GB</t>
  </si>
  <si>
    <t>32GB Flash Storage</t>
  </si>
  <si>
    <t>Intel HD Graphics 400</t>
  </si>
  <si>
    <t>0.98kg</t>
  </si>
  <si>
    <t>Legion Y520-15IKBN</t>
  </si>
  <si>
    <t>Gaming</t>
  </si>
  <si>
    <t>Intel Core i5 7300HQ 2.5GHz</t>
  </si>
  <si>
    <t>128GB SSD +  1TB HDD</t>
  </si>
  <si>
    <t>Nvidia GeForce GTX 1050</t>
  </si>
  <si>
    <t>2.5kg</t>
  </si>
  <si>
    <t>255 G6</t>
  </si>
  <si>
    <t>AMD E-Series E2-9000e 1.5GHz</t>
  </si>
  <si>
    <t>AMD Radeon R2</t>
  </si>
  <si>
    <t>Inspiron 5379</t>
  </si>
  <si>
    <t>2 in 1 Convertible</t>
  </si>
  <si>
    <t>Full HD / Touchscreen 1920x1080</t>
  </si>
  <si>
    <t>1.62kg</t>
  </si>
  <si>
    <t>15-BS101nv (i7-8550U/8GB/256GB/FHD/W10)</t>
  </si>
  <si>
    <t>1.91kg</t>
  </si>
  <si>
    <t>2.3kg</t>
  </si>
  <si>
    <t>MacBook Air</t>
  </si>
  <si>
    <t>Intel Core i5 1.6GHz</t>
  </si>
  <si>
    <t>1.35kg</t>
  </si>
  <si>
    <t>Inspiron 5570</t>
  </si>
  <si>
    <t>AMD Radeon 530</t>
  </si>
  <si>
    <t>Latitude 5590</t>
  </si>
  <si>
    <t>Intel Core i7 8650U 1.9GHz</t>
  </si>
  <si>
    <t>256GB SSD +  256GB SSD</t>
  </si>
  <si>
    <t>1.88kg</t>
  </si>
  <si>
    <t>ProBook 470</t>
  </si>
  <si>
    <t>Nvidia GeForce 930MX</t>
  </si>
  <si>
    <t>Chuwi</t>
  </si>
  <si>
    <t>LapBook 15.6"</t>
  </si>
  <si>
    <t>Intel Atom x5-Z8300 1.44GHz</t>
  </si>
  <si>
    <t>64GB Flash Storage</t>
  </si>
  <si>
    <t>Intel HD Graphics</t>
  </si>
  <si>
    <t>1.89kg</t>
  </si>
  <si>
    <t>E402WA-GA010T (E2-6110/2GB/32GB/W10)</t>
  </si>
  <si>
    <t>AMD E-Series E2-6110 1.5GHz</t>
  </si>
  <si>
    <t>1.65kg</t>
  </si>
  <si>
    <t>17-ak001nv (A6-9220/4GB/500GB/Radeon</t>
  </si>
  <si>
    <t>AMD A6-Series 9220 2.5GHz</t>
  </si>
  <si>
    <t>2.71kg</t>
  </si>
  <si>
    <t>Touchscreen / Quad HD+ 3200x1800</t>
  </si>
  <si>
    <t>1.2kg</t>
  </si>
  <si>
    <t>IdeaPad 120S-14IAP</t>
  </si>
  <si>
    <t>Intel Celeron Dual Core N3350 1.1GHz</t>
  </si>
  <si>
    <t>Intel HD Graphics 500</t>
  </si>
  <si>
    <t>1.44kg</t>
  </si>
  <si>
    <t>Intel Core i3 7130U 2.7GHz</t>
  </si>
  <si>
    <t>Linux</t>
  </si>
  <si>
    <t>Inspiron 5770</t>
  </si>
  <si>
    <t>2.8kg</t>
  </si>
  <si>
    <t>ProBook 450</t>
  </si>
  <si>
    <t xml:space="preserve">Nvidia GeForce 930MX </t>
  </si>
  <si>
    <t>X540UA-DM186 (i3-6006U/4GB/1TB/FHD/Linux)</t>
  </si>
  <si>
    <t>2kg</t>
  </si>
  <si>
    <t>Inspiron 7577</t>
  </si>
  <si>
    <t>Intel Core i7 7700HQ 2.8GHz</t>
  </si>
  <si>
    <t>256GB SSD +  1TB HDD</t>
  </si>
  <si>
    <t>Nvidia GeForce GTX 1060</t>
  </si>
  <si>
    <t>2.65kg</t>
  </si>
  <si>
    <t>X542UQ-GO005 (i5-7200U/8GB/1TB/GeForce</t>
  </si>
  <si>
    <t>Aspire A515-51G</t>
  </si>
  <si>
    <t>Inspiron 7773</t>
  </si>
  <si>
    <t>12GB</t>
  </si>
  <si>
    <t>Nvidia GeForce 150MX</t>
  </si>
  <si>
    <t>2.77kg</t>
  </si>
  <si>
    <t>Intel Core i5 2.0GHz</t>
  </si>
  <si>
    <t>Intel Iris Graphics 540</t>
  </si>
  <si>
    <t>IdeaPad 320-15ISK</t>
  </si>
  <si>
    <t>Rog Strix</t>
  </si>
  <si>
    <t>AMD Ryzen 1700 3GHz</t>
  </si>
  <si>
    <t>AMD Radeon RX 580</t>
  </si>
  <si>
    <t>3.2kg</t>
  </si>
  <si>
    <t>X751NV-TY001T (N4200/4GB/1TB/GeForce</t>
  </si>
  <si>
    <t>Intel Pentium Quad Core N4200 1.1GHz</t>
  </si>
  <si>
    <t>Nvidia GeForce 920MX</t>
  </si>
  <si>
    <t>Yoga Book</t>
  </si>
  <si>
    <t>IPS Panel Touchscreen 1920x1200</t>
  </si>
  <si>
    <t>Intel Atom x5-Z8550 1.44GHz</t>
  </si>
  <si>
    <t>Android</t>
  </si>
  <si>
    <t>0.69kg</t>
  </si>
  <si>
    <t>AMD Radeon R4 Graphics</t>
  </si>
  <si>
    <t>ProBook 430</t>
  </si>
  <si>
    <t>1.49kg</t>
  </si>
  <si>
    <t>2.4kg</t>
  </si>
  <si>
    <t>Inspiron 3576</t>
  </si>
  <si>
    <t>AMD Radeon 520</t>
  </si>
  <si>
    <t>2.13kg</t>
  </si>
  <si>
    <t>15-bs002nv (i3-6006U/4GB/128GB/FHD/W10)</t>
  </si>
  <si>
    <t>VivoBook Max</t>
  </si>
  <si>
    <t>MSI</t>
  </si>
  <si>
    <t>GS73VR 7RG</t>
  </si>
  <si>
    <t>256GB SSD +  2TB HDD</t>
  </si>
  <si>
    <t>Nvidia GeForce GTX 1070</t>
  </si>
  <si>
    <t>2.43kg</t>
  </si>
  <si>
    <t>X541UA-DM1897 (i3-6006U/4GB/256GB/FHD/Linux)</t>
  </si>
  <si>
    <t>Vostro 5471</t>
  </si>
  <si>
    <t>1.7kg</t>
  </si>
  <si>
    <t>IdeaPad 520S-14IKB</t>
  </si>
  <si>
    <t>UX410UA-GV350T (i5-8250U/8GB/256GB/FHD/W10)</t>
  </si>
  <si>
    <t>1.4kg</t>
  </si>
  <si>
    <t>ZenBook Pro</t>
  </si>
  <si>
    <t>Nvidia GeForce GTX 1050 Ti</t>
  </si>
  <si>
    <t>1.8kg</t>
  </si>
  <si>
    <t>Stream 14-AX040wm</t>
  </si>
  <si>
    <t>Intel Celeron Dual Core N3060 1.6GHz</t>
  </si>
  <si>
    <t>32GB SSD</t>
  </si>
  <si>
    <t>V310-15ISK (i5-7200U/4GB/1TB/FHD/W10)</t>
  </si>
  <si>
    <t>1.9kg</t>
  </si>
  <si>
    <t>FX753VE-GC093 (i7-7700HQ/12GB/1TB/GeForce</t>
  </si>
  <si>
    <t>3kg</t>
  </si>
  <si>
    <t>Microsoft</t>
  </si>
  <si>
    <t>Surface Laptop</t>
  </si>
  <si>
    <t>Touchscreen 2256x1504</t>
  </si>
  <si>
    <t>Windows 10 S</t>
  </si>
  <si>
    <t>1.252kg</t>
  </si>
  <si>
    <t>Inspiron 5370</t>
  </si>
  <si>
    <t>GL72M 7RDX</t>
  </si>
  <si>
    <t>2.7kg</t>
  </si>
  <si>
    <t>Aspire E5-475</t>
  </si>
  <si>
    <t>FX503VD-E4022T (i7-7700HQ/8GB/1TB/GeForce</t>
  </si>
  <si>
    <t>IdeaPad 320-15IKBN</t>
  </si>
  <si>
    <t>2TB HDD</t>
  </si>
  <si>
    <t>2.02kg</t>
  </si>
  <si>
    <t>Aspire A515-51G-32MX</t>
  </si>
  <si>
    <t>Nvidia GeForce MX130</t>
  </si>
  <si>
    <t>Intel Core i5 1.3GHz</t>
  </si>
  <si>
    <t>ProBook 440</t>
  </si>
  <si>
    <t>1.63kg</t>
  </si>
  <si>
    <t>IdeaPad 320-15AST</t>
  </si>
  <si>
    <t>AMD R4 Graphics</t>
  </si>
  <si>
    <t>Pavilion 15-CK000nv</t>
  </si>
  <si>
    <t>Nvidia GeForce GTX 940MX</t>
  </si>
  <si>
    <t>1.96kg</t>
  </si>
  <si>
    <t>FX503VM-E4007T (i7-7700HQ/16GB/1TB</t>
  </si>
  <si>
    <t>1.21kg</t>
  </si>
  <si>
    <t>FX550IK-DM018T (FX-9830P/8GB/1TB/Radeon</t>
  </si>
  <si>
    <t>AMD FX 9830P 3GHz</t>
  </si>
  <si>
    <t>AMD Radeon RX 560</t>
  </si>
  <si>
    <t>2.45kg</t>
  </si>
  <si>
    <t>Aspire 5</t>
  </si>
  <si>
    <t>Probook 430</t>
  </si>
  <si>
    <t>Zenbook UX430UA</t>
  </si>
  <si>
    <t>1.25kg</t>
  </si>
  <si>
    <t>Spin 5</t>
  </si>
  <si>
    <t>1.5kg</t>
  </si>
  <si>
    <t>X541UV-DM1439T (i3-7100U/6GB/256GB/GeForce</t>
  </si>
  <si>
    <t>6GB</t>
  </si>
  <si>
    <t>Nvidia GeForce 920M</t>
  </si>
  <si>
    <t>Omen 15-ce007nv</t>
  </si>
  <si>
    <t>2.62kg</t>
  </si>
  <si>
    <t>15-bs017nv (i7-7500U/8GB/256GB/Radeon</t>
  </si>
  <si>
    <t>15-bw000nv (E2-9000e/4GB/500GB/Radeon</t>
  </si>
  <si>
    <t>Envy 13-ad009n</t>
  </si>
  <si>
    <t>1.38kg</t>
  </si>
  <si>
    <t>Pavilion 14-BK001nv</t>
  </si>
  <si>
    <t>1.58kg</t>
  </si>
  <si>
    <t>Ideapad 310-15ISK</t>
  </si>
  <si>
    <t>1.85kg</t>
  </si>
  <si>
    <t>UX430UQ-GV209R (i7-7500U/8GB/256GB/GeForce</t>
  </si>
  <si>
    <t>GP62M 7REX</t>
  </si>
  <si>
    <t>Thinkpad T470</t>
  </si>
  <si>
    <t>VivoBook S15</t>
  </si>
  <si>
    <t>Quad HD+ / Touchscreen 3200x1800</t>
  </si>
  <si>
    <t>Intel Core i7 7560U 2.4GHz</t>
  </si>
  <si>
    <t>1.23kg</t>
  </si>
  <si>
    <t>ThinkPad Yoga</t>
  </si>
  <si>
    <t>Probook 440</t>
  </si>
  <si>
    <t>IPS Panel 1366x768</t>
  </si>
  <si>
    <t>Spectre x360</t>
  </si>
  <si>
    <t>1.26kg</t>
  </si>
  <si>
    <t>Inspiron 7570</t>
  </si>
  <si>
    <t>2.16kg</t>
  </si>
  <si>
    <t>X705UV-BX074T (i3-6006U/4GB/1TB/GeForce</t>
  </si>
  <si>
    <t>Spin 3</t>
  </si>
  <si>
    <t>GS63VR 7RG</t>
  </si>
  <si>
    <t>Probook 470</t>
  </si>
  <si>
    <t>E402WA-GA007T (E2-6110/4GB/64GB/W10</t>
  </si>
  <si>
    <t>AMD E-Series 6110 1.5GHz</t>
  </si>
  <si>
    <t>64GB SSD</t>
  </si>
  <si>
    <t>Inspiron 5567</t>
  </si>
  <si>
    <t>AMD Radeon R7 M445</t>
  </si>
  <si>
    <t>2.36kg</t>
  </si>
  <si>
    <t>Aspire A515-51G-37JS</t>
  </si>
  <si>
    <t>15-BS078nr (i7-7500U/8GB/1TB/W10)</t>
  </si>
  <si>
    <t>2.05kg</t>
  </si>
  <si>
    <t>V110-15IAP (N3350/4GB/1TB/No</t>
  </si>
  <si>
    <t>FX753VD-GC086T (i5-7300HQ/8GB/1TB</t>
  </si>
  <si>
    <t>Envy 13-AD007nv</t>
  </si>
  <si>
    <t>1.32kg</t>
  </si>
  <si>
    <t>ThinkPad E480</t>
  </si>
  <si>
    <t>AMD Radeon RX 550</t>
  </si>
  <si>
    <t>1.75kg</t>
  </si>
  <si>
    <t>Nvidia GeForce GTX 1050M</t>
  </si>
  <si>
    <t>Toshiba</t>
  </si>
  <si>
    <t>Satellite Pro</t>
  </si>
  <si>
    <t>Intel Core i5 6200U 2.3GHz</t>
  </si>
  <si>
    <t>ZenBook UX430UA</t>
  </si>
  <si>
    <t>EliteBook Folio</t>
  </si>
  <si>
    <t>IPS Panel 4K Ultra HD / Touchscreen 3840x2160</t>
  </si>
  <si>
    <t>Intel Core M 6Y75 1.2GHz</t>
  </si>
  <si>
    <t>Intel HD Graphics 515</t>
  </si>
  <si>
    <t>0.97kg</t>
  </si>
  <si>
    <t>X541NA (N3350/4GB/1TB/FHD/W10)</t>
  </si>
  <si>
    <t>GE72MVR 7RG</t>
  </si>
  <si>
    <t>2.9kg</t>
  </si>
  <si>
    <t>Aspire A315-51</t>
  </si>
  <si>
    <t>Inspiron 5577</t>
  </si>
  <si>
    <t>2.56kg</t>
  </si>
  <si>
    <t>Inspiron 7567</t>
  </si>
  <si>
    <t>1.0TB Hybrid</t>
  </si>
  <si>
    <t>V110-15IKB (i5-7200U/4GB/128GB/W10)</t>
  </si>
  <si>
    <t>GE73VR 7RE</t>
  </si>
  <si>
    <t>EliteBook 840</t>
  </si>
  <si>
    <t>Intel Core i5 7500U 2.7GHz</t>
  </si>
  <si>
    <t>1.48kg</t>
  </si>
  <si>
    <t>15-BS103nv (i5-8250U/6GB/256GB/Radeon</t>
  </si>
  <si>
    <t>Yoga 520-14IKB</t>
  </si>
  <si>
    <t>1.74kg</t>
  </si>
  <si>
    <t>ZenBook Flip</t>
  </si>
  <si>
    <t>1.1kg</t>
  </si>
  <si>
    <t>Inspiron 5579</t>
  </si>
  <si>
    <t>1.56kg</t>
  </si>
  <si>
    <t>Intel Core i3 6006U 2.2GHz</t>
  </si>
  <si>
    <t>X555BP-XX180T (A9-9420/4GB/1TB/Radeon</t>
  </si>
  <si>
    <t>AMD Radeon R5 M420</t>
  </si>
  <si>
    <t>2.03kg</t>
  </si>
  <si>
    <t>Aspire A517-51G</t>
  </si>
  <si>
    <t>Aspire A315-31</t>
  </si>
  <si>
    <t>GE63VR 7RE</t>
  </si>
  <si>
    <t>Intel HD Graphics 505</t>
  </si>
  <si>
    <t>Huawei</t>
  </si>
  <si>
    <t>MateBook X</t>
  </si>
  <si>
    <t>IPS Panel Full HD 2160x1440</t>
  </si>
  <si>
    <t>1.05kg</t>
  </si>
  <si>
    <t>17-bs001nv (i5-7200U/6GB/2TB/Radeon</t>
  </si>
  <si>
    <t>AMD A6-Series 9220 2.9GHz</t>
  </si>
  <si>
    <t>GT80S 6QF-074US</t>
  </si>
  <si>
    <t>Intel Core i7 6920HQ 2.9GHz</t>
  </si>
  <si>
    <t>32GB</t>
  </si>
  <si>
    <t>512GB SSD +  1TB HDD</t>
  </si>
  <si>
    <t>Nvidia GTX 980 SLI</t>
  </si>
  <si>
    <t>4.4kg</t>
  </si>
  <si>
    <t>V310-15IKB (i5-7200U/8GB/1TB</t>
  </si>
  <si>
    <t>AMD R17M-M1-70</t>
  </si>
  <si>
    <t>1.90kg</t>
  </si>
  <si>
    <t>1.29kg</t>
  </si>
  <si>
    <t>Yoga 920-13IKB</t>
  </si>
  <si>
    <t>2.0kg</t>
  </si>
  <si>
    <t>Xiaomi</t>
  </si>
  <si>
    <t>Mi Notebook</t>
  </si>
  <si>
    <t>1.95kg</t>
  </si>
  <si>
    <t>XPS 15</t>
  </si>
  <si>
    <t>4K Ultra HD / Touchscreen 3840x2160</t>
  </si>
  <si>
    <t>2.06kg</t>
  </si>
  <si>
    <t>Swift 7</t>
  </si>
  <si>
    <t>Intel Core i5 7Y54 1.2GHz</t>
  </si>
  <si>
    <t>1.12kg</t>
  </si>
  <si>
    <t>Thinkpad Yoga</t>
  </si>
  <si>
    <t>Touchscreen 2560x1440</t>
  </si>
  <si>
    <t>1TB SSD</t>
  </si>
  <si>
    <t>1.42kg</t>
  </si>
  <si>
    <t>Vero</t>
  </si>
  <si>
    <t>K147 (N3350/4GB/32GB/FHD/W10)</t>
  </si>
  <si>
    <t>IdeaPad 320-17IKBR</t>
  </si>
  <si>
    <t>1600x900</t>
  </si>
  <si>
    <t>Razer</t>
  </si>
  <si>
    <t>Blade Pro</t>
  </si>
  <si>
    <t>Intel Core i7 7820HK 2.9GHz</t>
  </si>
  <si>
    <t>Nvidia GeForce GTX 1080</t>
  </si>
  <si>
    <t>3.49kg</t>
  </si>
  <si>
    <t>Omen 17-W295</t>
  </si>
  <si>
    <t>3.35kg</t>
  </si>
  <si>
    <t>IPS Panel 4K Ultra HD 3840x2160</t>
  </si>
  <si>
    <t>V110-15ISK (i5-6200U/4GB/128GB/W10)</t>
  </si>
  <si>
    <t>Aspire E5-576G</t>
  </si>
  <si>
    <t>2.23kg</t>
  </si>
  <si>
    <t>Legion Y720-15IKB</t>
  </si>
  <si>
    <t>Precision 7520</t>
  </si>
  <si>
    <t>Workstation</t>
  </si>
  <si>
    <t>4K Ultra HD 3840x2160</t>
  </si>
  <si>
    <t>Intel Xeon E3-1505M V6 3GHz</t>
  </si>
  <si>
    <t>Nvidia Quadro M1200</t>
  </si>
  <si>
    <t>Touchscreen 1366x768</t>
  </si>
  <si>
    <t>Aspire 7</t>
  </si>
  <si>
    <t>ROG GL703VD-GC028T</t>
  </si>
  <si>
    <t>15-bs018nq (i3-6006U/4GB/500GB/FHD/No</t>
  </si>
  <si>
    <t>IdeaPad 320-17IKB</t>
  </si>
  <si>
    <t>Latitude 5490</t>
  </si>
  <si>
    <t>Portege Z30-C-16L</t>
  </si>
  <si>
    <t>Intel Core i7 6500U 2.5GHz</t>
  </si>
  <si>
    <t>Alienware 17</t>
  </si>
  <si>
    <t>4.42kg</t>
  </si>
  <si>
    <t>Vivobook X541UV-DM1217T</t>
  </si>
  <si>
    <t xml:space="preserve">Nvidia GeForce 920MX </t>
  </si>
  <si>
    <t>K756UX-T4340T (i5-7200U/8GB/500GB</t>
  </si>
  <si>
    <t>256GB SSD +  500GB HDD</t>
  </si>
  <si>
    <t>Nvidia GeForce GTX 950M</t>
  </si>
  <si>
    <t>2.69kg</t>
  </si>
  <si>
    <t>ZBook 15u</t>
  </si>
  <si>
    <t xml:space="preserve">AMD FirePro W4190M </t>
  </si>
  <si>
    <t>Pro P2540UA-XO0198T</t>
  </si>
  <si>
    <t>2.37kg</t>
  </si>
  <si>
    <t>15-rb013nv (E2-9000e/4GB/500GB/W10)</t>
  </si>
  <si>
    <t>AMD E-Series 9000e 1.5GHz</t>
  </si>
  <si>
    <t>Vostro 5468</t>
  </si>
  <si>
    <t>Aspire R7</t>
  </si>
  <si>
    <t>X555QG-DM242T (A10-9620P/4GB/1TB</t>
  </si>
  <si>
    <t>AMD A10-Series A10-9620P 2.5GHz</t>
  </si>
  <si>
    <t>ROG G703VI-E5062T</t>
  </si>
  <si>
    <t>4.7kg</t>
  </si>
  <si>
    <t>Nitro AN515-51</t>
  </si>
  <si>
    <t>VivoBook Pro</t>
  </si>
  <si>
    <t>F756UX-T4201D (i7-7500U/8GB/128GB</t>
  </si>
  <si>
    <t>Yoga 910-13IKB</t>
  </si>
  <si>
    <t>128GB SSD +  2TB HDD</t>
  </si>
  <si>
    <t>15-bs015dx (i5-7200U/8GB/1TB/W10)</t>
  </si>
  <si>
    <t>Rog G701VIK-BA060T</t>
  </si>
  <si>
    <t>3.6kg</t>
  </si>
  <si>
    <t>2.08kg</t>
  </si>
  <si>
    <t>ROG G752VSK-GC493T</t>
  </si>
  <si>
    <t>Nvidia GeForce GTX 980M</t>
  </si>
  <si>
    <t>4.3kg</t>
  </si>
  <si>
    <t>X505BP-BR019T (A9-9420/4GB/1TB/Radeon</t>
  </si>
  <si>
    <t>1.68kg</t>
  </si>
  <si>
    <t>Vostro 5370</t>
  </si>
  <si>
    <t>1.41kg</t>
  </si>
  <si>
    <t>15-BW094nd (A6-9220/8GB/128GB/W10)</t>
  </si>
  <si>
    <t>AMD A6-Series A6-9220 2.5GHz</t>
  </si>
  <si>
    <t>Envy 17-U275cl</t>
  </si>
  <si>
    <t>GT73EVR 7RE</t>
  </si>
  <si>
    <t>4.14kg</t>
  </si>
  <si>
    <t>Yoga 720-15IKB</t>
  </si>
  <si>
    <t>Vostro 3568</t>
  </si>
  <si>
    <t>2.18kg</t>
  </si>
  <si>
    <t>2.24kg</t>
  </si>
  <si>
    <t>2.67kg</t>
  </si>
  <si>
    <t>512GB SSD +  512GB SSD</t>
  </si>
  <si>
    <t>V330-15IKB (i7-8550U/8GB/256GB/FHD/W10)</t>
  </si>
  <si>
    <t>Intel Core i5 2.9GHz</t>
  </si>
  <si>
    <t>Intel Iris Graphics 550</t>
  </si>
  <si>
    <t>2.14kg</t>
  </si>
  <si>
    <t>ThinkPad X1</t>
  </si>
  <si>
    <t>Intel Core i7 6600U 2.6GHz</t>
  </si>
  <si>
    <t>1.36kg</t>
  </si>
  <si>
    <t>Nvidia GeForce 930M</t>
  </si>
  <si>
    <t>IdeaPad 320-17ISK</t>
  </si>
  <si>
    <t>Intel Core i3 6006U 2.0GHz</t>
  </si>
  <si>
    <t>2.25kg</t>
  </si>
  <si>
    <t>Ideapad 320-15IKBN</t>
  </si>
  <si>
    <t>SP315-51 (i7-7500U/12GB/1TB/FHD/W10)</t>
  </si>
  <si>
    <t>2.15kg</t>
  </si>
  <si>
    <t>Thinkpad T570</t>
  </si>
  <si>
    <t>Intel HD Graphics 630</t>
  </si>
  <si>
    <t>Chromebook C910-C2ST</t>
  </si>
  <si>
    <t>Intel Celeron Dual Core 3205U 1.5GHz</t>
  </si>
  <si>
    <t>16GB SSD</t>
  </si>
  <si>
    <t>Chrome OS</t>
  </si>
  <si>
    <t>2.19kg</t>
  </si>
  <si>
    <t>FX753VD-GC071T (i7-7700HQ/8GB/1TB/GeForce</t>
  </si>
  <si>
    <t>17-BS037cl (i3-6006U/8GB/1TB/W10)</t>
  </si>
  <si>
    <t>2.54kg</t>
  </si>
  <si>
    <t>V330-15IKB (i5-8250U/8GB/256GB/FHD/W10)</t>
  </si>
  <si>
    <t>Aspire A715-71G</t>
  </si>
  <si>
    <t>Precision 7720</t>
  </si>
  <si>
    <t>Intel Core i7 7820HQ 2.9GHz</t>
  </si>
  <si>
    <t>3.42kg</t>
  </si>
  <si>
    <t>IdeaPad 310-15ABR</t>
  </si>
  <si>
    <t>AMD A10-Series 9600P 2.4GHz</t>
  </si>
  <si>
    <t>AMD Radeon R5 430</t>
  </si>
  <si>
    <t>ZenBook UX530UQ-PRO</t>
  </si>
  <si>
    <t>VivoBook S14</t>
  </si>
  <si>
    <t>Rog GL702VS-GC095T</t>
  </si>
  <si>
    <t>Nvidia GeForce GTX 940M</t>
  </si>
  <si>
    <t>GL553VE-FY082T (i7-7700HQ/8GB/1TB</t>
  </si>
  <si>
    <t>IdeaPad 320-15IAP</t>
  </si>
  <si>
    <t>EliteBook x360</t>
  </si>
  <si>
    <t>Intel Core i7 7600U 2.8GHz</t>
  </si>
  <si>
    <t>1.28kg</t>
  </si>
  <si>
    <t>IdeaPad 720S-13IKB</t>
  </si>
  <si>
    <t>GE63VR 7RF</t>
  </si>
  <si>
    <t>ES1-523-84K7 (A8-7410/8GB/256GB/FHD/W10)</t>
  </si>
  <si>
    <t>AMD A8-Series 7410 2.2GHz</t>
  </si>
  <si>
    <t>VivoBook Flip</t>
  </si>
  <si>
    <t>2.33kg</t>
  </si>
  <si>
    <t>ThinkPad 13</t>
  </si>
  <si>
    <t>Intel Celeron Dual Core 3855U 1.6GHz</t>
  </si>
  <si>
    <t>16GB Flash Storage</t>
  </si>
  <si>
    <t>Intel HD Graphics 510</t>
  </si>
  <si>
    <t>1.45kg</t>
  </si>
  <si>
    <t>ProBook 640</t>
  </si>
  <si>
    <t>TravelMate B</t>
  </si>
  <si>
    <t>Intel Pentium Quad Core N3710 1.6GHz</t>
  </si>
  <si>
    <t>Intel HD Graphics 405</t>
  </si>
  <si>
    <t>Elitebook 840</t>
  </si>
  <si>
    <t>2.79kg</t>
  </si>
  <si>
    <t>ZenBook UX410UA-GV183T</t>
  </si>
  <si>
    <t>IPS Panel Full HD 1366x768</t>
  </si>
  <si>
    <t>AMD A12-Series 9720P 2.7GHz</t>
  </si>
  <si>
    <t>AMD Radeon RX 540</t>
  </si>
  <si>
    <t>Aspire E5-575</t>
  </si>
  <si>
    <t>Elitebook 820</t>
  </si>
  <si>
    <t>GL72M 7REX</t>
  </si>
  <si>
    <t>UX510UX-CN269T (i7-7500U/8GB/256GB</t>
  </si>
  <si>
    <t>V310-15ISK (i3-6006U/4GB/1TB/FHD/W10)</t>
  </si>
  <si>
    <t>FX553VD-FY647T (i7-7700HQ/8GB/256GB/GeForce</t>
  </si>
  <si>
    <t>Intel Core i5 7300U 2.6GHz</t>
  </si>
  <si>
    <t>Elitebook 850</t>
  </si>
  <si>
    <t>1.84kg</t>
  </si>
  <si>
    <t>X541NA (N3350/4GB/1TB/Linux)</t>
  </si>
  <si>
    <t>Inspiron 3552</t>
  </si>
  <si>
    <t>IdeaPad 320-15ABR</t>
  </si>
  <si>
    <t>AMD A12-Series 9720P 3.6GHz</t>
  </si>
  <si>
    <t>Stream 14-AX001nv</t>
  </si>
  <si>
    <t>512GB SSD +  256GB SSD</t>
  </si>
  <si>
    <t>GP72MVR 7RFX</t>
  </si>
  <si>
    <t>Zbook 15</t>
  </si>
  <si>
    <t>2.6kg</t>
  </si>
  <si>
    <t>Tecra A50-C-21G</t>
  </si>
  <si>
    <t>Latitude 7480</t>
  </si>
  <si>
    <t>Zenbook UX410UA-GV027T</t>
  </si>
  <si>
    <t>15-AY023na (N3710/8GB/2TB/W10)</t>
  </si>
  <si>
    <t>Elitebook 1040</t>
  </si>
  <si>
    <t>512GB SSD +  2TB HDD</t>
  </si>
  <si>
    <t>Nvidia GeForce GT 940MX</t>
  </si>
  <si>
    <t>2.26kg</t>
  </si>
  <si>
    <t>3.25kg</t>
  </si>
  <si>
    <t>IdeaPad 110-17ACL</t>
  </si>
  <si>
    <t>15-bw003nv (A9-Series-9420/4GB/256GB/FHD/W10)</t>
  </si>
  <si>
    <t>Yoga 11e</t>
  </si>
  <si>
    <t>Intel Celeron Quad Core N3450 1.1GHz</t>
  </si>
  <si>
    <t>1.59kg</t>
  </si>
  <si>
    <t>Intel Celeron Dual Core N3060 1.60GHz</t>
  </si>
  <si>
    <t>VivoBook E403NA</t>
  </si>
  <si>
    <t>Omen 17-w212nv</t>
  </si>
  <si>
    <t>V310-15ISK (i3-6006U/4GB/128GB/FHD/No</t>
  </si>
  <si>
    <t>ROG Strix</t>
  </si>
  <si>
    <t>IdeaPad 720S-14IKB</t>
  </si>
  <si>
    <t>Zenbook Flip</t>
  </si>
  <si>
    <t>Thinkpad X1</t>
  </si>
  <si>
    <t>IPS Panel 2560x1440</t>
  </si>
  <si>
    <t>1.13kg</t>
  </si>
  <si>
    <t>Ideapad 510S-13IKB</t>
  </si>
  <si>
    <t>Precision 3510</t>
  </si>
  <si>
    <t>Intel Core i5 6440HQ 2.6GHz</t>
  </si>
  <si>
    <t>AMD FirePro W5130M</t>
  </si>
  <si>
    <t>Precision 5520</t>
  </si>
  <si>
    <t>Intel Core i7 6820HQ 2.7GHz</t>
  </si>
  <si>
    <t>Rog GL753VD-GC042T</t>
  </si>
  <si>
    <t>Rog GL753VE-GC070T</t>
  </si>
  <si>
    <t>Leopard GP72M</t>
  </si>
  <si>
    <t>15-BW004nv (A9-9420/4GB/256GB/Radeon</t>
  </si>
  <si>
    <t>ThinkPad E580</t>
  </si>
  <si>
    <t>ThinkPad L470</t>
  </si>
  <si>
    <t>Precision M5520</t>
  </si>
  <si>
    <t>1.78kg</t>
  </si>
  <si>
    <t>FX753VD-GC461T (i7-7700HQ/16GB/1TB</t>
  </si>
  <si>
    <t>GE73VR 7RF</t>
  </si>
  <si>
    <t>Zenbook 3</t>
  </si>
  <si>
    <t>1.10kg</t>
  </si>
  <si>
    <t>Portege Z30-C-16P</t>
  </si>
  <si>
    <t>Lenovo IdeaPad</t>
  </si>
  <si>
    <t>1.15kg</t>
  </si>
  <si>
    <t>ThinkPad P51</t>
  </si>
  <si>
    <t>Thinkpad T470p</t>
  </si>
  <si>
    <t>IPS Panel Full HD 2560x1440</t>
  </si>
  <si>
    <t>15-BS028nv (i3-6006U/4GB/1TB/Radeon</t>
  </si>
  <si>
    <t>1.27kg</t>
  </si>
  <si>
    <t>Latitude 3380</t>
  </si>
  <si>
    <t>EliteBook 1040</t>
  </si>
  <si>
    <t>1.43kg</t>
  </si>
  <si>
    <t>LapBook 12.3</t>
  </si>
  <si>
    <t>IPS Panel Retina Display 2736x1824</t>
  </si>
  <si>
    <t>ProBook 650</t>
  </si>
  <si>
    <t>2.31kg</t>
  </si>
  <si>
    <t>X542UQ-DM117 (i3-7100U/8GB/1TB/GeForce</t>
  </si>
  <si>
    <t>Latitude 5480</t>
  </si>
  <si>
    <t>Omen 17-w207nv</t>
  </si>
  <si>
    <t>Mediacom</t>
  </si>
  <si>
    <t>FlexBook Edge</t>
  </si>
  <si>
    <t>1.16kg</t>
  </si>
  <si>
    <t>Samsung</t>
  </si>
  <si>
    <t>Chromebook 3</t>
  </si>
  <si>
    <t>Thinkpad 13</t>
  </si>
  <si>
    <t>IdeaPad 320s-14IKB</t>
  </si>
  <si>
    <t>Thinkpad P51</t>
  </si>
  <si>
    <t>Nvidia Quadro M2200M</t>
  </si>
  <si>
    <t>AMD Ryzen 1600 3.2GHz</t>
  </si>
  <si>
    <t>15-ra044nv (N3060/4GB/500GB/W10)</t>
  </si>
  <si>
    <t>Google</t>
  </si>
  <si>
    <t>Pixelbook (Core</t>
  </si>
  <si>
    <t>Touchscreen 2400x1600</t>
  </si>
  <si>
    <t>Intel Core i7 7Y75 1.3GHz</t>
  </si>
  <si>
    <t>ThinkPad T470s</t>
  </si>
  <si>
    <t>2560x1440</t>
  </si>
  <si>
    <t>24GB</t>
  </si>
  <si>
    <t>AMD Radeon R4</t>
  </si>
  <si>
    <t>ThinkPad X270</t>
  </si>
  <si>
    <t>Omen 15-AX205na</t>
  </si>
  <si>
    <t>Intel Core i5 7440HQ 2.8GHz</t>
  </si>
  <si>
    <t>1.64kg</t>
  </si>
  <si>
    <t>Aspire ES1-572</t>
  </si>
  <si>
    <t>Precision 3520</t>
  </si>
  <si>
    <t>64GB Flash Storage +  1TB HDD</t>
  </si>
  <si>
    <t>Nvidia Quadro M620</t>
  </si>
  <si>
    <t>GV62 7RD-1686NL</t>
  </si>
  <si>
    <t>Intel Core i7 7660U 2.5GHz</t>
  </si>
  <si>
    <t>15-bs024nv (i5-7200U/8GB/128GB/W10)</t>
  </si>
  <si>
    <t>2.17kg</t>
  </si>
  <si>
    <t>ThinkPad T470</t>
  </si>
  <si>
    <t>Inspiron 3168</t>
  </si>
  <si>
    <t>1.47kg</t>
  </si>
  <si>
    <t>Intel Core i7 7700HQ 2.7GHz</t>
  </si>
  <si>
    <t>Intel Core M m3-7Y30 2.2GHz</t>
  </si>
  <si>
    <t>17-BS092ND (i3-6006U/8GB/256GB/W10)</t>
  </si>
  <si>
    <t>Pro P2540UA-AB51</t>
  </si>
  <si>
    <t>IdeaPad 510s-14IKB</t>
  </si>
  <si>
    <t>AMD Radeon R7 M460</t>
  </si>
  <si>
    <t>X541NA-PD1003Y (N4200/4GB/500GB/W10)</t>
  </si>
  <si>
    <t>Omen 17-an006nv</t>
  </si>
  <si>
    <t>3.78kg</t>
  </si>
  <si>
    <t>Thinkpad T460s</t>
  </si>
  <si>
    <t>IPS Panel Quad HD+ 2560x1440</t>
  </si>
  <si>
    <t>Intel Core i5 7Y57 1.2GHz</t>
  </si>
  <si>
    <t>Latitude 7390</t>
  </si>
  <si>
    <t>Intel Core i7 6700HQ 2.6GHz</t>
  </si>
  <si>
    <t>Intel HD Graphics 530</t>
  </si>
  <si>
    <t>Latitude E5470</t>
  </si>
  <si>
    <t>Intel Core i3 6100U 2.3GHz</t>
  </si>
  <si>
    <t>1.79kg</t>
  </si>
  <si>
    <t>180GB SSD</t>
  </si>
  <si>
    <t>Portege X30-D-10J</t>
  </si>
  <si>
    <t>Lapbook 15,6</t>
  </si>
  <si>
    <t>ThinkPad E570</t>
  </si>
  <si>
    <t>Thinkpad X270</t>
  </si>
  <si>
    <t>Zenbook UX390UA</t>
  </si>
  <si>
    <t>0.91kg</t>
  </si>
  <si>
    <t>Thinkpad E570</t>
  </si>
  <si>
    <t>Portege X30-D-10L</t>
  </si>
  <si>
    <t>1.99kg</t>
  </si>
  <si>
    <t>AMD A10-Series 9620P 2.5GHz</t>
  </si>
  <si>
    <t>Rog G752VL-UH71T</t>
  </si>
  <si>
    <t>Nvidia GeForce GTX 965M</t>
  </si>
  <si>
    <t>4.33kg</t>
  </si>
  <si>
    <t>Thinkpad X260</t>
  </si>
  <si>
    <t>Ideapad 520-15IKBR</t>
  </si>
  <si>
    <t>ThinkPad L570</t>
  </si>
  <si>
    <t>VivoBook E201NA</t>
  </si>
  <si>
    <t>15-BS026nv (i5-7200U/8GB/256GB/Radeon</t>
  </si>
  <si>
    <t>IdeaPad 320-14IAP</t>
  </si>
  <si>
    <t>Chromebook N23</t>
  </si>
  <si>
    <t>ZenBook UX510UX-CN211T</t>
  </si>
  <si>
    <t>Aspire A515-51G-59QF</t>
  </si>
  <si>
    <t>Envy 13-AB002nv</t>
  </si>
  <si>
    <t>Vostro 5568</t>
  </si>
  <si>
    <t>VivoBook E12</t>
  </si>
  <si>
    <t>15-bs190od (i5-8250U/4GB/1TB/W10)</t>
  </si>
  <si>
    <t>ROG Zephyrus</t>
  </si>
  <si>
    <t>Nvidia GeForce GTX1080</t>
  </si>
  <si>
    <t>Probook 450</t>
  </si>
  <si>
    <t>FX753VE-GC155T (i7-7700HQ/16GB/1TB</t>
  </si>
  <si>
    <t>Nvidia GeForce GTX1050 Ti</t>
  </si>
  <si>
    <t>Spectre X360</t>
  </si>
  <si>
    <t>Windows 7</t>
  </si>
  <si>
    <t>Latitude 5580</t>
  </si>
  <si>
    <t>Zenbook UX510UW-FI095T</t>
  </si>
  <si>
    <t>Nvidia GeForce GTX 960M</t>
  </si>
  <si>
    <t>SmartBook Edge</t>
  </si>
  <si>
    <t>1.93kg</t>
  </si>
  <si>
    <t>Omen 15-ce006nv</t>
  </si>
  <si>
    <t>Thinkpad E470</t>
  </si>
  <si>
    <t>1.87kg</t>
  </si>
  <si>
    <t>Envy 13-AB020nr</t>
  </si>
  <si>
    <t>IPS Panel Quad HD+ 3200x1800</t>
  </si>
  <si>
    <t>VivoBook X540YA-XX519T</t>
  </si>
  <si>
    <t>AMD E-Series 7110 1.8GHz</t>
  </si>
  <si>
    <t>AMD Radeon R2 Graphics</t>
  </si>
  <si>
    <t>ThinkPad E470</t>
  </si>
  <si>
    <t>V310-15ISK (i5-6200U/4GB/1TB/FHD/No</t>
  </si>
  <si>
    <t>ThinkPad T570</t>
  </si>
  <si>
    <t>17-X047na (i3-6006U/8GB/1TB/W10)</t>
  </si>
  <si>
    <t>2.63kg</t>
  </si>
  <si>
    <t>A541NA-GO342 (N3350/4GB/500GB/Linux)</t>
  </si>
  <si>
    <t>SmartBook 130</t>
  </si>
  <si>
    <t>15-bw007nv (A10-9620P/6GB/128GB/Radeon</t>
  </si>
  <si>
    <t>Spin SP111-31</t>
  </si>
  <si>
    <t>Intel Celeron Dual Core N3350 2.0GHz</t>
  </si>
  <si>
    <t>V330-15IKB (i3-7130U/4GB/128GB/FHD/W10)</t>
  </si>
  <si>
    <t>EliteBook 1030</t>
  </si>
  <si>
    <t>IPS Panel Quad HD+ / Touchscreen 3200x1800</t>
  </si>
  <si>
    <t>Thinkpad P71</t>
  </si>
  <si>
    <t>Nvidia Quadro M620M</t>
  </si>
  <si>
    <t>3.4kg</t>
  </si>
  <si>
    <t>FX553VD-DM627T (i5-7300HQ/8GB/1TB</t>
  </si>
  <si>
    <t>Fujitsu</t>
  </si>
  <si>
    <t>Lifebook A557</t>
  </si>
  <si>
    <t>ZBook 17</t>
  </si>
  <si>
    <t>3.14kg</t>
  </si>
  <si>
    <t>14-am079na (N3710/8GB/2TB/W10)</t>
  </si>
  <si>
    <t>1.94kg</t>
  </si>
  <si>
    <t>15-cd005nv (A9-9420/6GB/256GB/Radeon</t>
  </si>
  <si>
    <t>AMD A9-Series A9-9420 3GHz</t>
  </si>
  <si>
    <t>V330-15IKB (i5-8250U/4GB/500GB/FHD/W10)</t>
  </si>
  <si>
    <t>SmartBook 141</t>
  </si>
  <si>
    <t>Tecra X40-D-10H</t>
  </si>
  <si>
    <t>1.24kg</t>
  </si>
  <si>
    <t>IdeaPad Y910-17ISK</t>
  </si>
  <si>
    <t>Intel Core i7 6820HK 2.7GHz</t>
  </si>
  <si>
    <t>4.6kg</t>
  </si>
  <si>
    <t>GT73VR Titan</t>
  </si>
  <si>
    <t>Chromebook 11</t>
  </si>
  <si>
    <t>GT80S 6QE</t>
  </si>
  <si>
    <t>4.5kg</t>
  </si>
  <si>
    <t>Omen 17-AN010nv</t>
  </si>
  <si>
    <t>Ideapad 320-15IKBR</t>
  </si>
  <si>
    <t>2.73kg</t>
  </si>
  <si>
    <t>TP501UA-CJ131T (i5-7200U/8GB/1TB/W10)</t>
  </si>
  <si>
    <t>Inspiron 3179</t>
  </si>
  <si>
    <t>Intel Core M 7Y30 1.0GHz</t>
  </si>
  <si>
    <t>1.39kg</t>
  </si>
  <si>
    <t>Notebook Odyssey</t>
  </si>
  <si>
    <t>V320-17ISK (i3-6006U/4GB/500GB/FHD/No</t>
  </si>
  <si>
    <t>IdeaPad 110-15ISK</t>
  </si>
  <si>
    <t>2.29kg</t>
  </si>
  <si>
    <t>Latitude 5289</t>
  </si>
  <si>
    <t>EliteBook 850</t>
  </si>
  <si>
    <t>Aspire 1</t>
  </si>
  <si>
    <t>Laptop MSI</t>
  </si>
  <si>
    <t>Nvidia GeForce GTX 970M</t>
  </si>
  <si>
    <t>GS63VR 7RF</t>
  </si>
  <si>
    <t>Tecra Z50-C-144</t>
  </si>
  <si>
    <t>IdeaPad 310-15IKB</t>
  </si>
  <si>
    <t>Swift SF114-31-P5HY</t>
  </si>
  <si>
    <t>Intel Xeon E3-1535M v6 3.1GHz</t>
  </si>
  <si>
    <t>Inspiron 7559</t>
  </si>
  <si>
    <t>Nvidia GeForce GTX 960&lt;U+039C&gt;</t>
  </si>
  <si>
    <t>2.59kg</t>
  </si>
  <si>
    <t>FX753VD-GC007T (i7-7700HQ/8GB/1TB</t>
  </si>
  <si>
    <t>GT62VR 7RE</t>
  </si>
  <si>
    <t>2.94kg</t>
  </si>
  <si>
    <t>CB5-132T-C9KK (N3160/4GB/32GB/Chrome</t>
  </si>
  <si>
    <t>IPS Panel Touchscreen 1366x768</t>
  </si>
  <si>
    <t>Intel Celeron Quad Core N3160 1.6GHz</t>
  </si>
  <si>
    <t>LifeBook A557</t>
  </si>
  <si>
    <t>SmartBook 140</t>
  </si>
  <si>
    <t>Q304UA-BHI5T11 (i5-7200U/6GB/1TB/FHD/W10)</t>
  </si>
  <si>
    <t>ZenBook 3</t>
  </si>
  <si>
    <t>V330-15IKB (i5-8250U/4GB/256GB/FHD/W10)</t>
  </si>
  <si>
    <t>Ideapad 320-15ISK</t>
  </si>
  <si>
    <t>X541NA-GO414T (N3350/8GB/1TB/W10)</t>
  </si>
  <si>
    <t>IdeaPad 100S-14IBR</t>
  </si>
  <si>
    <t>17-AK091ND (A9-9420/8GB/1TB/W10)</t>
  </si>
  <si>
    <t>1.14kg</t>
  </si>
  <si>
    <t>ROG GL553VE-FY022</t>
  </si>
  <si>
    <t>Extensa EX2540</t>
  </si>
  <si>
    <t>Intel Graphics 620</t>
  </si>
  <si>
    <t>Portege Z30-C-16J</t>
  </si>
  <si>
    <t>ROG G701VI</t>
  </si>
  <si>
    <t>3.8kg</t>
  </si>
  <si>
    <t>A715-71G-59DH (i5-7300HQ/8GB/1TB/GeForce</t>
  </si>
  <si>
    <t>GL62M 7REX</t>
  </si>
  <si>
    <t>Tecra A50-D-11M</t>
  </si>
  <si>
    <t>IdeaPad Y700-15ISK</t>
  </si>
  <si>
    <t>Nvidia GeForce GTX 960</t>
  </si>
  <si>
    <t>3.31kg</t>
  </si>
  <si>
    <t>Latitude E7470</t>
  </si>
  <si>
    <t>Intel Core i5 6300U 2.4GHz</t>
  </si>
  <si>
    <t>Ideapad 320-15IAP</t>
  </si>
  <si>
    <t>15-ay047nv (i3-6006U/6GB/1TB/Radeon</t>
  </si>
  <si>
    <t>1920x1080</t>
  </si>
  <si>
    <t>GP72VR Leopard</t>
  </si>
  <si>
    <t>Intel Core i3 6100U 2.1GHz</t>
  </si>
  <si>
    <t>Latitude 3580</t>
  </si>
  <si>
    <t>15-bs012nv (i7-7500U/8GB/1TB/Radeon</t>
  </si>
  <si>
    <t>Tecra Z50-D-10E</t>
  </si>
  <si>
    <t>V310-15ISK (i5-7200U/8GB/1TB</t>
  </si>
  <si>
    <t>Yoga 720-13IKB</t>
  </si>
  <si>
    <t>AMD E-Series E2-9000 2.2GHz</t>
  </si>
  <si>
    <t>Pavilion X360</t>
  </si>
  <si>
    <t>GP62 7RDX</t>
  </si>
  <si>
    <t>Chromebook X360</t>
  </si>
  <si>
    <t>LG</t>
  </si>
  <si>
    <t>Gram 15Z975</t>
  </si>
  <si>
    <t>1.09kg</t>
  </si>
  <si>
    <t>Aspire VX5-591G</t>
  </si>
  <si>
    <t>GV62M 7RD</t>
  </si>
  <si>
    <t>L502NA-GO052T (N3350/4GB/128GB/W10)</t>
  </si>
  <si>
    <t>Alienware 15</t>
  </si>
  <si>
    <t>3.21kg</t>
  </si>
  <si>
    <t>17-bs000nv I3</t>
  </si>
  <si>
    <t>AMD Radeon R5 520</t>
  </si>
  <si>
    <t>Yoga 730</t>
  </si>
  <si>
    <t>1.19kg</t>
  </si>
  <si>
    <t>17-Y002nv (A10-9600P/6GB/2TB/Radeon</t>
  </si>
  <si>
    <t>AMD Radeon R7 M440</t>
  </si>
  <si>
    <t>V110-15ISK (3855U/4GB/500GB/W10)</t>
  </si>
  <si>
    <t>Chromebook 14</t>
  </si>
  <si>
    <t>IdeaPad 520s-14IKB</t>
  </si>
  <si>
    <t>TravelMate B117-M</t>
  </si>
  <si>
    <t>Intel Celeron Dual Core N3050 1.6GHz</t>
  </si>
  <si>
    <t>Chromebook Flip</t>
  </si>
  <si>
    <t>Intel Core M M3-6Y30 0.9GHz</t>
  </si>
  <si>
    <t>Portege Z30T-C-133</t>
  </si>
  <si>
    <t>15-bs011nv (i7-7500U/4GB/500GB/Radeon</t>
  </si>
  <si>
    <t>AMD A9-Series 9420 2.9GHz</t>
  </si>
  <si>
    <t>AMD Radeon R7</t>
  </si>
  <si>
    <t>V310-15IKB (i5-7200U/4GB/1TB/FHD/W10)</t>
  </si>
  <si>
    <t>1TB HDD +  1TB HDD</t>
  </si>
  <si>
    <t>V310-15ISK (i3-6006U/4GB/500GB/No</t>
  </si>
  <si>
    <t>ThinkPad P51s</t>
  </si>
  <si>
    <t>Nvidia Quadro M520M</t>
  </si>
  <si>
    <t>Thinkpad T460p</t>
  </si>
  <si>
    <t>Intel Core i5 6300HQ 2.3GHz</t>
  </si>
  <si>
    <t>17-ak002nv (A10-9620P/6GB/2TB/Radeon</t>
  </si>
  <si>
    <t>1.98kg</t>
  </si>
  <si>
    <t>110-15ACL (A6-7310/4GB/500GB/W10)</t>
  </si>
  <si>
    <t>AMD A6-Series 7310 2GHz</t>
  </si>
  <si>
    <t>Smartbook 142</t>
  </si>
  <si>
    <t>IPS Panel Full HD 1920x1200</t>
  </si>
  <si>
    <t>Intel Atom Z8350 1.92GHz</t>
  </si>
  <si>
    <t>32GB HDD</t>
  </si>
  <si>
    <t>1.17kg</t>
  </si>
  <si>
    <t>1TB SSD +  1TB HDD</t>
  </si>
  <si>
    <t>4.36kg</t>
  </si>
  <si>
    <t>V310-15IKB (i5-7200U/4GB/1TB/No</t>
  </si>
  <si>
    <t>Inspiron 5378</t>
  </si>
  <si>
    <t>1.71kg</t>
  </si>
  <si>
    <t>2.32kg</t>
  </si>
  <si>
    <t>15-BW037na (A9-9420/4GB/1TB/Radeon</t>
  </si>
  <si>
    <t>Predator 17</t>
  </si>
  <si>
    <t>4.2kg</t>
  </si>
  <si>
    <t>15-BW091ND (A9-9420/6GB/1TB</t>
  </si>
  <si>
    <t>Extensa EX2540-58KR</t>
  </si>
  <si>
    <t>V310-15IKB (i7-7500U/4GB/1TB/FHD/W10)</t>
  </si>
  <si>
    <t>ZBook 15</t>
  </si>
  <si>
    <t>Nvidia Quadro M2200</t>
  </si>
  <si>
    <t>1.55kg</t>
  </si>
  <si>
    <t>Inspiron 7560</t>
  </si>
  <si>
    <t>Tecra X40-D-10G</t>
  </si>
  <si>
    <t>Flex 5</t>
  </si>
  <si>
    <t>Thinkpad P51s</t>
  </si>
  <si>
    <t>Notebook 9</t>
  </si>
  <si>
    <t>0.81kg</t>
  </si>
  <si>
    <t>Zbook 17</t>
  </si>
  <si>
    <t>Intel Xeon E3-1535M v5 2.9GHz</t>
  </si>
  <si>
    <t>Nvidia Quadro M2000M</t>
  </si>
  <si>
    <t>N23 (N3060/4GB/128GB/W10)</t>
  </si>
  <si>
    <t>X550VX-XX015D (i5-6300HQ/4GB/1TB/GeForce</t>
  </si>
  <si>
    <t>Thinkpad T460</t>
  </si>
  <si>
    <t>Pro P2540UA-XO0192R</t>
  </si>
  <si>
    <t>Yoga 900-13ISK</t>
  </si>
  <si>
    <t>Intel Core i5 6260U 1.8GHz</t>
  </si>
  <si>
    <t>Intel HD Graphics 540</t>
  </si>
  <si>
    <t>15-cb003na (i5-7300HQ/8GB/1TB</t>
  </si>
  <si>
    <t>Nvidia Quadro M1000M</t>
  </si>
  <si>
    <t>Latitude 7280</t>
  </si>
  <si>
    <t>1.18kg</t>
  </si>
  <si>
    <t>Zenbook UX330UA-AH5Q</t>
  </si>
  <si>
    <t>TravelMate P238-M</t>
  </si>
  <si>
    <t>X751NV-TY001 (N4200/4GB/1TB/GeForce</t>
  </si>
  <si>
    <t>IPS Panel Touchscreen / 4K Ultra HD 3840x2160</t>
  </si>
  <si>
    <t>2.72kg</t>
  </si>
  <si>
    <t>1.31kg</t>
  </si>
  <si>
    <t>AMD Radeon 540</t>
  </si>
  <si>
    <t>Tecra A40-C-1E5</t>
  </si>
  <si>
    <t>EliteBook 820</t>
  </si>
  <si>
    <t>Q524UQ-BHI7T15 (i7-7500U/12GB/2TB/GeForce</t>
  </si>
  <si>
    <t>Thinkpad P50</t>
  </si>
  <si>
    <t>Vivobook Max</t>
  </si>
  <si>
    <t>Intel Pentium Dual Core N4200 1.1GHz</t>
  </si>
  <si>
    <t>Nvidia GeForce GTX 1070M</t>
  </si>
  <si>
    <t>Rog G752VS-BA171T</t>
  </si>
  <si>
    <t>Tecra Z40-C-161</t>
  </si>
  <si>
    <t>IdeaPad 110-15IBR</t>
  </si>
  <si>
    <t>Intel Celeron Quad Core N3710 1.6GHz</t>
  </si>
  <si>
    <t>GS43VR 7RE</t>
  </si>
  <si>
    <t>GL62M (i5-7300HQ/8GB/1TB</t>
  </si>
  <si>
    <t>Predator G9-793</t>
  </si>
  <si>
    <t>FX502VM-DM560T (i7-7700HQ/8GB/1TB</t>
  </si>
  <si>
    <t>Nvidia GeForce GTX1060</t>
  </si>
  <si>
    <t>K146 (N3350/4GB/32GB/W10)</t>
  </si>
  <si>
    <t>Yoga 510-15IKB</t>
  </si>
  <si>
    <t>Intel Core M 1.2GHz</t>
  </si>
  <si>
    <t>512GB Flash Storage</t>
  </si>
  <si>
    <t>Intel HD Graphics 5300</t>
  </si>
  <si>
    <t>0.920kg</t>
  </si>
  <si>
    <t>IPS Panel Touchscreen 2560x1440</t>
  </si>
  <si>
    <t>R417NA-RS01 (N3350/4GB/32GB/W10)</t>
  </si>
  <si>
    <t>AMD Radeon R5 M420X</t>
  </si>
  <si>
    <t>Pro P2540UA-XS51</t>
  </si>
  <si>
    <t>Latitude 3180</t>
  </si>
  <si>
    <t>15-ba043na (A12-9700P/8GB/2TB/W10)</t>
  </si>
  <si>
    <t>AMD A12-Series 9700P 2.5GHz</t>
  </si>
  <si>
    <t>AMD Radeon R7 Graphics</t>
  </si>
  <si>
    <t>Omen 17-an012dx</t>
  </si>
  <si>
    <t>3.74kg</t>
  </si>
  <si>
    <t>Thinkpad T470s</t>
  </si>
  <si>
    <t>Blade Stealth</t>
  </si>
  <si>
    <t>Intel Core i7 7500U 2.5GHz</t>
  </si>
  <si>
    <t>Latitude 3480</t>
  </si>
  <si>
    <t>1.76kg</t>
  </si>
  <si>
    <t>V110-15ISK (i3-6006U/4GB/500GB/W10)</t>
  </si>
  <si>
    <t>Tecra X40-D-10Z</t>
  </si>
  <si>
    <t>GL62M 7RD</t>
  </si>
  <si>
    <t>Intel Pentium Dual Core 4405U 2.1GHz</t>
  </si>
  <si>
    <t>Touchscreen / Full HD 1920x1080</t>
  </si>
  <si>
    <t>Nvidia GeForce 920</t>
  </si>
  <si>
    <t>Rog GL702VS-BA023T</t>
  </si>
  <si>
    <t>N42-20 Chromebook</t>
  </si>
  <si>
    <t>R558UA-DM966T (i5-7200U/8GB/128GB/FHD/W10)</t>
  </si>
  <si>
    <t>128GB HDD</t>
  </si>
  <si>
    <t>Rog GL702VM-GC017T</t>
  </si>
  <si>
    <t>1.54kg</t>
  </si>
  <si>
    <t>ZenBook UX310UQ-GL026T</t>
  </si>
  <si>
    <t>Nvidia GeForce 940M</t>
  </si>
  <si>
    <t>Rog GL502VM-DS74</t>
  </si>
  <si>
    <t>Inspiron 5767</t>
  </si>
  <si>
    <t>2.83kg</t>
  </si>
  <si>
    <t>ThinkPad T470p</t>
  </si>
  <si>
    <t>K556UR-DM621T (i7-7500U/8GB/256GB/GeForce</t>
  </si>
  <si>
    <t>Nvidia GeForce GTX 930MX</t>
  </si>
  <si>
    <t>X541NA (N4200/4GB/1TB/W10)</t>
  </si>
  <si>
    <t>Inspiron 5368</t>
  </si>
  <si>
    <t>AMD Radeon R7 M465</t>
  </si>
  <si>
    <t>Portege X30-D-10X</t>
  </si>
  <si>
    <t>2.07kg</t>
  </si>
  <si>
    <t>Portégé Z30-C-188</t>
  </si>
  <si>
    <t>TMX349-G2-M-50FS (i5-7200U/8GB/256GB/FHD/W10)</t>
  </si>
  <si>
    <t>2.38kg</t>
  </si>
  <si>
    <t>Tecra A50-D-11D</t>
  </si>
  <si>
    <t>X541NA-GO121 (N4200/4GB/1TB/Linux)</t>
  </si>
  <si>
    <t>Pavilion x360</t>
  </si>
  <si>
    <t>VivoBook L402NA</t>
  </si>
  <si>
    <t>IdeaPad 510-15ISK</t>
  </si>
  <si>
    <t>Rog GL753VD-GC082T</t>
  </si>
  <si>
    <t>Chromebook C731-C78G</t>
  </si>
  <si>
    <t>AMD A4-Series 7210 2.2GHz</t>
  </si>
  <si>
    <t>AMD Radeon R3</t>
  </si>
  <si>
    <t>Probook 640</t>
  </si>
  <si>
    <t>Envy x360</t>
  </si>
  <si>
    <t>GS73VR Stealth</t>
  </si>
  <si>
    <t>Portege X30-D-10V</t>
  </si>
  <si>
    <t>Nvidia GeForce GTX 1050Ti</t>
  </si>
  <si>
    <t>G701VO-IH74K (i7-6820HK/32GB/2x</t>
  </si>
  <si>
    <t>3.58kg</t>
  </si>
  <si>
    <t>Gram 15Z970</t>
  </si>
  <si>
    <t>1.08kg</t>
  </si>
  <si>
    <t>Chromebook CB5-571-C1DZ</t>
  </si>
  <si>
    <t>2.20kg</t>
  </si>
  <si>
    <t>Gram 14Z970</t>
  </si>
  <si>
    <t>Elitebook Folio</t>
  </si>
  <si>
    <t>240GB SSD</t>
  </si>
  <si>
    <t>IdeaPad 510-15IKB</t>
  </si>
  <si>
    <t>GE72VR 6RF</t>
  </si>
  <si>
    <t>AMD Radeon R7 M365X</t>
  </si>
  <si>
    <t>Envy 13-AB077cl</t>
  </si>
  <si>
    <t>Tecra Z50-C-140</t>
  </si>
  <si>
    <t>Probook 650</t>
  </si>
  <si>
    <t>Intel Core i7 6560U 2.2GHz</t>
  </si>
  <si>
    <t>Tecra Z40-C-12X</t>
  </si>
  <si>
    <t>GP62M Leopard</t>
  </si>
  <si>
    <t>Omen 17-W006na</t>
  </si>
  <si>
    <t>2.75kg</t>
  </si>
  <si>
    <t>X751SV-TY001T (N3710/4GB/1TB/GeForce</t>
  </si>
  <si>
    <t>TravelMate P259-G2</t>
  </si>
  <si>
    <t>Tecra A50-C-1ZV</t>
  </si>
  <si>
    <t>Yoga 700-11ISK</t>
  </si>
  <si>
    <t>Intel Core M m7-6Y75 1.2GHz</t>
  </si>
  <si>
    <t>IdeaPad Y700-15ACZ</t>
  </si>
  <si>
    <t>AMD FX 8800P 2.1GHz</t>
  </si>
  <si>
    <t>AMD Radeon R9 M385</t>
  </si>
  <si>
    <t>Insprion 5767</t>
  </si>
  <si>
    <t>ZBook Studio</t>
  </si>
  <si>
    <t>8GB SSD</t>
  </si>
  <si>
    <t>Portege Z30-C-1CW</t>
  </si>
  <si>
    <t>Intel Core M M7-6Y75 1.2GHz</t>
  </si>
  <si>
    <t>ProBook x360</t>
  </si>
  <si>
    <t>Quad HD+ 3200x1800</t>
  </si>
  <si>
    <t>Chromebook C738T-C2EJ</t>
  </si>
  <si>
    <t>Portege Z30-C-16Z</t>
  </si>
  <si>
    <t>Aspire F5-573G-510L</t>
  </si>
  <si>
    <t>Portege X20W-D-10V</t>
  </si>
  <si>
    <t>Intel Core i5 7200U 2.50GHz</t>
  </si>
  <si>
    <t>Tecra A40-C-1DF</t>
  </si>
  <si>
    <t>Intel Core i5 7200U 2.70GHz</t>
  </si>
  <si>
    <t>ThinkPad T460</t>
  </si>
  <si>
    <t>508GB Hybrid</t>
  </si>
  <si>
    <t>1.70kg</t>
  </si>
  <si>
    <t>Q534UX-BHI7T19 (i7-7500U/16GB/2TB</t>
  </si>
  <si>
    <t>15-bs053od (i7-7500U/6GB/1TB/W10)</t>
  </si>
  <si>
    <t>Rog GL753VE-DS74</t>
  </si>
  <si>
    <t>2.99kg</t>
  </si>
  <si>
    <t>Inspiron 7579</t>
  </si>
  <si>
    <t>Portege Z30-C-1CV</t>
  </si>
  <si>
    <t>LifeBook A556</t>
  </si>
  <si>
    <t>Tecra A40-C-1KF</t>
  </si>
  <si>
    <t xml:space="preserve">Intel HD Graphics 620 </t>
  </si>
  <si>
    <t>15-bs005nv (i3-6006U/4GB/1TB</t>
  </si>
  <si>
    <t>V110-15IAP (N3350/4GB/128GB/No</t>
  </si>
  <si>
    <t>ThinkPad T560</t>
  </si>
  <si>
    <t>ZenBook UX310UA-FB485T</t>
  </si>
  <si>
    <t>Spectre 13-V111dx</t>
  </si>
  <si>
    <t>1.11kg</t>
  </si>
  <si>
    <t>Aspire ES1-533</t>
  </si>
  <si>
    <t>Rog GL553VE-DS74</t>
  </si>
  <si>
    <t>Nitro 5</t>
  </si>
  <si>
    <t>ENVY -</t>
  </si>
  <si>
    <t>Portege Z30-C-16H</t>
  </si>
  <si>
    <t>Portege A30-C-1CZ</t>
  </si>
  <si>
    <t>ThinkPad P70</t>
  </si>
  <si>
    <t>Nvidia Quadro 3000M</t>
  </si>
  <si>
    <t>Tecra Z40-C-12Z</t>
  </si>
  <si>
    <t>Inspiron 5568</t>
  </si>
  <si>
    <t>Portégé Z30-C-16K</t>
  </si>
  <si>
    <t>Spectre 13-V100nv</t>
  </si>
  <si>
    <t>Latitude E5570</t>
  </si>
  <si>
    <t>2.09kg</t>
  </si>
  <si>
    <t>Tecra Z40-C-136</t>
  </si>
  <si>
    <t>Yoga 500-15ISK</t>
  </si>
  <si>
    <t>V142 (X5-Z8350/2GB/32GB/W10)</t>
  </si>
  <si>
    <t>Intel Atom X5-Z8350 1.44GHz</t>
  </si>
  <si>
    <t>Tecra A50-C-218</t>
  </si>
  <si>
    <t>Thinkpad L560</t>
  </si>
  <si>
    <t>GT72S Dominator</t>
  </si>
  <si>
    <t>IdeaPad Y900-17ISK</t>
  </si>
  <si>
    <t>Chromebook C202SA</t>
  </si>
  <si>
    <t>Noteb Pav</t>
  </si>
  <si>
    <t>Inspiron 5578</t>
  </si>
  <si>
    <t>Intel Core i5 7200U 2.7GHz</t>
  </si>
  <si>
    <t>250 G5</t>
  </si>
  <si>
    <t>Aspire ES1-523</t>
  </si>
  <si>
    <t>Inspiron 7378</t>
  </si>
  <si>
    <t>GT62VR 6RD</t>
  </si>
  <si>
    <t>Rog G752VL-GC088D</t>
  </si>
  <si>
    <t>4kg</t>
  </si>
  <si>
    <t>GS63VR 6RF</t>
  </si>
  <si>
    <t>ROG G701VO</t>
  </si>
  <si>
    <t>64GB</t>
  </si>
  <si>
    <t xml:space="preserve">Nvidia GeForce GTX 980 </t>
  </si>
  <si>
    <t>Intel Core M 1.1GHz</t>
  </si>
  <si>
    <t>Latitude 3570</t>
  </si>
  <si>
    <t>IdeaPad 300-17ISK</t>
  </si>
  <si>
    <t>1.0TB HDD</t>
  </si>
  <si>
    <t>AMD Radeon R5 M330</t>
  </si>
  <si>
    <t>3.0kg</t>
  </si>
  <si>
    <t>Ideapad 700-15ISK</t>
  </si>
  <si>
    <t>GT72VR Dominator</t>
  </si>
  <si>
    <t>V110-15ISK (i5-6200U/4GB/500GB/W10)</t>
  </si>
  <si>
    <t>Yoga 900S-12ISK</t>
  </si>
  <si>
    <t>0.99kg</t>
  </si>
  <si>
    <t>512GB SSD +  1.0TB Hybrid</t>
  </si>
  <si>
    <t>AMD FirePro W4190M</t>
  </si>
  <si>
    <t>Chromebook 13</t>
  </si>
  <si>
    <t>Intel Pentium Dual Core 4405Y 1.5GHz</t>
  </si>
  <si>
    <t>Intel Pentium Quad Core N3700 1.6GHz</t>
  </si>
  <si>
    <t>Rog GL702VM-GC354T</t>
  </si>
  <si>
    <t>Aspire F5-573G</t>
  </si>
  <si>
    <t>GS70 Stealth</t>
  </si>
  <si>
    <t>G752VY-GC162T (i7-6700HQ/16GB/1TB</t>
  </si>
  <si>
    <t>Latitude E5270</t>
  </si>
  <si>
    <t>Chromebook 15</t>
  </si>
  <si>
    <t>AMD FirePro W6150M</t>
  </si>
  <si>
    <t>GE72 Apache</t>
  </si>
  <si>
    <t>15-bw011nv (A6-9220/4GB/1TB/FHD/W10)</t>
  </si>
  <si>
    <t>Rog GL552VW-CN470T</t>
  </si>
  <si>
    <t>Intel Core M 6Y54 1.1GHz</t>
  </si>
  <si>
    <t>Vostro 3559</t>
  </si>
  <si>
    <t>AMD Radeon R5 M315</t>
  </si>
  <si>
    <t>V110-15ISK (i3-6006U/4GB/128GB/W10)</t>
  </si>
  <si>
    <t>Spectre Pro</t>
  </si>
  <si>
    <t>256GB SSD +  1.0TB Hybrid</t>
  </si>
  <si>
    <t>Touchscreen / 4K Ultra HD 3840x2160</t>
  </si>
  <si>
    <t>Portege X30-D-10K</t>
  </si>
  <si>
    <t>Rog GL752VW-T4308T</t>
  </si>
  <si>
    <t>3.52kg</t>
  </si>
  <si>
    <t>V131 (X5-Z8350/4GB/32GB/FHD/W10)</t>
  </si>
  <si>
    <t>Omen -</t>
  </si>
  <si>
    <t>15-bs078cl (i7-7500U/8GB/2TB/W10)</t>
  </si>
  <si>
    <t>ThinkPad P40</t>
  </si>
  <si>
    <t>Nvidia Quadro M500M</t>
  </si>
  <si>
    <t>L403NA-GA013TS (N3350/4GB/32GB/W10)</t>
  </si>
  <si>
    <t>IdeaPad 500-15ISK</t>
  </si>
  <si>
    <t>AMD Radeon R7 M360</t>
  </si>
  <si>
    <t>Nvidia Quadro M3000M</t>
  </si>
  <si>
    <t>GP62M 7RDX</t>
  </si>
  <si>
    <t>Intel Core i7 6500U 2.50GHz</t>
  </si>
  <si>
    <t>V110-15ISK (i3-6006U/4GB/1TB/No</t>
  </si>
  <si>
    <t>15-BA015wm (E2-7110/4GB/500GB/W10)</t>
  </si>
  <si>
    <t>B51-80 (i5-6200U/8GB/1TB/Radeon</t>
  </si>
  <si>
    <t>Nvidia GeForce 960M</t>
  </si>
  <si>
    <t>15-bw002nv (A6-9220/4GB/256GB/Radeon</t>
  </si>
  <si>
    <t>GP72M 7REX</t>
  </si>
  <si>
    <t>ThinkPad T460s</t>
  </si>
  <si>
    <t>B51-80 (i5-6200U/8GB/1008GB/Radeon</t>
  </si>
  <si>
    <t>GS40 Phantom</t>
  </si>
  <si>
    <t>Pavilion 15-cb003nv</t>
  </si>
  <si>
    <t>IdeaPad 310-15ISK</t>
  </si>
  <si>
    <t>250 G4</t>
  </si>
  <si>
    <t>320-15ISK (i3-6006U/4GB/1TB/GeForce</t>
  </si>
  <si>
    <t>Stream 14-AX000nv</t>
  </si>
  <si>
    <t>PL60 7RD</t>
  </si>
  <si>
    <t>X553SA-XX021T (N3050/4GB/500GB/W10)</t>
  </si>
  <si>
    <t>V110-15ISK (i5-6200U/4GB/500GB/No</t>
  </si>
  <si>
    <t>UX410UA-GV097T (i3-7100U/4GB/256GB/FHD/W10)</t>
  </si>
  <si>
    <t>B51-80 (i7-6500U/4GB/1008GB/FHD/W7)</t>
  </si>
  <si>
    <t>GS60 Ghost</t>
  </si>
  <si>
    <t>Intel Celeron Dual Core N3350 2GHz</t>
  </si>
  <si>
    <t>Pavilion 15-BC000nv</t>
  </si>
  <si>
    <t>Rog GL552VW-DM201T</t>
  </si>
  <si>
    <t>2.591kg</t>
  </si>
  <si>
    <t>Chromebook Plus</t>
  </si>
  <si>
    <t>IPS Panel Touchscreen 2400x1600</t>
  </si>
  <si>
    <t>Samsung Cortex A72&amp;A53 2.0GHz</t>
  </si>
  <si>
    <t>ARM Mali T860 MP4</t>
  </si>
  <si>
    <t>Pavilion Power</t>
  </si>
  <si>
    <t>2.21kg</t>
  </si>
  <si>
    <t>V110-15ISK (i3-6006U/4GB/1TB/Radeon</t>
  </si>
  <si>
    <t>Rog G752VY-GC229T</t>
  </si>
  <si>
    <t>GS73VR 7RF</t>
  </si>
  <si>
    <t>FX502VM-DM105T (i7-6700HQ/8GB/1TB/GeForce</t>
  </si>
  <si>
    <t>15-bs025nv (i5-7200U/8GB/256GB/W10)</t>
  </si>
  <si>
    <t>AMD E-Series 9000 2.2GHz</t>
  </si>
  <si>
    <t>Aspire E5-774G</t>
  </si>
  <si>
    <t>3.3kg</t>
  </si>
  <si>
    <t>FX502VM-AS73 (i7-7700HQ/16GB/1TB</t>
  </si>
  <si>
    <t>2.191kg</t>
  </si>
  <si>
    <t>C740-C9QX (3205U/2GB/32GB/Chrome</t>
  </si>
  <si>
    <t>E5 774G</t>
  </si>
  <si>
    <t>SP714-51 (i7-7Y75/8GB/256GB/FHD/W10)</t>
  </si>
  <si>
    <t>Thinkpad T560</t>
  </si>
  <si>
    <t>GP62MVR 6RF</t>
  </si>
  <si>
    <t>15-bw009nv (A12-9720P/6GB/1TB/Radeon</t>
  </si>
  <si>
    <t>Latitude E7270</t>
  </si>
  <si>
    <t>X540SA-RBPDN09 (N3710/4GB/1TB/W10)</t>
  </si>
  <si>
    <t>GL62M 7RDX</t>
  </si>
  <si>
    <t>GE72VR Apache</t>
  </si>
  <si>
    <t>15-bs023nv (i3-6006U/4GB/1TB/FHD/W10)</t>
  </si>
  <si>
    <t>GL62 6QF</t>
  </si>
  <si>
    <t>ZenBook UX310UA-WB71</t>
  </si>
  <si>
    <t>Inspiron 7779</t>
  </si>
  <si>
    <t>Rog GL553VE-FY052T</t>
  </si>
  <si>
    <t>Rog GL502VS</t>
  </si>
  <si>
    <t>2.34kg</t>
  </si>
  <si>
    <t>V510-15IKB (i5-7200U/8GB/256GB/FHD/No</t>
  </si>
  <si>
    <t>ThinkPad L460</t>
  </si>
  <si>
    <t>X541NA-GO020T (N3350/4GB/1TB/W10)</t>
  </si>
  <si>
    <t>Rog G752VT-GC073T</t>
  </si>
  <si>
    <t>4.0kg</t>
  </si>
  <si>
    <t>B51-80 (i7-6500U/8GB/1008GB/Radeon</t>
  </si>
  <si>
    <t>GE62 Apache</t>
  </si>
  <si>
    <t>Yoga 500-14IBD</t>
  </si>
  <si>
    <t>ZenBook UX305CA-UBM1</t>
  </si>
  <si>
    <t>Intel Core M 6Y30 0.9GHz</t>
  </si>
  <si>
    <t>Aspire ES1-531</t>
  </si>
  <si>
    <t>Pavilion 15-AW003nv</t>
  </si>
  <si>
    <t>AMD A9-Series 9410 2.9GHz</t>
  </si>
  <si>
    <t>Stream 11-Y000na</t>
  </si>
  <si>
    <t>X556UJ-XO044T (i7-6500U/4GB/500GB/GeForce</t>
  </si>
  <si>
    <t>Yoga 500-14ISK</t>
  </si>
  <si>
    <t>15-AC110nv (i7-6500U/6GB/1TB/Radeon</t>
  </si>
  <si>
    <t>X553SA-XX031T (N3050/4GB/500GB/W10)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</si>
</sst>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aptop_price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M1304">
  <tableColumns count="13">
    <tableColumn id="1" name="laptop_ID"/>
    <tableColumn id="2" name="Company"/>
    <tableColumn id="3" name="Product"/>
    <tableColumn id="4" name="TypeName"/>
    <tableColumn id="5" name="Inches"/>
    <tableColumn id="6" name="ScreenResolution"/>
    <tableColumn id="7" name="Cpu"/>
    <tableColumn id="8" name="Ram"/>
    <tableColumn id="9" name="Memory"/>
    <tableColumn id="10" name="Gpu"/>
    <tableColumn id="11" name="OpSys"/>
    <tableColumn id="12" name="Weight"/>
    <tableColumn id="13" name="Price_euros"/>
  </tableColumns>
  <tableStyleInfo name="laptop_pri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04"/>
  <sheetViews>
    <sheetView workbookViewId="0">
      <selection activeCell="C11" sqref="C11"/>
    </sheetView>
  </sheetViews>
  <sheetFormatPr defaultColWidth="11.25" defaultRowHeight="15" customHeight="1"/>
  <cols>
    <col min="1" max="1" width="11.25" customWidth="1"/>
    <col min="2" max="2" width="10.875" customWidth="1"/>
    <col min="3" max="3" width="8.5" customWidth="1"/>
    <col min="4" max="4" width="11.375" customWidth="1"/>
    <col min="5" max="5" width="8.5" customWidth="1"/>
    <col min="6" max="6" width="16.75" customWidth="1"/>
    <col min="7" max="8" width="8.5" customWidth="1"/>
    <col min="9" max="9" width="9.375" customWidth="1"/>
    <col min="10" max="10" width="29.25" customWidth="1"/>
    <col min="11" max="11" width="12.25" customWidth="1"/>
    <col min="12" max="12" width="9.125" customWidth="1"/>
    <col min="13" max="13" width="12.875" customWidth="1"/>
    <col min="14" max="26" width="8.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1">
        <v>1</v>
      </c>
      <c r="B2" s="1" t="s">
        <v>13</v>
      </c>
      <c r="C2" s="1" t="s">
        <v>14</v>
      </c>
      <c r="D2" s="1" t="s">
        <v>15</v>
      </c>
      <c r="E2" s="1">
        <v>13.3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>
        <v>1339.69</v>
      </c>
    </row>
    <row r="3" spans="1:13" ht="15.75" customHeight="1">
      <c r="A3" s="1">
        <v>2</v>
      </c>
      <c r="B3" s="1" t="s">
        <v>13</v>
      </c>
      <c r="C3" s="1" t="s">
        <v>23</v>
      </c>
      <c r="D3" s="1" t="s">
        <v>15</v>
      </c>
      <c r="E3" s="1">
        <v>13.3</v>
      </c>
      <c r="F3" s="1" t="s">
        <v>24</v>
      </c>
      <c r="G3" s="1" t="s">
        <v>25</v>
      </c>
      <c r="H3" s="1" t="s">
        <v>18</v>
      </c>
      <c r="I3" s="1" t="s">
        <v>26</v>
      </c>
      <c r="J3" s="1" t="s">
        <v>27</v>
      </c>
      <c r="K3" s="1" t="s">
        <v>21</v>
      </c>
      <c r="L3" s="1" t="s">
        <v>28</v>
      </c>
      <c r="M3" s="1">
        <v>898.94</v>
      </c>
    </row>
    <row r="4" spans="1:13" ht="15.75" customHeight="1">
      <c r="A4" s="1">
        <v>3</v>
      </c>
      <c r="B4" s="1" t="s">
        <v>29</v>
      </c>
      <c r="C4" s="1" t="s">
        <v>30</v>
      </c>
      <c r="D4" s="1" t="s">
        <v>31</v>
      </c>
      <c r="E4" s="1">
        <v>15.6</v>
      </c>
      <c r="F4" s="1" t="s">
        <v>32</v>
      </c>
      <c r="G4" s="1" t="s">
        <v>33</v>
      </c>
      <c r="H4" s="1" t="s">
        <v>18</v>
      </c>
      <c r="I4" s="1" t="s">
        <v>34</v>
      </c>
      <c r="J4" s="1" t="s">
        <v>35</v>
      </c>
      <c r="K4" s="1" t="s">
        <v>36</v>
      </c>
      <c r="L4" s="1" t="s">
        <v>37</v>
      </c>
      <c r="M4" s="1">
        <v>575</v>
      </c>
    </row>
    <row r="5" spans="1:13" ht="15.75" customHeight="1">
      <c r="A5" s="1">
        <v>4</v>
      </c>
      <c r="B5" s="1" t="s">
        <v>13</v>
      </c>
      <c r="C5" s="1" t="s">
        <v>14</v>
      </c>
      <c r="D5" s="1" t="s">
        <v>15</v>
      </c>
      <c r="E5" s="1">
        <v>15.4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21</v>
      </c>
      <c r="L5" s="1" t="s">
        <v>43</v>
      </c>
      <c r="M5" s="1">
        <v>2537.4499999999998</v>
      </c>
    </row>
    <row r="6" spans="1:13" ht="15.75" customHeight="1">
      <c r="A6" s="1">
        <v>5</v>
      </c>
      <c r="B6" s="1" t="s">
        <v>13</v>
      </c>
      <c r="C6" s="1" t="s">
        <v>14</v>
      </c>
      <c r="D6" s="1" t="s">
        <v>15</v>
      </c>
      <c r="E6" s="1">
        <v>13.3</v>
      </c>
      <c r="F6" s="1" t="s">
        <v>16</v>
      </c>
      <c r="G6" s="1" t="s">
        <v>44</v>
      </c>
      <c r="H6" s="1" t="s">
        <v>18</v>
      </c>
      <c r="I6" s="1" t="s">
        <v>34</v>
      </c>
      <c r="J6" s="1" t="s">
        <v>45</v>
      </c>
      <c r="K6" s="1" t="s">
        <v>21</v>
      </c>
      <c r="L6" s="1" t="s">
        <v>22</v>
      </c>
      <c r="M6" s="1">
        <v>1803.6</v>
      </c>
    </row>
    <row r="7" spans="1:13" ht="15.75" customHeight="1">
      <c r="A7" s="1">
        <v>6</v>
      </c>
      <c r="B7" s="1" t="s">
        <v>46</v>
      </c>
      <c r="C7" s="1" t="s">
        <v>47</v>
      </c>
      <c r="D7" s="1" t="s">
        <v>31</v>
      </c>
      <c r="E7" s="1">
        <v>15.6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>
        <v>400</v>
      </c>
    </row>
    <row r="8" spans="1:13" ht="15.75" customHeight="1">
      <c r="A8" s="1">
        <v>7</v>
      </c>
      <c r="B8" s="1" t="s">
        <v>13</v>
      </c>
      <c r="C8" s="1" t="s">
        <v>14</v>
      </c>
      <c r="D8" s="1" t="s">
        <v>15</v>
      </c>
      <c r="E8" s="1">
        <v>15.4</v>
      </c>
      <c r="F8" s="1" t="s">
        <v>38</v>
      </c>
      <c r="G8" s="1" t="s">
        <v>55</v>
      </c>
      <c r="H8" s="1" t="s">
        <v>40</v>
      </c>
      <c r="I8" s="1" t="s">
        <v>56</v>
      </c>
      <c r="J8" s="1" t="s">
        <v>57</v>
      </c>
      <c r="K8" s="1" t="s">
        <v>58</v>
      </c>
      <c r="L8" s="1" t="s">
        <v>59</v>
      </c>
      <c r="M8" s="1">
        <v>2139.9699999999998</v>
      </c>
    </row>
    <row r="9" spans="1:13" ht="15.75" customHeight="1">
      <c r="A9" s="1">
        <v>8</v>
      </c>
      <c r="B9" s="1" t="s">
        <v>13</v>
      </c>
      <c r="C9" s="1" t="s">
        <v>23</v>
      </c>
      <c r="D9" s="1" t="s">
        <v>15</v>
      </c>
      <c r="E9" s="1">
        <v>13.3</v>
      </c>
      <c r="F9" s="1" t="s">
        <v>24</v>
      </c>
      <c r="G9" s="1" t="s">
        <v>25</v>
      </c>
      <c r="H9" s="1" t="s">
        <v>18</v>
      </c>
      <c r="I9" s="1" t="s">
        <v>56</v>
      </c>
      <c r="J9" s="1" t="s">
        <v>27</v>
      </c>
      <c r="K9" s="1" t="s">
        <v>21</v>
      </c>
      <c r="L9" s="1" t="s">
        <v>28</v>
      </c>
      <c r="M9" s="1">
        <v>1158.7</v>
      </c>
    </row>
    <row r="10" spans="1:13" ht="15.75" customHeight="1">
      <c r="A10" s="1">
        <v>9</v>
      </c>
      <c r="B10" s="1" t="s">
        <v>60</v>
      </c>
      <c r="C10" s="1" t="s">
        <v>61</v>
      </c>
      <c r="D10" s="1" t="s">
        <v>15</v>
      </c>
      <c r="E10" s="1">
        <v>14</v>
      </c>
      <c r="F10" s="1" t="s">
        <v>32</v>
      </c>
      <c r="G10" s="1" t="s">
        <v>62</v>
      </c>
      <c r="H10" s="1" t="s">
        <v>40</v>
      </c>
      <c r="I10" s="1" t="s">
        <v>41</v>
      </c>
      <c r="J10" s="1" t="s">
        <v>63</v>
      </c>
      <c r="K10" s="1" t="s">
        <v>53</v>
      </c>
      <c r="L10" s="1" t="s">
        <v>64</v>
      </c>
      <c r="M10" s="1">
        <v>1495</v>
      </c>
    </row>
    <row r="11" spans="1:13" ht="15.75" customHeight="1">
      <c r="A11" s="1">
        <v>10</v>
      </c>
      <c r="B11" s="1" t="s">
        <v>46</v>
      </c>
      <c r="C11" s="1" t="s">
        <v>65</v>
      </c>
      <c r="D11" s="1" t="s">
        <v>15</v>
      </c>
      <c r="E11" s="1">
        <v>14</v>
      </c>
      <c r="F11" s="1" t="s">
        <v>66</v>
      </c>
      <c r="G11" s="1" t="s">
        <v>67</v>
      </c>
      <c r="H11" s="1" t="s">
        <v>18</v>
      </c>
      <c r="I11" s="1" t="s">
        <v>34</v>
      </c>
      <c r="J11" s="1" t="s">
        <v>68</v>
      </c>
      <c r="K11" s="1" t="s">
        <v>53</v>
      </c>
      <c r="L11" s="1" t="s">
        <v>69</v>
      </c>
      <c r="M11" s="1">
        <v>770</v>
      </c>
    </row>
    <row r="12" spans="1:13" ht="15.75" customHeight="1">
      <c r="A12" s="1">
        <v>11</v>
      </c>
      <c r="B12" s="1" t="s">
        <v>29</v>
      </c>
      <c r="C12" s="1" t="s">
        <v>30</v>
      </c>
      <c r="D12" s="1" t="s">
        <v>31</v>
      </c>
      <c r="E12" s="1">
        <v>15.6</v>
      </c>
      <c r="F12" s="1" t="s">
        <v>48</v>
      </c>
      <c r="G12" s="1" t="s">
        <v>33</v>
      </c>
      <c r="H12" s="1" t="s">
        <v>50</v>
      </c>
      <c r="I12" s="1" t="s">
        <v>51</v>
      </c>
      <c r="J12" s="1" t="s">
        <v>35</v>
      </c>
      <c r="K12" s="1" t="s">
        <v>36</v>
      </c>
      <c r="L12" s="1" t="s">
        <v>37</v>
      </c>
      <c r="M12" s="1">
        <v>393.9</v>
      </c>
    </row>
    <row r="13" spans="1:13" ht="15.75" customHeight="1">
      <c r="A13" s="1">
        <v>12</v>
      </c>
      <c r="B13" s="1" t="s">
        <v>29</v>
      </c>
      <c r="C13" s="1" t="s">
        <v>30</v>
      </c>
      <c r="D13" s="1" t="s">
        <v>31</v>
      </c>
      <c r="E13" s="1">
        <v>15.6</v>
      </c>
      <c r="F13" s="1" t="s">
        <v>32</v>
      </c>
      <c r="G13" s="1" t="s">
        <v>70</v>
      </c>
      <c r="H13" s="1" t="s">
        <v>50</v>
      </c>
      <c r="I13" s="1" t="s">
        <v>51</v>
      </c>
      <c r="J13" s="1" t="s">
        <v>71</v>
      </c>
      <c r="K13" s="1" t="s">
        <v>36</v>
      </c>
      <c r="L13" s="1" t="s">
        <v>37</v>
      </c>
      <c r="M13" s="1">
        <v>344.99</v>
      </c>
    </row>
    <row r="14" spans="1:13" ht="15.75" customHeight="1">
      <c r="A14" s="1">
        <v>13</v>
      </c>
      <c r="B14" s="1" t="s">
        <v>13</v>
      </c>
      <c r="C14" s="1" t="s">
        <v>14</v>
      </c>
      <c r="D14" s="1" t="s">
        <v>15</v>
      </c>
      <c r="E14" s="1">
        <v>15.4</v>
      </c>
      <c r="F14" s="1" t="s">
        <v>38</v>
      </c>
      <c r="G14" s="1" t="s">
        <v>72</v>
      </c>
      <c r="H14" s="1" t="s">
        <v>40</v>
      </c>
      <c r="I14" s="1" t="s">
        <v>34</v>
      </c>
      <c r="J14" s="1" t="s">
        <v>73</v>
      </c>
      <c r="K14" s="1" t="s">
        <v>21</v>
      </c>
      <c r="L14" s="1" t="s">
        <v>43</v>
      </c>
      <c r="M14" s="1">
        <v>2439.9699999999998</v>
      </c>
    </row>
    <row r="15" spans="1:13" ht="15.75" customHeight="1">
      <c r="A15" s="1">
        <v>14</v>
      </c>
      <c r="B15" s="1" t="s">
        <v>74</v>
      </c>
      <c r="C15" s="1" t="s">
        <v>75</v>
      </c>
      <c r="D15" s="1" t="s">
        <v>31</v>
      </c>
      <c r="E15" s="1">
        <v>15.6</v>
      </c>
      <c r="F15" s="1" t="s">
        <v>32</v>
      </c>
      <c r="G15" s="1" t="s">
        <v>70</v>
      </c>
      <c r="H15" s="1" t="s">
        <v>50</v>
      </c>
      <c r="I15" s="1" t="s">
        <v>34</v>
      </c>
      <c r="J15" s="1" t="s">
        <v>76</v>
      </c>
      <c r="K15" s="1" t="s">
        <v>53</v>
      </c>
      <c r="L15" s="1" t="s">
        <v>77</v>
      </c>
      <c r="M15" s="1">
        <v>498.9</v>
      </c>
    </row>
    <row r="16" spans="1:13" ht="15.75" customHeight="1">
      <c r="A16" s="1">
        <v>15</v>
      </c>
      <c r="B16" s="1" t="s">
        <v>13</v>
      </c>
      <c r="C16" s="1" t="s">
        <v>78</v>
      </c>
      <c r="D16" s="1" t="s">
        <v>15</v>
      </c>
      <c r="E16" s="1">
        <v>12</v>
      </c>
      <c r="F16" s="1" t="s">
        <v>79</v>
      </c>
      <c r="G16" s="1" t="s">
        <v>80</v>
      </c>
      <c r="H16" s="1" t="s">
        <v>18</v>
      </c>
      <c r="I16" s="1" t="s">
        <v>34</v>
      </c>
      <c r="J16" s="1" t="s">
        <v>81</v>
      </c>
      <c r="K16" s="1" t="s">
        <v>21</v>
      </c>
      <c r="L16" s="1" t="s">
        <v>82</v>
      </c>
      <c r="M16" s="1">
        <v>1262.4000000000001</v>
      </c>
    </row>
    <row r="17" spans="1:13" ht="15.75" customHeight="1">
      <c r="A17" s="1">
        <v>16</v>
      </c>
      <c r="B17" s="1" t="s">
        <v>13</v>
      </c>
      <c r="C17" s="1" t="s">
        <v>14</v>
      </c>
      <c r="D17" s="1" t="s">
        <v>15</v>
      </c>
      <c r="E17" s="1">
        <v>13.3</v>
      </c>
      <c r="F17" s="1" t="s">
        <v>16</v>
      </c>
      <c r="G17" s="1" t="s">
        <v>17</v>
      </c>
      <c r="H17" s="1" t="s">
        <v>18</v>
      </c>
      <c r="I17" s="1" t="s">
        <v>34</v>
      </c>
      <c r="J17" s="1" t="s">
        <v>20</v>
      </c>
      <c r="K17" s="1" t="s">
        <v>21</v>
      </c>
      <c r="L17" s="1" t="s">
        <v>22</v>
      </c>
      <c r="M17" s="1">
        <v>1518.55</v>
      </c>
    </row>
    <row r="18" spans="1:13" ht="15.75" customHeight="1">
      <c r="A18" s="1">
        <v>17</v>
      </c>
      <c r="B18" s="1" t="s">
        <v>74</v>
      </c>
      <c r="C18" s="1" t="s">
        <v>75</v>
      </c>
      <c r="D18" s="1" t="s">
        <v>31</v>
      </c>
      <c r="E18" s="1">
        <v>15.6</v>
      </c>
      <c r="F18" s="1" t="s">
        <v>32</v>
      </c>
      <c r="G18" s="1" t="s">
        <v>83</v>
      </c>
      <c r="H18" s="1" t="s">
        <v>18</v>
      </c>
      <c r="I18" s="1" t="s">
        <v>34</v>
      </c>
      <c r="J18" s="1" t="s">
        <v>76</v>
      </c>
      <c r="K18" s="1" t="s">
        <v>53</v>
      </c>
      <c r="L18" s="1" t="s">
        <v>77</v>
      </c>
      <c r="M18" s="1">
        <v>745</v>
      </c>
    </row>
    <row r="19" spans="1:13" ht="15.75" customHeight="1">
      <c r="A19" s="1">
        <v>18</v>
      </c>
      <c r="B19" s="1" t="s">
        <v>13</v>
      </c>
      <c r="C19" s="1" t="s">
        <v>14</v>
      </c>
      <c r="D19" s="1" t="s">
        <v>15</v>
      </c>
      <c r="E19" s="1">
        <v>15.4</v>
      </c>
      <c r="F19" s="1" t="s">
        <v>38</v>
      </c>
      <c r="G19" s="1" t="s">
        <v>84</v>
      </c>
      <c r="H19" s="1" t="s">
        <v>40</v>
      </c>
      <c r="I19" s="1" t="s">
        <v>41</v>
      </c>
      <c r="J19" s="1" t="s">
        <v>85</v>
      </c>
      <c r="K19" s="1" t="s">
        <v>21</v>
      </c>
      <c r="L19" s="1" t="s">
        <v>43</v>
      </c>
      <c r="M19" s="1">
        <v>2858</v>
      </c>
    </row>
    <row r="20" spans="1:13" ht="15.75" customHeight="1">
      <c r="A20" s="1">
        <v>19</v>
      </c>
      <c r="B20" s="1" t="s">
        <v>86</v>
      </c>
      <c r="C20" s="1" t="s">
        <v>87</v>
      </c>
      <c r="D20" s="1" t="s">
        <v>31</v>
      </c>
      <c r="E20" s="1">
        <v>15.6</v>
      </c>
      <c r="F20" s="1" t="s">
        <v>32</v>
      </c>
      <c r="G20" s="1" t="s">
        <v>88</v>
      </c>
      <c r="H20" s="1" t="s">
        <v>18</v>
      </c>
      <c r="I20" s="1" t="s">
        <v>89</v>
      </c>
      <c r="J20" s="1" t="s">
        <v>90</v>
      </c>
      <c r="K20" s="1" t="s">
        <v>36</v>
      </c>
      <c r="L20" s="1" t="s">
        <v>77</v>
      </c>
      <c r="M20" s="1">
        <v>499</v>
      </c>
    </row>
    <row r="21" spans="1:13" ht="15.75" customHeight="1">
      <c r="A21" s="1">
        <v>20</v>
      </c>
      <c r="B21" s="1" t="s">
        <v>74</v>
      </c>
      <c r="C21" s="1" t="s">
        <v>91</v>
      </c>
      <c r="D21" s="1" t="s">
        <v>15</v>
      </c>
      <c r="E21" s="1">
        <v>13.3</v>
      </c>
      <c r="F21" s="1" t="s">
        <v>92</v>
      </c>
      <c r="G21" s="1" t="s">
        <v>67</v>
      </c>
      <c r="H21" s="1" t="s">
        <v>18</v>
      </c>
      <c r="I21" s="1" t="s">
        <v>19</v>
      </c>
      <c r="J21" s="1" t="s">
        <v>68</v>
      </c>
      <c r="K21" s="1" t="s">
        <v>53</v>
      </c>
      <c r="L21" s="1" t="s">
        <v>93</v>
      </c>
      <c r="M21" s="1">
        <v>979</v>
      </c>
    </row>
    <row r="22" spans="1:13" ht="15.75" customHeight="1">
      <c r="A22" s="1">
        <v>21</v>
      </c>
      <c r="B22" s="1" t="s">
        <v>60</v>
      </c>
      <c r="C22" s="1" t="s">
        <v>94</v>
      </c>
      <c r="D22" s="1" t="s">
        <v>95</v>
      </c>
      <c r="E22" s="1">
        <v>11.6</v>
      </c>
      <c r="F22" s="1" t="s">
        <v>48</v>
      </c>
      <c r="G22" s="1" t="s">
        <v>96</v>
      </c>
      <c r="H22" s="1" t="s">
        <v>97</v>
      </c>
      <c r="I22" s="1" t="s">
        <v>98</v>
      </c>
      <c r="J22" s="1" t="s">
        <v>99</v>
      </c>
      <c r="K22" s="1" t="s">
        <v>53</v>
      </c>
      <c r="L22" s="1" t="s">
        <v>100</v>
      </c>
      <c r="M22" s="1">
        <v>191.9</v>
      </c>
    </row>
    <row r="23" spans="1:13" ht="15.75" customHeight="1">
      <c r="A23" s="1">
        <v>22</v>
      </c>
      <c r="B23" s="1" t="s">
        <v>86</v>
      </c>
      <c r="C23" s="1" t="s">
        <v>101</v>
      </c>
      <c r="D23" s="1" t="s">
        <v>102</v>
      </c>
      <c r="E23" s="1">
        <v>15.6</v>
      </c>
      <c r="F23" s="1" t="s">
        <v>66</v>
      </c>
      <c r="G23" s="1" t="s">
        <v>103</v>
      </c>
      <c r="H23" s="1" t="s">
        <v>18</v>
      </c>
      <c r="I23" s="1" t="s">
        <v>104</v>
      </c>
      <c r="J23" s="1" t="s">
        <v>105</v>
      </c>
      <c r="K23" s="1" t="s">
        <v>53</v>
      </c>
      <c r="L23" s="1" t="s">
        <v>106</v>
      </c>
      <c r="M23" s="1">
        <v>999</v>
      </c>
    </row>
    <row r="24" spans="1:13" ht="15.75" customHeight="1">
      <c r="A24" s="1">
        <v>23</v>
      </c>
      <c r="B24" s="1" t="s">
        <v>29</v>
      </c>
      <c r="C24" s="1" t="s">
        <v>107</v>
      </c>
      <c r="D24" s="1" t="s">
        <v>31</v>
      </c>
      <c r="E24" s="1">
        <v>15.6</v>
      </c>
      <c r="F24" s="1" t="s">
        <v>48</v>
      </c>
      <c r="G24" s="1" t="s">
        <v>108</v>
      </c>
      <c r="H24" s="1" t="s">
        <v>50</v>
      </c>
      <c r="I24" s="1" t="s">
        <v>51</v>
      </c>
      <c r="J24" s="1" t="s">
        <v>109</v>
      </c>
      <c r="K24" s="1" t="s">
        <v>36</v>
      </c>
      <c r="L24" s="1" t="s">
        <v>37</v>
      </c>
      <c r="M24" s="1">
        <v>258</v>
      </c>
    </row>
    <row r="25" spans="1:13" ht="15.75" customHeight="1">
      <c r="A25" s="1">
        <v>24</v>
      </c>
      <c r="B25" s="1" t="s">
        <v>74</v>
      </c>
      <c r="C25" s="1" t="s">
        <v>110</v>
      </c>
      <c r="D25" s="1" t="s">
        <v>111</v>
      </c>
      <c r="E25" s="1">
        <v>13.3</v>
      </c>
      <c r="F25" s="1" t="s">
        <v>112</v>
      </c>
      <c r="G25" s="1" t="s">
        <v>67</v>
      </c>
      <c r="H25" s="1" t="s">
        <v>18</v>
      </c>
      <c r="I25" s="1" t="s">
        <v>34</v>
      </c>
      <c r="J25" s="1" t="s">
        <v>68</v>
      </c>
      <c r="K25" s="1" t="s">
        <v>53</v>
      </c>
      <c r="L25" s="1" t="s">
        <v>113</v>
      </c>
      <c r="M25" s="1">
        <v>819</v>
      </c>
    </row>
    <row r="26" spans="1:13" ht="15.75" customHeight="1">
      <c r="A26" s="1">
        <v>25</v>
      </c>
      <c r="B26" s="1" t="s">
        <v>29</v>
      </c>
      <c r="C26" s="1" t="s">
        <v>114</v>
      </c>
      <c r="D26" s="1" t="s">
        <v>15</v>
      </c>
      <c r="E26" s="1">
        <v>15.6</v>
      </c>
      <c r="F26" s="1" t="s">
        <v>32</v>
      </c>
      <c r="G26" s="1" t="s">
        <v>62</v>
      </c>
      <c r="H26" s="1" t="s">
        <v>18</v>
      </c>
      <c r="I26" s="1" t="s">
        <v>34</v>
      </c>
      <c r="J26" s="1" t="s">
        <v>35</v>
      </c>
      <c r="K26" s="1" t="s">
        <v>53</v>
      </c>
      <c r="L26" s="1" t="s">
        <v>115</v>
      </c>
      <c r="M26" s="1">
        <v>659</v>
      </c>
    </row>
    <row r="27" spans="1:13" ht="15.75" customHeight="1">
      <c r="A27" s="1">
        <v>26</v>
      </c>
      <c r="B27" s="1" t="s">
        <v>74</v>
      </c>
      <c r="C27" s="1" t="s">
        <v>75</v>
      </c>
      <c r="D27" s="1" t="s">
        <v>31</v>
      </c>
      <c r="E27" s="1">
        <v>15.6</v>
      </c>
      <c r="F27" s="1" t="s">
        <v>48</v>
      </c>
      <c r="G27" s="1" t="s">
        <v>70</v>
      </c>
      <c r="H27" s="1" t="s">
        <v>50</v>
      </c>
      <c r="I27" s="1" t="s">
        <v>89</v>
      </c>
      <c r="J27" s="1" t="s">
        <v>71</v>
      </c>
      <c r="K27" s="1" t="s">
        <v>53</v>
      </c>
      <c r="L27" s="1" t="s">
        <v>116</v>
      </c>
      <c r="M27" s="1">
        <v>418.64</v>
      </c>
    </row>
    <row r="28" spans="1:13" ht="15.75" customHeight="1">
      <c r="A28" s="1">
        <v>27</v>
      </c>
      <c r="B28" s="1" t="s">
        <v>13</v>
      </c>
      <c r="C28" s="1" t="s">
        <v>117</v>
      </c>
      <c r="D28" s="1" t="s">
        <v>15</v>
      </c>
      <c r="E28" s="1">
        <v>13.3</v>
      </c>
      <c r="F28" s="1" t="s">
        <v>24</v>
      </c>
      <c r="G28" s="1" t="s">
        <v>118</v>
      </c>
      <c r="H28" s="1" t="s">
        <v>18</v>
      </c>
      <c r="I28" s="1" t="s">
        <v>26</v>
      </c>
      <c r="J28" s="1" t="s">
        <v>27</v>
      </c>
      <c r="K28" s="1" t="s">
        <v>58</v>
      </c>
      <c r="L28" s="1" t="s">
        <v>119</v>
      </c>
      <c r="M28" s="1">
        <v>1099</v>
      </c>
    </row>
    <row r="29" spans="1:13" ht="15.75" customHeight="1">
      <c r="A29" s="1">
        <v>28</v>
      </c>
      <c r="B29" s="1" t="s">
        <v>74</v>
      </c>
      <c r="C29" s="1" t="s">
        <v>120</v>
      </c>
      <c r="D29" s="1" t="s">
        <v>31</v>
      </c>
      <c r="E29" s="1">
        <v>15.6</v>
      </c>
      <c r="F29" s="1" t="s">
        <v>32</v>
      </c>
      <c r="G29" s="1" t="s">
        <v>67</v>
      </c>
      <c r="H29" s="1" t="s">
        <v>18</v>
      </c>
      <c r="I29" s="1" t="s">
        <v>34</v>
      </c>
      <c r="J29" s="1" t="s">
        <v>121</v>
      </c>
      <c r="K29" s="1" t="s">
        <v>53</v>
      </c>
      <c r="L29" s="1" t="s">
        <v>77</v>
      </c>
      <c r="M29" s="1">
        <v>800</v>
      </c>
    </row>
    <row r="30" spans="1:13" ht="15.75" customHeight="1">
      <c r="A30" s="1">
        <v>29</v>
      </c>
      <c r="B30" s="1" t="s">
        <v>74</v>
      </c>
      <c r="C30" s="1" t="s">
        <v>122</v>
      </c>
      <c r="D30" s="1" t="s">
        <v>15</v>
      </c>
      <c r="E30" s="1">
        <v>15.6</v>
      </c>
      <c r="F30" s="1" t="s">
        <v>32</v>
      </c>
      <c r="G30" s="1" t="s">
        <v>123</v>
      </c>
      <c r="H30" s="1" t="s">
        <v>18</v>
      </c>
      <c r="I30" s="1" t="s">
        <v>124</v>
      </c>
      <c r="J30" s="1" t="s">
        <v>68</v>
      </c>
      <c r="K30" s="1" t="s">
        <v>53</v>
      </c>
      <c r="L30" s="1" t="s">
        <v>125</v>
      </c>
      <c r="M30" s="1">
        <v>1298</v>
      </c>
    </row>
    <row r="31" spans="1:13" ht="15.75" customHeight="1">
      <c r="A31" s="1">
        <v>30</v>
      </c>
      <c r="B31" s="1" t="s">
        <v>29</v>
      </c>
      <c r="C31" s="1" t="s">
        <v>126</v>
      </c>
      <c r="D31" s="1" t="s">
        <v>31</v>
      </c>
      <c r="E31" s="1">
        <v>17.3</v>
      </c>
      <c r="F31" s="1" t="s">
        <v>32</v>
      </c>
      <c r="G31" s="1" t="s">
        <v>67</v>
      </c>
      <c r="H31" s="1" t="s">
        <v>18</v>
      </c>
      <c r="I31" s="1" t="s">
        <v>89</v>
      </c>
      <c r="J31" s="1" t="s">
        <v>127</v>
      </c>
      <c r="K31" s="1" t="s">
        <v>53</v>
      </c>
      <c r="L31" s="1" t="s">
        <v>106</v>
      </c>
      <c r="M31" s="1">
        <v>896</v>
      </c>
    </row>
    <row r="32" spans="1:13" ht="15.75" customHeight="1">
      <c r="A32" s="1">
        <v>31</v>
      </c>
      <c r="B32" s="1" t="s">
        <v>128</v>
      </c>
      <c r="C32" s="1" t="s">
        <v>129</v>
      </c>
      <c r="D32" s="1" t="s">
        <v>31</v>
      </c>
      <c r="E32" s="1">
        <v>15.6</v>
      </c>
      <c r="F32" s="1" t="s">
        <v>32</v>
      </c>
      <c r="G32" s="1" t="s">
        <v>130</v>
      </c>
      <c r="H32" s="1" t="s">
        <v>50</v>
      </c>
      <c r="I32" s="1" t="s">
        <v>131</v>
      </c>
      <c r="J32" s="1" t="s">
        <v>132</v>
      </c>
      <c r="K32" s="1" t="s">
        <v>53</v>
      </c>
      <c r="L32" s="1" t="s">
        <v>133</v>
      </c>
      <c r="M32" s="1">
        <v>244.99</v>
      </c>
    </row>
    <row r="33" spans="1:13" ht="15.75" customHeight="1">
      <c r="A33" s="1">
        <v>32</v>
      </c>
      <c r="B33" s="1" t="s">
        <v>60</v>
      </c>
      <c r="C33" s="1" t="s">
        <v>134</v>
      </c>
      <c r="D33" s="1" t="s">
        <v>31</v>
      </c>
      <c r="E33" s="1">
        <v>14</v>
      </c>
      <c r="F33" s="1" t="s">
        <v>48</v>
      </c>
      <c r="G33" s="1" t="s">
        <v>135</v>
      </c>
      <c r="H33" s="1" t="s">
        <v>97</v>
      </c>
      <c r="I33" s="1" t="s">
        <v>98</v>
      </c>
      <c r="J33" s="1" t="s">
        <v>109</v>
      </c>
      <c r="K33" s="1" t="s">
        <v>53</v>
      </c>
      <c r="L33" s="1" t="s">
        <v>136</v>
      </c>
      <c r="M33" s="1">
        <v>199</v>
      </c>
    </row>
    <row r="34" spans="1:13" ht="15.75" customHeight="1">
      <c r="A34" s="1">
        <v>33</v>
      </c>
      <c r="B34" s="1" t="s">
        <v>29</v>
      </c>
      <c r="C34" s="1" t="s">
        <v>137</v>
      </c>
      <c r="D34" s="1" t="s">
        <v>31</v>
      </c>
      <c r="E34" s="1">
        <v>17.3</v>
      </c>
      <c r="F34" s="1" t="s">
        <v>32</v>
      </c>
      <c r="G34" s="1" t="s">
        <v>138</v>
      </c>
      <c r="H34" s="1" t="s">
        <v>50</v>
      </c>
      <c r="I34" s="1" t="s">
        <v>51</v>
      </c>
      <c r="J34" s="1" t="s">
        <v>121</v>
      </c>
      <c r="K34" s="1" t="s">
        <v>53</v>
      </c>
      <c r="L34" s="1" t="s">
        <v>139</v>
      </c>
      <c r="M34" s="1">
        <v>439</v>
      </c>
    </row>
    <row r="35" spans="1:13" ht="15.75" customHeight="1">
      <c r="A35" s="1">
        <v>34</v>
      </c>
      <c r="B35" s="1" t="s">
        <v>74</v>
      </c>
      <c r="C35" s="1" t="s">
        <v>91</v>
      </c>
      <c r="D35" s="1" t="s">
        <v>15</v>
      </c>
      <c r="E35" s="1">
        <v>13.3</v>
      </c>
      <c r="F35" s="1" t="s">
        <v>140</v>
      </c>
      <c r="G35" s="1" t="s">
        <v>62</v>
      </c>
      <c r="H35" s="1" t="s">
        <v>40</v>
      </c>
      <c r="I35" s="1" t="s">
        <v>41</v>
      </c>
      <c r="J35" s="1" t="s">
        <v>68</v>
      </c>
      <c r="K35" s="1" t="s">
        <v>53</v>
      </c>
      <c r="L35" s="1" t="s">
        <v>141</v>
      </c>
      <c r="M35" s="1">
        <v>1869</v>
      </c>
    </row>
    <row r="36" spans="1:13" ht="15.75" customHeight="1">
      <c r="A36" s="1">
        <v>35</v>
      </c>
      <c r="B36" s="1" t="s">
        <v>13</v>
      </c>
      <c r="C36" s="1" t="s">
        <v>117</v>
      </c>
      <c r="D36" s="1" t="s">
        <v>15</v>
      </c>
      <c r="E36" s="1">
        <v>13.3</v>
      </c>
      <c r="F36" s="1" t="s">
        <v>24</v>
      </c>
      <c r="G36" s="1" t="s">
        <v>118</v>
      </c>
      <c r="H36" s="1" t="s">
        <v>18</v>
      </c>
      <c r="I36" s="1" t="s">
        <v>56</v>
      </c>
      <c r="J36" s="1" t="s">
        <v>27</v>
      </c>
      <c r="K36" s="1" t="s">
        <v>58</v>
      </c>
      <c r="L36" s="1" t="s">
        <v>119</v>
      </c>
      <c r="M36" s="1">
        <v>998</v>
      </c>
    </row>
    <row r="37" spans="1:13" ht="15.75" customHeight="1">
      <c r="A37" s="1">
        <v>36</v>
      </c>
      <c r="B37" s="1" t="s">
        <v>86</v>
      </c>
      <c r="C37" s="1" t="s">
        <v>142</v>
      </c>
      <c r="D37" s="1" t="s">
        <v>31</v>
      </c>
      <c r="E37" s="1">
        <v>14</v>
      </c>
      <c r="F37" s="1" t="s">
        <v>48</v>
      </c>
      <c r="G37" s="1" t="s">
        <v>143</v>
      </c>
      <c r="H37" s="1" t="s">
        <v>50</v>
      </c>
      <c r="I37" s="1" t="s">
        <v>131</v>
      </c>
      <c r="J37" s="1" t="s">
        <v>144</v>
      </c>
      <c r="K37" s="1" t="s">
        <v>53</v>
      </c>
      <c r="L37" s="1" t="s">
        <v>145</v>
      </c>
      <c r="M37" s="1">
        <v>249</v>
      </c>
    </row>
    <row r="38" spans="1:13" ht="15.75" customHeight="1">
      <c r="A38" s="1">
        <v>37</v>
      </c>
      <c r="B38" s="1" t="s">
        <v>46</v>
      </c>
      <c r="C38" s="1" t="s">
        <v>47</v>
      </c>
      <c r="D38" s="1" t="s">
        <v>31</v>
      </c>
      <c r="E38" s="1">
        <v>15.6</v>
      </c>
      <c r="F38" s="1" t="s">
        <v>48</v>
      </c>
      <c r="G38" s="1" t="s">
        <v>146</v>
      </c>
      <c r="H38" s="1" t="s">
        <v>50</v>
      </c>
      <c r="I38" s="1" t="s">
        <v>89</v>
      </c>
      <c r="J38" s="1" t="s">
        <v>35</v>
      </c>
      <c r="K38" s="1" t="s">
        <v>147</v>
      </c>
      <c r="L38" s="1" t="s">
        <v>54</v>
      </c>
      <c r="M38" s="1">
        <v>367</v>
      </c>
    </row>
    <row r="39" spans="1:13" ht="15.75" customHeight="1">
      <c r="A39" s="1">
        <v>38</v>
      </c>
      <c r="B39" s="1" t="s">
        <v>74</v>
      </c>
      <c r="C39" s="1" t="s">
        <v>148</v>
      </c>
      <c r="D39" s="1" t="s">
        <v>31</v>
      </c>
      <c r="E39" s="1">
        <v>17.3</v>
      </c>
      <c r="F39" s="1" t="s">
        <v>66</v>
      </c>
      <c r="G39" s="1" t="s">
        <v>67</v>
      </c>
      <c r="H39" s="1" t="s">
        <v>18</v>
      </c>
      <c r="I39" s="1" t="s">
        <v>104</v>
      </c>
      <c r="J39" s="1" t="s">
        <v>121</v>
      </c>
      <c r="K39" s="1" t="s">
        <v>53</v>
      </c>
      <c r="L39" s="1" t="s">
        <v>149</v>
      </c>
      <c r="M39" s="1">
        <v>979</v>
      </c>
    </row>
    <row r="40" spans="1:13" ht="15.75" customHeight="1">
      <c r="A40" s="1">
        <v>39</v>
      </c>
      <c r="B40" s="1" t="s">
        <v>29</v>
      </c>
      <c r="C40" s="1" t="s">
        <v>30</v>
      </c>
      <c r="D40" s="1" t="s">
        <v>31</v>
      </c>
      <c r="E40" s="1">
        <v>15.6</v>
      </c>
      <c r="F40" s="1" t="s">
        <v>48</v>
      </c>
      <c r="G40" s="1" t="s">
        <v>33</v>
      </c>
      <c r="H40" s="1" t="s">
        <v>50</v>
      </c>
      <c r="I40" s="1" t="s">
        <v>89</v>
      </c>
      <c r="J40" s="1" t="s">
        <v>35</v>
      </c>
      <c r="K40" s="1" t="s">
        <v>53</v>
      </c>
      <c r="L40" s="1" t="s">
        <v>37</v>
      </c>
      <c r="M40" s="1">
        <v>488.69</v>
      </c>
    </row>
    <row r="41" spans="1:13" ht="15.75" customHeight="1">
      <c r="A41" s="1">
        <v>40</v>
      </c>
      <c r="B41" s="1" t="s">
        <v>29</v>
      </c>
      <c r="C41" s="1" t="s">
        <v>150</v>
      </c>
      <c r="D41" s="1" t="s">
        <v>31</v>
      </c>
      <c r="E41" s="1">
        <v>15.6</v>
      </c>
      <c r="F41" s="1" t="s">
        <v>32</v>
      </c>
      <c r="G41" s="1" t="s">
        <v>67</v>
      </c>
      <c r="H41" s="1" t="s">
        <v>18</v>
      </c>
      <c r="I41" s="1" t="s">
        <v>34</v>
      </c>
      <c r="J41" s="1" t="s">
        <v>151</v>
      </c>
      <c r="K41" s="1" t="s">
        <v>53</v>
      </c>
      <c r="L41" s="1" t="s">
        <v>54</v>
      </c>
      <c r="M41" s="1">
        <v>879</v>
      </c>
    </row>
    <row r="42" spans="1:13" ht="15.75" customHeight="1">
      <c r="A42" s="1">
        <v>41</v>
      </c>
      <c r="B42" s="1" t="s">
        <v>60</v>
      </c>
      <c r="C42" s="1" t="s">
        <v>152</v>
      </c>
      <c r="D42" s="1" t="s">
        <v>31</v>
      </c>
      <c r="E42" s="1">
        <v>15.6</v>
      </c>
      <c r="F42" s="1" t="s">
        <v>32</v>
      </c>
      <c r="G42" s="1" t="s">
        <v>70</v>
      </c>
      <c r="H42" s="1" t="s">
        <v>50</v>
      </c>
      <c r="I42" s="1" t="s">
        <v>89</v>
      </c>
      <c r="J42" s="1" t="s">
        <v>35</v>
      </c>
      <c r="K42" s="1" t="s">
        <v>147</v>
      </c>
      <c r="L42" s="1" t="s">
        <v>153</v>
      </c>
      <c r="M42" s="1">
        <v>389</v>
      </c>
    </row>
    <row r="43" spans="1:13" ht="15.75" customHeight="1">
      <c r="A43" s="1">
        <v>42</v>
      </c>
      <c r="B43" s="1" t="s">
        <v>74</v>
      </c>
      <c r="C43" s="1" t="s">
        <v>154</v>
      </c>
      <c r="D43" s="1" t="s">
        <v>102</v>
      </c>
      <c r="E43" s="1">
        <v>15.6</v>
      </c>
      <c r="F43" s="1" t="s">
        <v>66</v>
      </c>
      <c r="G43" s="1" t="s">
        <v>155</v>
      </c>
      <c r="H43" s="1" t="s">
        <v>40</v>
      </c>
      <c r="I43" s="1" t="s">
        <v>156</v>
      </c>
      <c r="J43" s="1" t="s">
        <v>157</v>
      </c>
      <c r="K43" s="1" t="s">
        <v>53</v>
      </c>
      <c r="L43" s="1" t="s">
        <v>158</v>
      </c>
      <c r="M43" s="1">
        <v>1499</v>
      </c>
    </row>
    <row r="44" spans="1:13" ht="15.75" customHeight="1">
      <c r="A44" s="1">
        <v>43</v>
      </c>
      <c r="B44" s="1" t="s">
        <v>60</v>
      </c>
      <c r="C44" s="1" t="s">
        <v>159</v>
      </c>
      <c r="D44" s="1" t="s">
        <v>31</v>
      </c>
      <c r="E44" s="1">
        <v>15.6</v>
      </c>
      <c r="F44" s="1" t="s">
        <v>48</v>
      </c>
      <c r="G44" s="1" t="s">
        <v>33</v>
      </c>
      <c r="H44" s="1" t="s">
        <v>18</v>
      </c>
      <c r="I44" s="1" t="s">
        <v>89</v>
      </c>
      <c r="J44" s="1" t="s">
        <v>90</v>
      </c>
      <c r="K44" s="1" t="s">
        <v>147</v>
      </c>
      <c r="L44" s="1" t="s">
        <v>116</v>
      </c>
      <c r="M44" s="1">
        <v>522.99</v>
      </c>
    </row>
    <row r="45" spans="1:13" ht="15.75" customHeight="1">
      <c r="A45" s="1">
        <v>44</v>
      </c>
      <c r="B45" s="1" t="s">
        <v>46</v>
      </c>
      <c r="C45" s="1" t="s">
        <v>160</v>
      </c>
      <c r="D45" s="1" t="s">
        <v>31</v>
      </c>
      <c r="E45" s="1">
        <v>15.6</v>
      </c>
      <c r="F45" s="1" t="s">
        <v>66</v>
      </c>
      <c r="G45" s="1" t="s">
        <v>67</v>
      </c>
      <c r="H45" s="1" t="s">
        <v>50</v>
      </c>
      <c r="I45" s="1" t="s">
        <v>34</v>
      </c>
      <c r="J45" s="1" t="s">
        <v>68</v>
      </c>
      <c r="K45" s="1" t="s">
        <v>53</v>
      </c>
      <c r="L45" s="1" t="s">
        <v>77</v>
      </c>
      <c r="M45" s="1">
        <v>682</v>
      </c>
    </row>
    <row r="46" spans="1:13" ht="15.75" customHeight="1">
      <c r="A46" s="1">
        <v>45</v>
      </c>
      <c r="B46" s="1" t="s">
        <v>74</v>
      </c>
      <c r="C46" s="1" t="s">
        <v>161</v>
      </c>
      <c r="D46" s="1" t="s">
        <v>111</v>
      </c>
      <c r="E46" s="1">
        <v>17.3</v>
      </c>
      <c r="F46" s="1" t="s">
        <v>112</v>
      </c>
      <c r="G46" s="1" t="s">
        <v>67</v>
      </c>
      <c r="H46" s="1" t="s">
        <v>162</v>
      </c>
      <c r="I46" s="1" t="s">
        <v>89</v>
      </c>
      <c r="J46" s="1" t="s">
        <v>163</v>
      </c>
      <c r="K46" s="1" t="s">
        <v>53</v>
      </c>
      <c r="L46" s="1" t="s">
        <v>164</v>
      </c>
      <c r="M46" s="1">
        <v>999</v>
      </c>
    </row>
    <row r="47" spans="1:13" ht="15.75" customHeight="1">
      <c r="A47" s="1">
        <v>46</v>
      </c>
      <c r="B47" s="1" t="s">
        <v>13</v>
      </c>
      <c r="C47" s="1" t="s">
        <v>14</v>
      </c>
      <c r="D47" s="1" t="s">
        <v>15</v>
      </c>
      <c r="E47" s="1">
        <v>13.3</v>
      </c>
      <c r="F47" s="1" t="s">
        <v>16</v>
      </c>
      <c r="G47" s="1" t="s">
        <v>165</v>
      </c>
      <c r="H47" s="1" t="s">
        <v>18</v>
      </c>
      <c r="I47" s="1" t="s">
        <v>34</v>
      </c>
      <c r="J47" s="1" t="s">
        <v>166</v>
      </c>
      <c r="K47" s="1" t="s">
        <v>21</v>
      </c>
      <c r="L47" s="1" t="s">
        <v>22</v>
      </c>
      <c r="M47" s="1">
        <v>1419</v>
      </c>
    </row>
    <row r="48" spans="1:13" ht="15.75" customHeight="1">
      <c r="A48" s="1">
        <v>47</v>
      </c>
      <c r="B48" s="1" t="s">
        <v>86</v>
      </c>
      <c r="C48" s="1" t="s">
        <v>167</v>
      </c>
      <c r="D48" s="1" t="s">
        <v>31</v>
      </c>
      <c r="E48" s="1">
        <v>15.6</v>
      </c>
      <c r="F48" s="1" t="s">
        <v>48</v>
      </c>
      <c r="G48" s="1" t="s">
        <v>70</v>
      </c>
      <c r="H48" s="1" t="s">
        <v>50</v>
      </c>
      <c r="I48" s="1" t="s">
        <v>19</v>
      </c>
      <c r="J48" s="1" t="s">
        <v>71</v>
      </c>
      <c r="K48" s="1" t="s">
        <v>36</v>
      </c>
      <c r="L48" s="1" t="s">
        <v>77</v>
      </c>
      <c r="M48" s="1">
        <v>369</v>
      </c>
    </row>
    <row r="49" spans="1:13" ht="15.75" customHeight="1">
      <c r="A49" s="1">
        <v>48</v>
      </c>
      <c r="B49" s="1" t="s">
        <v>60</v>
      </c>
      <c r="C49" s="1" t="s">
        <v>168</v>
      </c>
      <c r="D49" s="1" t="s">
        <v>102</v>
      </c>
      <c r="E49" s="1">
        <v>17.3</v>
      </c>
      <c r="F49" s="1" t="s">
        <v>32</v>
      </c>
      <c r="G49" s="1" t="s">
        <v>169</v>
      </c>
      <c r="H49" s="1" t="s">
        <v>18</v>
      </c>
      <c r="I49" s="1" t="s">
        <v>156</v>
      </c>
      <c r="J49" s="1" t="s">
        <v>170</v>
      </c>
      <c r="K49" s="1" t="s">
        <v>53</v>
      </c>
      <c r="L49" s="1" t="s">
        <v>171</v>
      </c>
      <c r="M49" s="1">
        <v>1299</v>
      </c>
    </row>
    <row r="50" spans="1:13" ht="15.75" customHeight="1">
      <c r="A50" s="1">
        <v>49</v>
      </c>
      <c r="B50" s="1" t="s">
        <v>74</v>
      </c>
      <c r="C50" s="1" t="s">
        <v>75</v>
      </c>
      <c r="D50" s="1" t="s">
        <v>31</v>
      </c>
      <c r="E50" s="1">
        <v>15.6</v>
      </c>
      <c r="F50" s="1" t="s">
        <v>32</v>
      </c>
      <c r="G50" s="1" t="s">
        <v>33</v>
      </c>
      <c r="H50" s="1" t="s">
        <v>50</v>
      </c>
      <c r="I50" s="1" t="s">
        <v>34</v>
      </c>
      <c r="J50" s="1" t="s">
        <v>76</v>
      </c>
      <c r="K50" s="1" t="s">
        <v>53</v>
      </c>
      <c r="L50" s="1" t="s">
        <v>116</v>
      </c>
      <c r="M50" s="1">
        <v>639</v>
      </c>
    </row>
    <row r="51" spans="1:13" ht="15.75" customHeight="1">
      <c r="A51" s="1">
        <v>50</v>
      </c>
      <c r="B51" s="1" t="s">
        <v>60</v>
      </c>
      <c r="C51" s="1" t="s">
        <v>172</v>
      </c>
      <c r="D51" s="1" t="s">
        <v>31</v>
      </c>
      <c r="E51" s="1">
        <v>17.3</v>
      </c>
      <c r="F51" s="1" t="s">
        <v>48</v>
      </c>
      <c r="G51" s="1" t="s">
        <v>173</v>
      </c>
      <c r="H51" s="1" t="s">
        <v>50</v>
      </c>
      <c r="I51" s="1" t="s">
        <v>89</v>
      </c>
      <c r="J51" s="1" t="s">
        <v>174</v>
      </c>
      <c r="K51" s="1" t="s">
        <v>53</v>
      </c>
      <c r="L51" s="1" t="s">
        <v>149</v>
      </c>
      <c r="M51" s="1">
        <v>466</v>
      </c>
    </row>
    <row r="52" spans="1:13" ht="15.75" customHeight="1">
      <c r="A52" s="1">
        <v>51</v>
      </c>
      <c r="B52" s="1" t="s">
        <v>86</v>
      </c>
      <c r="C52" s="1" t="s">
        <v>175</v>
      </c>
      <c r="D52" s="1" t="s">
        <v>111</v>
      </c>
      <c r="E52" s="1">
        <v>10.1</v>
      </c>
      <c r="F52" s="1" t="s">
        <v>176</v>
      </c>
      <c r="G52" s="1" t="s">
        <v>177</v>
      </c>
      <c r="H52" s="1" t="s">
        <v>50</v>
      </c>
      <c r="I52" s="1" t="s">
        <v>131</v>
      </c>
      <c r="J52" s="1" t="s">
        <v>99</v>
      </c>
      <c r="K52" s="1" t="s">
        <v>178</v>
      </c>
      <c r="L52" s="1" t="s">
        <v>179</v>
      </c>
      <c r="M52" s="1">
        <v>319</v>
      </c>
    </row>
    <row r="53" spans="1:13" ht="15.75" customHeight="1">
      <c r="A53" s="1">
        <v>52</v>
      </c>
      <c r="B53" s="1" t="s">
        <v>46</v>
      </c>
      <c r="C53" s="1" t="s">
        <v>160</v>
      </c>
      <c r="D53" s="1" t="s">
        <v>31</v>
      </c>
      <c r="E53" s="1">
        <v>15.6</v>
      </c>
      <c r="F53" s="1" t="s">
        <v>66</v>
      </c>
      <c r="G53" s="1" t="s">
        <v>62</v>
      </c>
      <c r="H53" s="1" t="s">
        <v>18</v>
      </c>
      <c r="I53" s="1" t="s">
        <v>34</v>
      </c>
      <c r="J53" s="1" t="s">
        <v>63</v>
      </c>
      <c r="K53" s="1" t="s">
        <v>53</v>
      </c>
      <c r="L53" s="1" t="s">
        <v>77</v>
      </c>
      <c r="M53" s="1">
        <v>841</v>
      </c>
    </row>
    <row r="54" spans="1:13" ht="15.75" customHeight="1">
      <c r="A54" s="1">
        <v>53</v>
      </c>
      <c r="B54" s="1" t="s">
        <v>29</v>
      </c>
      <c r="C54" s="1" t="s">
        <v>107</v>
      </c>
      <c r="D54" s="1" t="s">
        <v>31</v>
      </c>
      <c r="E54" s="1">
        <v>15.6</v>
      </c>
      <c r="F54" s="1" t="s">
        <v>32</v>
      </c>
      <c r="G54" s="1" t="s">
        <v>138</v>
      </c>
      <c r="H54" s="1" t="s">
        <v>50</v>
      </c>
      <c r="I54" s="1" t="s">
        <v>34</v>
      </c>
      <c r="J54" s="1" t="s">
        <v>180</v>
      </c>
      <c r="K54" s="1" t="s">
        <v>53</v>
      </c>
      <c r="L54" s="1" t="s">
        <v>37</v>
      </c>
      <c r="M54" s="1">
        <v>398.49</v>
      </c>
    </row>
    <row r="55" spans="1:13" ht="15.75" customHeight="1">
      <c r="A55" s="1">
        <v>54</v>
      </c>
      <c r="B55" s="1" t="s">
        <v>29</v>
      </c>
      <c r="C55" s="1" t="s">
        <v>181</v>
      </c>
      <c r="D55" s="1" t="s">
        <v>31</v>
      </c>
      <c r="E55" s="1">
        <v>13.3</v>
      </c>
      <c r="F55" s="1" t="s">
        <v>32</v>
      </c>
      <c r="G55" s="1" t="s">
        <v>62</v>
      </c>
      <c r="H55" s="1" t="s">
        <v>18</v>
      </c>
      <c r="I55" s="1" t="s">
        <v>41</v>
      </c>
      <c r="J55" s="1" t="s">
        <v>68</v>
      </c>
      <c r="K55" s="1" t="s">
        <v>53</v>
      </c>
      <c r="L55" s="1" t="s">
        <v>182</v>
      </c>
      <c r="M55" s="1">
        <v>1103</v>
      </c>
    </row>
    <row r="56" spans="1:13" ht="15.75" customHeight="1">
      <c r="A56" s="1">
        <v>55</v>
      </c>
      <c r="B56" s="1" t="s">
        <v>46</v>
      </c>
      <c r="C56" s="1" t="s">
        <v>47</v>
      </c>
      <c r="D56" s="1" t="s">
        <v>31</v>
      </c>
      <c r="E56" s="1">
        <v>15.6</v>
      </c>
      <c r="F56" s="1" t="s">
        <v>48</v>
      </c>
      <c r="G56" s="1" t="s">
        <v>88</v>
      </c>
      <c r="H56" s="1" t="s">
        <v>50</v>
      </c>
      <c r="I56" s="1" t="s">
        <v>89</v>
      </c>
      <c r="J56" s="1" t="s">
        <v>35</v>
      </c>
      <c r="K56" s="1" t="s">
        <v>53</v>
      </c>
      <c r="L56" s="1" t="s">
        <v>183</v>
      </c>
      <c r="M56" s="1">
        <v>384</v>
      </c>
    </row>
    <row r="57" spans="1:13" ht="15.75" customHeight="1">
      <c r="A57" s="1">
        <v>56</v>
      </c>
      <c r="B57" s="1" t="s">
        <v>74</v>
      </c>
      <c r="C57" s="1" t="s">
        <v>184</v>
      </c>
      <c r="D57" s="1" t="s">
        <v>31</v>
      </c>
      <c r="E57" s="1">
        <v>15.6</v>
      </c>
      <c r="F57" s="1" t="s">
        <v>32</v>
      </c>
      <c r="G57" s="1" t="s">
        <v>62</v>
      </c>
      <c r="H57" s="1" t="s">
        <v>18</v>
      </c>
      <c r="I57" s="1" t="s">
        <v>34</v>
      </c>
      <c r="J57" s="1" t="s">
        <v>185</v>
      </c>
      <c r="K57" s="1" t="s">
        <v>53</v>
      </c>
      <c r="L57" s="1" t="s">
        <v>186</v>
      </c>
      <c r="M57" s="1">
        <v>767.8</v>
      </c>
    </row>
    <row r="58" spans="1:13" ht="15.75" customHeight="1">
      <c r="A58" s="1">
        <v>57</v>
      </c>
      <c r="B58" s="1" t="s">
        <v>29</v>
      </c>
      <c r="C58" s="1" t="s">
        <v>187</v>
      </c>
      <c r="D58" s="1" t="s">
        <v>31</v>
      </c>
      <c r="E58" s="1">
        <v>15.6</v>
      </c>
      <c r="F58" s="1" t="s">
        <v>32</v>
      </c>
      <c r="G58" s="1" t="s">
        <v>70</v>
      </c>
      <c r="H58" s="1" t="s">
        <v>50</v>
      </c>
      <c r="I58" s="1" t="s">
        <v>19</v>
      </c>
      <c r="J58" s="1" t="s">
        <v>71</v>
      </c>
      <c r="K58" s="1" t="s">
        <v>53</v>
      </c>
      <c r="L58" s="1" t="s">
        <v>115</v>
      </c>
      <c r="M58" s="1">
        <v>439</v>
      </c>
    </row>
    <row r="59" spans="1:13" ht="15.75" customHeight="1">
      <c r="A59" s="1">
        <v>58</v>
      </c>
      <c r="B59" s="1" t="s">
        <v>60</v>
      </c>
      <c r="C59" s="1" t="s">
        <v>188</v>
      </c>
      <c r="D59" s="1" t="s">
        <v>31</v>
      </c>
      <c r="E59" s="1">
        <v>15.6</v>
      </c>
      <c r="F59" s="1" t="s">
        <v>48</v>
      </c>
      <c r="G59" s="1" t="s">
        <v>33</v>
      </c>
      <c r="H59" s="1" t="s">
        <v>50</v>
      </c>
      <c r="I59" s="1" t="s">
        <v>34</v>
      </c>
      <c r="J59" s="1" t="s">
        <v>35</v>
      </c>
      <c r="K59" s="1" t="s">
        <v>53</v>
      </c>
      <c r="L59" s="1" t="s">
        <v>153</v>
      </c>
      <c r="M59" s="1">
        <v>586.19000000000005</v>
      </c>
    </row>
    <row r="60" spans="1:13" ht="15.75" customHeight="1">
      <c r="A60" s="1">
        <v>59</v>
      </c>
      <c r="B60" s="1" t="s">
        <v>189</v>
      </c>
      <c r="C60" s="1" t="s">
        <v>190</v>
      </c>
      <c r="D60" s="1" t="s">
        <v>102</v>
      </c>
      <c r="E60" s="1">
        <v>17.3</v>
      </c>
      <c r="F60" s="1" t="s">
        <v>32</v>
      </c>
      <c r="G60" s="1" t="s">
        <v>155</v>
      </c>
      <c r="H60" s="1" t="s">
        <v>40</v>
      </c>
      <c r="I60" s="1" t="s">
        <v>191</v>
      </c>
      <c r="J60" s="1" t="s">
        <v>192</v>
      </c>
      <c r="K60" s="1" t="s">
        <v>53</v>
      </c>
      <c r="L60" s="1" t="s">
        <v>193</v>
      </c>
      <c r="M60" s="1">
        <v>2449</v>
      </c>
    </row>
    <row r="61" spans="1:13" ht="15.75" customHeight="1">
      <c r="A61" s="1">
        <v>60</v>
      </c>
      <c r="B61" s="1" t="s">
        <v>60</v>
      </c>
      <c r="C61" s="1" t="s">
        <v>194</v>
      </c>
      <c r="D61" s="1" t="s">
        <v>31</v>
      </c>
      <c r="E61" s="1">
        <v>15.6</v>
      </c>
      <c r="F61" s="1" t="s">
        <v>32</v>
      </c>
      <c r="G61" s="1" t="s">
        <v>70</v>
      </c>
      <c r="H61" s="1" t="s">
        <v>50</v>
      </c>
      <c r="I61" s="1" t="s">
        <v>34</v>
      </c>
      <c r="J61" s="1" t="s">
        <v>71</v>
      </c>
      <c r="K61" s="1" t="s">
        <v>147</v>
      </c>
      <c r="L61" s="1" t="s">
        <v>153</v>
      </c>
      <c r="M61" s="1">
        <v>415</v>
      </c>
    </row>
    <row r="62" spans="1:13" ht="15.75" customHeight="1">
      <c r="A62" s="1">
        <v>61</v>
      </c>
      <c r="B62" s="1" t="s">
        <v>74</v>
      </c>
      <c r="C62" s="1" t="s">
        <v>148</v>
      </c>
      <c r="D62" s="1" t="s">
        <v>31</v>
      </c>
      <c r="E62" s="1">
        <v>17.3</v>
      </c>
      <c r="F62" s="1" t="s">
        <v>32</v>
      </c>
      <c r="G62" s="1" t="s">
        <v>62</v>
      </c>
      <c r="H62" s="1" t="s">
        <v>40</v>
      </c>
      <c r="I62" s="1" t="s">
        <v>191</v>
      </c>
      <c r="J62" s="1" t="s">
        <v>121</v>
      </c>
      <c r="K62" s="1" t="s">
        <v>53</v>
      </c>
      <c r="L62" s="1" t="s">
        <v>149</v>
      </c>
      <c r="M62" s="1">
        <v>1299</v>
      </c>
    </row>
    <row r="63" spans="1:13" ht="15.75" customHeight="1">
      <c r="A63" s="1">
        <v>62</v>
      </c>
      <c r="B63" s="1" t="s">
        <v>74</v>
      </c>
      <c r="C63" s="1" t="s">
        <v>195</v>
      </c>
      <c r="D63" s="1" t="s">
        <v>15</v>
      </c>
      <c r="E63" s="1">
        <v>14</v>
      </c>
      <c r="F63" s="1" t="s">
        <v>32</v>
      </c>
      <c r="G63" s="1" t="s">
        <v>67</v>
      </c>
      <c r="H63" s="1" t="s">
        <v>18</v>
      </c>
      <c r="I63" s="1" t="s">
        <v>34</v>
      </c>
      <c r="J63" s="1" t="s">
        <v>68</v>
      </c>
      <c r="K63" s="1" t="s">
        <v>53</v>
      </c>
      <c r="L63" s="1" t="s">
        <v>196</v>
      </c>
      <c r="M63" s="1">
        <v>879</v>
      </c>
    </row>
    <row r="64" spans="1:13" ht="15.75" customHeight="1">
      <c r="A64" s="1">
        <v>63</v>
      </c>
      <c r="B64" s="1" t="s">
        <v>86</v>
      </c>
      <c r="C64" s="1" t="s">
        <v>197</v>
      </c>
      <c r="D64" s="1" t="s">
        <v>31</v>
      </c>
      <c r="E64" s="1">
        <v>14</v>
      </c>
      <c r="F64" s="1" t="s">
        <v>66</v>
      </c>
      <c r="G64" s="1" t="s">
        <v>146</v>
      </c>
      <c r="H64" s="1" t="s">
        <v>18</v>
      </c>
      <c r="I64" s="1" t="s">
        <v>34</v>
      </c>
      <c r="J64" s="1" t="s">
        <v>35</v>
      </c>
      <c r="K64" s="1" t="s">
        <v>36</v>
      </c>
      <c r="L64" s="1" t="s">
        <v>196</v>
      </c>
      <c r="M64" s="1">
        <v>599</v>
      </c>
    </row>
    <row r="65" spans="1:13" ht="15.75" customHeight="1">
      <c r="A65" s="1">
        <v>64</v>
      </c>
      <c r="B65" s="1" t="s">
        <v>60</v>
      </c>
      <c r="C65" s="1" t="s">
        <v>198</v>
      </c>
      <c r="D65" s="1" t="s">
        <v>31</v>
      </c>
      <c r="E65" s="1">
        <v>14</v>
      </c>
      <c r="F65" s="1" t="s">
        <v>32</v>
      </c>
      <c r="G65" s="1" t="s">
        <v>67</v>
      </c>
      <c r="H65" s="1" t="s">
        <v>18</v>
      </c>
      <c r="I65" s="1" t="s">
        <v>34</v>
      </c>
      <c r="J65" s="1" t="s">
        <v>68</v>
      </c>
      <c r="K65" s="1" t="s">
        <v>53</v>
      </c>
      <c r="L65" s="1" t="s">
        <v>199</v>
      </c>
      <c r="M65" s="1">
        <v>941</v>
      </c>
    </row>
    <row r="66" spans="1:13" ht="15.75" customHeight="1">
      <c r="A66" s="1">
        <v>66</v>
      </c>
      <c r="B66" s="1" t="s">
        <v>29</v>
      </c>
      <c r="C66" s="1" t="s">
        <v>30</v>
      </c>
      <c r="D66" s="1" t="s">
        <v>31</v>
      </c>
      <c r="E66" s="1">
        <v>15.6</v>
      </c>
      <c r="F66" s="1" t="s">
        <v>32</v>
      </c>
      <c r="G66" s="1" t="s">
        <v>33</v>
      </c>
      <c r="H66" s="1" t="s">
        <v>18</v>
      </c>
      <c r="I66" s="1" t="s">
        <v>34</v>
      </c>
      <c r="J66" s="1" t="s">
        <v>35</v>
      </c>
      <c r="K66" s="1" t="s">
        <v>53</v>
      </c>
      <c r="L66" s="1" t="s">
        <v>37</v>
      </c>
      <c r="M66" s="1">
        <v>690</v>
      </c>
    </row>
    <row r="67" spans="1:13" ht="15.75" customHeight="1">
      <c r="A67" s="1">
        <v>67</v>
      </c>
      <c r="B67" s="1" t="s">
        <v>60</v>
      </c>
      <c r="C67" s="1" t="s">
        <v>200</v>
      </c>
      <c r="D67" s="1" t="s">
        <v>15</v>
      </c>
      <c r="E67" s="1">
        <v>15.6</v>
      </c>
      <c r="F67" s="1" t="s">
        <v>32</v>
      </c>
      <c r="G67" s="1" t="s">
        <v>155</v>
      </c>
      <c r="H67" s="1" t="s">
        <v>40</v>
      </c>
      <c r="I67" s="1" t="s">
        <v>41</v>
      </c>
      <c r="J67" s="1" t="s">
        <v>201</v>
      </c>
      <c r="K67" s="1" t="s">
        <v>53</v>
      </c>
      <c r="L67" s="1" t="s">
        <v>202</v>
      </c>
      <c r="M67" s="1">
        <v>1983</v>
      </c>
    </row>
    <row r="68" spans="1:13" ht="15.75" customHeight="1">
      <c r="A68" s="1">
        <v>68</v>
      </c>
      <c r="B68" s="1" t="s">
        <v>29</v>
      </c>
      <c r="C68" s="1" t="s">
        <v>30</v>
      </c>
      <c r="D68" s="1" t="s">
        <v>31</v>
      </c>
      <c r="E68" s="1">
        <v>15.6</v>
      </c>
      <c r="F68" s="1" t="s">
        <v>48</v>
      </c>
      <c r="G68" s="1" t="s">
        <v>70</v>
      </c>
      <c r="H68" s="1" t="s">
        <v>50</v>
      </c>
      <c r="I68" s="1" t="s">
        <v>51</v>
      </c>
      <c r="J68" s="1" t="s">
        <v>185</v>
      </c>
      <c r="K68" s="1" t="s">
        <v>53</v>
      </c>
      <c r="L68" s="1" t="s">
        <v>37</v>
      </c>
      <c r="M68" s="1">
        <v>438.69</v>
      </c>
    </row>
    <row r="69" spans="1:13" ht="15.75" customHeight="1">
      <c r="A69" s="1">
        <v>69</v>
      </c>
      <c r="B69" s="1" t="s">
        <v>29</v>
      </c>
      <c r="C69" s="1" t="s">
        <v>203</v>
      </c>
      <c r="D69" s="1" t="s">
        <v>31</v>
      </c>
      <c r="E69" s="1">
        <v>14</v>
      </c>
      <c r="F69" s="1" t="s">
        <v>48</v>
      </c>
      <c r="G69" s="1" t="s">
        <v>204</v>
      </c>
      <c r="H69" s="1" t="s">
        <v>50</v>
      </c>
      <c r="I69" s="1" t="s">
        <v>205</v>
      </c>
      <c r="J69" s="1" t="s">
        <v>99</v>
      </c>
      <c r="K69" s="1" t="s">
        <v>53</v>
      </c>
      <c r="L69" s="1" t="s">
        <v>145</v>
      </c>
      <c r="M69" s="1">
        <v>229</v>
      </c>
    </row>
    <row r="70" spans="1:13" ht="15.75" customHeight="1">
      <c r="A70" s="1">
        <v>70</v>
      </c>
      <c r="B70" s="1" t="s">
        <v>86</v>
      </c>
      <c r="C70" s="1" t="s">
        <v>206</v>
      </c>
      <c r="D70" s="1" t="s">
        <v>31</v>
      </c>
      <c r="E70" s="1">
        <v>15.6</v>
      </c>
      <c r="F70" s="1" t="s">
        <v>32</v>
      </c>
      <c r="G70" s="1" t="s">
        <v>33</v>
      </c>
      <c r="H70" s="1" t="s">
        <v>50</v>
      </c>
      <c r="I70" s="1" t="s">
        <v>89</v>
      </c>
      <c r="J70" s="1" t="s">
        <v>35</v>
      </c>
      <c r="K70" s="1" t="s">
        <v>53</v>
      </c>
      <c r="L70" s="1" t="s">
        <v>207</v>
      </c>
      <c r="M70" s="1">
        <v>549</v>
      </c>
    </row>
    <row r="71" spans="1:13" ht="15.75" customHeight="1">
      <c r="A71" s="1">
        <v>71</v>
      </c>
      <c r="B71" s="1" t="s">
        <v>60</v>
      </c>
      <c r="C71" s="1" t="s">
        <v>208</v>
      </c>
      <c r="D71" s="1" t="s">
        <v>102</v>
      </c>
      <c r="E71" s="1">
        <v>17.3</v>
      </c>
      <c r="F71" s="1" t="s">
        <v>32</v>
      </c>
      <c r="G71" s="1" t="s">
        <v>155</v>
      </c>
      <c r="H71" s="1" t="s">
        <v>162</v>
      </c>
      <c r="I71" s="1" t="s">
        <v>89</v>
      </c>
      <c r="J71" s="1" t="s">
        <v>201</v>
      </c>
      <c r="K71" s="1" t="s">
        <v>147</v>
      </c>
      <c r="L71" s="1" t="s">
        <v>209</v>
      </c>
      <c r="M71" s="1">
        <v>949</v>
      </c>
    </row>
    <row r="72" spans="1:13" ht="15.75" customHeight="1">
      <c r="A72" s="1">
        <v>72</v>
      </c>
      <c r="B72" s="1" t="s">
        <v>210</v>
      </c>
      <c r="C72" s="1" t="s">
        <v>211</v>
      </c>
      <c r="D72" s="1" t="s">
        <v>15</v>
      </c>
      <c r="E72" s="1">
        <v>13.5</v>
      </c>
      <c r="F72" s="1" t="s">
        <v>212</v>
      </c>
      <c r="G72" s="1" t="s">
        <v>33</v>
      </c>
      <c r="H72" s="1" t="s">
        <v>50</v>
      </c>
      <c r="I72" s="1" t="s">
        <v>19</v>
      </c>
      <c r="J72" s="1" t="s">
        <v>35</v>
      </c>
      <c r="K72" s="1" t="s">
        <v>213</v>
      </c>
      <c r="L72" s="1" t="s">
        <v>214</v>
      </c>
      <c r="M72" s="1">
        <v>1089</v>
      </c>
    </row>
    <row r="73" spans="1:13" ht="15.75" customHeight="1">
      <c r="A73" s="1">
        <v>73</v>
      </c>
      <c r="B73" s="1" t="s">
        <v>74</v>
      </c>
      <c r="C73" s="1" t="s">
        <v>215</v>
      </c>
      <c r="D73" s="1" t="s">
        <v>15</v>
      </c>
      <c r="E73" s="1">
        <v>13.3</v>
      </c>
      <c r="F73" s="1" t="s">
        <v>66</v>
      </c>
      <c r="G73" s="1" t="s">
        <v>62</v>
      </c>
      <c r="H73" s="1" t="s">
        <v>18</v>
      </c>
      <c r="I73" s="1" t="s">
        <v>34</v>
      </c>
      <c r="J73" s="1" t="s">
        <v>121</v>
      </c>
      <c r="K73" s="1" t="s">
        <v>53</v>
      </c>
      <c r="L73" s="1" t="s">
        <v>199</v>
      </c>
      <c r="M73" s="1">
        <v>955</v>
      </c>
    </row>
    <row r="74" spans="1:13" ht="15.75" customHeight="1">
      <c r="A74" s="1">
        <v>74</v>
      </c>
      <c r="B74" s="1" t="s">
        <v>74</v>
      </c>
      <c r="C74" s="1" t="s">
        <v>120</v>
      </c>
      <c r="D74" s="1" t="s">
        <v>31</v>
      </c>
      <c r="E74" s="1">
        <v>15.6</v>
      </c>
      <c r="F74" s="1" t="s">
        <v>32</v>
      </c>
      <c r="G74" s="1" t="s">
        <v>62</v>
      </c>
      <c r="H74" s="1" t="s">
        <v>18</v>
      </c>
      <c r="I74" s="1" t="s">
        <v>34</v>
      </c>
      <c r="J74" s="1" t="s">
        <v>121</v>
      </c>
      <c r="K74" s="1" t="s">
        <v>53</v>
      </c>
      <c r="L74" s="1" t="s">
        <v>77</v>
      </c>
      <c r="M74" s="1">
        <v>870</v>
      </c>
    </row>
    <row r="75" spans="1:13" ht="15.75" customHeight="1">
      <c r="A75" s="1">
        <v>75</v>
      </c>
      <c r="B75" s="1" t="s">
        <v>189</v>
      </c>
      <c r="C75" s="1" t="s">
        <v>216</v>
      </c>
      <c r="D75" s="1" t="s">
        <v>102</v>
      </c>
      <c r="E75" s="1">
        <v>17.3</v>
      </c>
      <c r="F75" s="1" t="s">
        <v>32</v>
      </c>
      <c r="G75" s="1" t="s">
        <v>103</v>
      </c>
      <c r="H75" s="1" t="s">
        <v>18</v>
      </c>
      <c r="I75" s="1" t="s">
        <v>104</v>
      </c>
      <c r="J75" s="1" t="s">
        <v>105</v>
      </c>
      <c r="K75" s="1" t="s">
        <v>53</v>
      </c>
      <c r="L75" s="1" t="s">
        <v>217</v>
      </c>
      <c r="M75" s="1">
        <v>1095</v>
      </c>
    </row>
    <row r="76" spans="1:13" ht="15.75" customHeight="1">
      <c r="A76" s="1">
        <v>76</v>
      </c>
      <c r="B76" s="1" t="s">
        <v>46</v>
      </c>
      <c r="C76" s="1" t="s">
        <v>218</v>
      </c>
      <c r="D76" s="1" t="s">
        <v>31</v>
      </c>
      <c r="E76" s="1">
        <v>14</v>
      </c>
      <c r="F76" s="1" t="s">
        <v>48</v>
      </c>
      <c r="G76" s="1" t="s">
        <v>70</v>
      </c>
      <c r="H76" s="1" t="s">
        <v>18</v>
      </c>
      <c r="I76" s="1" t="s">
        <v>89</v>
      </c>
      <c r="J76" s="1" t="s">
        <v>71</v>
      </c>
      <c r="K76" s="1" t="s">
        <v>53</v>
      </c>
      <c r="L76" s="1" t="s">
        <v>54</v>
      </c>
      <c r="M76" s="1">
        <v>389</v>
      </c>
    </row>
    <row r="77" spans="1:13" ht="15.75" customHeight="1">
      <c r="A77" s="1">
        <v>77</v>
      </c>
      <c r="B77" s="1" t="s">
        <v>60</v>
      </c>
      <c r="C77" s="1" t="s">
        <v>219</v>
      </c>
      <c r="D77" s="1" t="s">
        <v>102</v>
      </c>
      <c r="E77" s="1">
        <v>15.6</v>
      </c>
      <c r="F77" s="1" t="s">
        <v>32</v>
      </c>
      <c r="G77" s="1" t="s">
        <v>155</v>
      </c>
      <c r="H77" s="1" t="s">
        <v>18</v>
      </c>
      <c r="I77" s="1" t="s">
        <v>89</v>
      </c>
      <c r="J77" s="1" t="s">
        <v>105</v>
      </c>
      <c r="K77" s="1" t="s">
        <v>53</v>
      </c>
      <c r="L77" s="1" t="s">
        <v>77</v>
      </c>
      <c r="M77" s="1">
        <v>949</v>
      </c>
    </row>
    <row r="78" spans="1:13" ht="15.75" customHeight="1">
      <c r="A78" s="1">
        <v>78</v>
      </c>
      <c r="B78" s="1" t="s">
        <v>86</v>
      </c>
      <c r="C78" s="1" t="s">
        <v>220</v>
      </c>
      <c r="D78" s="1" t="s">
        <v>31</v>
      </c>
      <c r="E78" s="1">
        <v>15.6</v>
      </c>
      <c r="F78" s="1" t="s">
        <v>32</v>
      </c>
      <c r="G78" s="1" t="s">
        <v>33</v>
      </c>
      <c r="H78" s="1" t="s">
        <v>18</v>
      </c>
      <c r="I78" s="1" t="s">
        <v>221</v>
      </c>
      <c r="J78" s="1" t="s">
        <v>35</v>
      </c>
      <c r="K78" s="1" t="s">
        <v>36</v>
      </c>
      <c r="L78" s="1" t="s">
        <v>77</v>
      </c>
      <c r="M78" s="1">
        <v>519</v>
      </c>
    </row>
    <row r="79" spans="1:13" ht="15.75" customHeight="1">
      <c r="A79" s="1">
        <v>79</v>
      </c>
      <c r="B79" s="1" t="s">
        <v>74</v>
      </c>
      <c r="C79" s="1" t="s">
        <v>120</v>
      </c>
      <c r="D79" s="1" t="s">
        <v>31</v>
      </c>
      <c r="E79" s="1">
        <v>15.6</v>
      </c>
      <c r="F79" s="1" t="s">
        <v>32</v>
      </c>
      <c r="G79" s="1" t="s">
        <v>62</v>
      </c>
      <c r="H79" s="1" t="s">
        <v>18</v>
      </c>
      <c r="I79" s="1" t="s">
        <v>104</v>
      </c>
      <c r="J79" s="1" t="s">
        <v>68</v>
      </c>
      <c r="K79" s="1" t="s">
        <v>53</v>
      </c>
      <c r="L79" s="1" t="s">
        <v>222</v>
      </c>
      <c r="M79" s="1">
        <v>855</v>
      </c>
    </row>
    <row r="80" spans="1:13" ht="15.75" customHeight="1">
      <c r="A80" s="1">
        <v>80</v>
      </c>
      <c r="B80" s="1" t="s">
        <v>46</v>
      </c>
      <c r="C80" s="1" t="s">
        <v>223</v>
      </c>
      <c r="D80" s="1" t="s">
        <v>31</v>
      </c>
      <c r="E80" s="1">
        <v>15.6</v>
      </c>
      <c r="F80" s="1" t="s">
        <v>32</v>
      </c>
      <c r="G80" s="1" t="s">
        <v>146</v>
      </c>
      <c r="H80" s="1" t="s">
        <v>50</v>
      </c>
      <c r="I80" s="1" t="s">
        <v>89</v>
      </c>
      <c r="J80" s="1" t="s">
        <v>224</v>
      </c>
      <c r="K80" s="1" t="s">
        <v>53</v>
      </c>
      <c r="L80" s="1" t="s">
        <v>77</v>
      </c>
      <c r="M80" s="1">
        <v>530</v>
      </c>
    </row>
    <row r="81" spans="1:13" ht="15.75" customHeight="1">
      <c r="A81" s="1">
        <v>81</v>
      </c>
      <c r="B81" s="1" t="s">
        <v>29</v>
      </c>
      <c r="C81" s="1" t="s">
        <v>126</v>
      </c>
      <c r="D81" s="1" t="s">
        <v>31</v>
      </c>
      <c r="E81" s="1">
        <v>17.3</v>
      </c>
      <c r="F81" s="1" t="s">
        <v>32</v>
      </c>
      <c r="G81" s="1" t="s">
        <v>67</v>
      </c>
      <c r="H81" s="1" t="s">
        <v>18</v>
      </c>
      <c r="I81" s="1" t="s">
        <v>104</v>
      </c>
      <c r="J81" s="1" t="s">
        <v>127</v>
      </c>
      <c r="K81" s="1" t="s">
        <v>53</v>
      </c>
      <c r="L81" s="1" t="s">
        <v>106</v>
      </c>
      <c r="M81" s="1">
        <v>977</v>
      </c>
    </row>
    <row r="82" spans="1:13" ht="15.75" customHeight="1">
      <c r="A82" s="1">
        <v>82</v>
      </c>
      <c r="B82" s="1" t="s">
        <v>74</v>
      </c>
      <c r="C82" s="1" t="s">
        <v>122</v>
      </c>
      <c r="D82" s="1" t="s">
        <v>15</v>
      </c>
      <c r="E82" s="1">
        <v>15.6</v>
      </c>
      <c r="F82" s="1" t="s">
        <v>66</v>
      </c>
      <c r="G82" s="1" t="s">
        <v>67</v>
      </c>
      <c r="H82" s="1" t="s">
        <v>18</v>
      </c>
      <c r="I82" s="1" t="s">
        <v>34</v>
      </c>
      <c r="J82" s="1" t="s">
        <v>68</v>
      </c>
      <c r="K82" s="1" t="s">
        <v>53</v>
      </c>
      <c r="L82" s="1" t="s">
        <v>125</v>
      </c>
      <c r="M82" s="1">
        <v>1096.1600000000001</v>
      </c>
    </row>
    <row r="83" spans="1:13" ht="15.75" customHeight="1">
      <c r="A83" s="1">
        <v>83</v>
      </c>
      <c r="B83" s="1" t="s">
        <v>13</v>
      </c>
      <c r="C83" s="1" t="s">
        <v>78</v>
      </c>
      <c r="D83" s="1" t="s">
        <v>15</v>
      </c>
      <c r="E83" s="1">
        <v>12</v>
      </c>
      <c r="F83" s="1" t="s">
        <v>79</v>
      </c>
      <c r="G83" s="1" t="s">
        <v>225</v>
      </c>
      <c r="H83" s="1" t="s">
        <v>18</v>
      </c>
      <c r="I83" s="1" t="s">
        <v>41</v>
      </c>
      <c r="J83" s="1" t="s">
        <v>81</v>
      </c>
      <c r="K83" s="1" t="s">
        <v>21</v>
      </c>
      <c r="L83" s="1" t="s">
        <v>82</v>
      </c>
      <c r="M83" s="1">
        <v>1510</v>
      </c>
    </row>
    <row r="84" spans="1:13" ht="15.75" customHeight="1">
      <c r="A84" s="1">
        <v>84</v>
      </c>
      <c r="B84" s="1" t="s">
        <v>29</v>
      </c>
      <c r="C84" s="1" t="s">
        <v>226</v>
      </c>
      <c r="D84" s="1" t="s">
        <v>31</v>
      </c>
      <c r="E84" s="1">
        <v>14</v>
      </c>
      <c r="F84" s="1" t="s">
        <v>32</v>
      </c>
      <c r="G84" s="1" t="s">
        <v>67</v>
      </c>
      <c r="H84" s="1" t="s">
        <v>18</v>
      </c>
      <c r="I84" s="1" t="s">
        <v>34</v>
      </c>
      <c r="J84" s="1" t="s">
        <v>35</v>
      </c>
      <c r="K84" s="1" t="s">
        <v>53</v>
      </c>
      <c r="L84" s="1" t="s">
        <v>227</v>
      </c>
      <c r="M84" s="1">
        <v>860</v>
      </c>
    </row>
    <row r="85" spans="1:13" ht="15.75" customHeight="1">
      <c r="A85" s="1">
        <v>85</v>
      </c>
      <c r="B85" s="1" t="s">
        <v>86</v>
      </c>
      <c r="C85" s="1" t="s">
        <v>228</v>
      </c>
      <c r="D85" s="1" t="s">
        <v>31</v>
      </c>
      <c r="E85" s="1">
        <v>15.6</v>
      </c>
      <c r="F85" s="1" t="s">
        <v>32</v>
      </c>
      <c r="G85" s="1" t="s">
        <v>138</v>
      </c>
      <c r="H85" s="1" t="s">
        <v>50</v>
      </c>
      <c r="I85" s="1" t="s">
        <v>19</v>
      </c>
      <c r="J85" s="1" t="s">
        <v>229</v>
      </c>
      <c r="K85" s="1" t="s">
        <v>53</v>
      </c>
      <c r="L85" s="1" t="s">
        <v>77</v>
      </c>
      <c r="M85" s="1">
        <v>399</v>
      </c>
    </row>
    <row r="86" spans="1:13" ht="15.75" customHeight="1">
      <c r="A86" s="1">
        <v>86</v>
      </c>
      <c r="B86" s="1" t="s">
        <v>46</v>
      </c>
      <c r="C86" s="1" t="s">
        <v>47</v>
      </c>
      <c r="D86" s="1" t="s">
        <v>31</v>
      </c>
      <c r="E86" s="1">
        <v>15.6</v>
      </c>
      <c r="F86" s="1" t="s">
        <v>48</v>
      </c>
      <c r="G86" s="1" t="s">
        <v>49</v>
      </c>
      <c r="H86" s="1" t="s">
        <v>50</v>
      </c>
      <c r="I86" s="1" t="s">
        <v>89</v>
      </c>
      <c r="J86" s="1" t="s">
        <v>52</v>
      </c>
      <c r="K86" s="1" t="s">
        <v>53</v>
      </c>
      <c r="L86" s="1" t="s">
        <v>54</v>
      </c>
      <c r="M86" s="1">
        <v>395</v>
      </c>
    </row>
    <row r="87" spans="1:13" ht="15.75" customHeight="1">
      <c r="A87" s="1">
        <v>87</v>
      </c>
      <c r="B87" s="1" t="s">
        <v>74</v>
      </c>
      <c r="C87" s="1" t="s">
        <v>154</v>
      </c>
      <c r="D87" s="1" t="s">
        <v>102</v>
      </c>
      <c r="E87" s="1">
        <v>15.6</v>
      </c>
      <c r="F87" s="1" t="s">
        <v>66</v>
      </c>
      <c r="G87" s="1" t="s">
        <v>155</v>
      </c>
      <c r="H87" s="1" t="s">
        <v>40</v>
      </c>
      <c r="I87" s="1" t="s">
        <v>104</v>
      </c>
      <c r="J87" s="1" t="s">
        <v>201</v>
      </c>
      <c r="K87" s="1" t="s">
        <v>53</v>
      </c>
      <c r="L87" s="1" t="s">
        <v>158</v>
      </c>
      <c r="M87" s="1">
        <v>1349</v>
      </c>
    </row>
    <row r="88" spans="1:13" ht="15.75" customHeight="1">
      <c r="A88" s="1">
        <v>88</v>
      </c>
      <c r="B88" s="1" t="s">
        <v>29</v>
      </c>
      <c r="C88" s="1" t="s">
        <v>230</v>
      </c>
      <c r="D88" s="1" t="s">
        <v>15</v>
      </c>
      <c r="E88" s="1">
        <v>15.6</v>
      </c>
      <c r="F88" s="1" t="s">
        <v>66</v>
      </c>
      <c r="G88" s="1" t="s">
        <v>62</v>
      </c>
      <c r="H88" s="1" t="s">
        <v>18</v>
      </c>
      <c r="I88" s="1" t="s">
        <v>34</v>
      </c>
      <c r="J88" s="1" t="s">
        <v>231</v>
      </c>
      <c r="K88" s="1" t="s">
        <v>53</v>
      </c>
      <c r="L88" s="1" t="s">
        <v>43</v>
      </c>
      <c r="M88" s="1">
        <v>699</v>
      </c>
    </row>
    <row r="89" spans="1:13" ht="15.75" customHeight="1">
      <c r="A89" s="1">
        <v>89</v>
      </c>
      <c r="B89" s="1" t="s">
        <v>29</v>
      </c>
      <c r="C89" s="1" t="s">
        <v>30</v>
      </c>
      <c r="D89" s="1" t="s">
        <v>31</v>
      </c>
      <c r="E89" s="1">
        <v>15.6</v>
      </c>
      <c r="F89" s="1" t="s">
        <v>32</v>
      </c>
      <c r="G89" s="1" t="s">
        <v>33</v>
      </c>
      <c r="H89" s="1" t="s">
        <v>18</v>
      </c>
      <c r="I89" s="1" t="s">
        <v>34</v>
      </c>
      <c r="J89" s="1" t="s">
        <v>35</v>
      </c>
      <c r="K89" s="1" t="s">
        <v>53</v>
      </c>
      <c r="L89" s="1" t="s">
        <v>232</v>
      </c>
      <c r="M89" s="1">
        <v>598.99</v>
      </c>
    </row>
    <row r="90" spans="1:13" ht="15.75" customHeight="1">
      <c r="A90" s="1">
        <v>90</v>
      </c>
      <c r="B90" s="1" t="s">
        <v>60</v>
      </c>
      <c r="C90" s="1" t="s">
        <v>233</v>
      </c>
      <c r="D90" s="1" t="s">
        <v>102</v>
      </c>
      <c r="E90" s="1">
        <v>15.6</v>
      </c>
      <c r="F90" s="1" t="s">
        <v>66</v>
      </c>
      <c r="G90" s="1" t="s">
        <v>155</v>
      </c>
      <c r="H90" s="1" t="s">
        <v>40</v>
      </c>
      <c r="I90" s="1" t="s">
        <v>104</v>
      </c>
      <c r="J90" s="1" t="s">
        <v>157</v>
      </c>
      <c r="K90" s="1" t="s">
        <v>53</v>
      </c>
      <c r="L90" s="1" t="s">
        <v>77</v>
      </c>
      <c r="M90" s="1">
        <v>1449</v>
      </c>
    </row>
    <row r="91" spans="1:13" ht="15.75" customHeight="1">
      <c r="A91" s="1">
        <v>91</v>
      </c>
      <c r="B91" s="1" t="s">
        <v>74</v>
      </c>
      <c r="C91" s="1" t="s">
        <v>91</v>
      </c>
      <c r="D91" s="1" t="s">
        <v>15</v>
      </c>
      <c r="E91" s="1">
        <v>13.3</v>
      </c>
      <c r="F91" s="1" t="s">
        <v>66</v>
      </c>
      <c r="G91" s="1" t="s">
        <v>62</v>
      </c>
      <c r="H91" s="1" t="s">
        <v>18</v>
      </c>
      <c r="I91" s="1" t="s">
        <v>34</v>
      </c>
      <c r="J91" s="1" t="s">
        <v>68</v>
      </c>
      <c r="K91" s="1" t="s">
        <v>53</v>
      </c>
      <c r="L91" s="1" t="s">
        <v>234</v>
      </c>
      <c r="M91" s="1">
        <v>1649</v>
      </c>
    </row>
    <row r="92" spans="1:13" ht="15.75" customHeight="1">
      <c r="A92" s="1">
        <v>92</v>
      </c>
      <c r="B92" s="1" t="s">
        <v>60</v>
      </c>
      <c r="C92" s="1" t="s">
        <v>235</v>
      </c>
      <c r="D92" s="1" t="s">
        <v>102</v>
      </c>
      <c r="E92" s="1">
        <v>15.6</v>
      </c>
      <c r="F92" s="1" t="s">
        <v>32</v>
      </c>
      <c r="G92" s="1" t="s">
        <v>236</v>
      </c>
      <c r="H92" s="1" t="s">
        <v>18</v>
      </c>
      <c r="I92" s="1" t="s">
        <v>89</v>
      </c>
      <c r="J92" s="1" t="s">
        <v>237</v>
      </c>
      <c r="K92" s="1" t="s">
        <v>53</v>
      </c>
      <c r="L92" s="1" t="s">
        <v>238</v>
      </c>
      <c r="M92" s="1">
        <v>699</v>
      </c>
    </row>
    <row r="93" spans="1:13" ht="15.75" customHeight="1">
      <c r="A93" s="1">
        <v>93</v>
      </c>
      <c r="B93" s="1" t="s">
        <v>46</v>
      </c>
      <c r="C93" s="1" t="s">
        <v>239</v>
      </c>
      <c r="D93" s="1" t="s">
        <v>31</v>
      </c>
      <c r="E93" s="1">
        <v>15.6</v>
      </c>
      <c r="F93" s="1" t="s">
        <v>32</v>
      </c>
      <c r="G93" s="1" t="s">
        <v>62</v>
      </c>
      <c r="H93" s="1" t="s">
        <v>18</v>
      </c>
      <c r="I93" s="1" t="s">
        <v>89</v>
      </c>
      <c r="J93" s="1" t="s">
        <v>63</v>
      </c>
      <c r="K93" s="1" t="s">
        <v>53</v>
      </c>
      <c r="L93" s="1" t="s">
        <v>77</v>
      </c>
      <c r="M93" s="1">
        <v>689</v>
      </c>
    </row>
    <row r="94" spans="1:13" ht="15.75" customHeight="1">
      <c r="A94" s="1">
        <v>94</v>
      </c>
      <c r="B94" s="1" t="s">
        <v>29</v>
      </c>
      <c r="C94" s="1" t="s">
        <v>240</v>
      </c>
      <c r="D94" s="1" t="s">
        <v>31</v>
      </c>
      <c r="E94" s="1">
        <v>13.3</v>
      </c>
      <c r="F94" s="1" t="s">
        <v>32</v>
      </c>
      <c r="G94" s="1" t="s">
        <v>62</v>
      </c>
      <c r="H94" s="1" t="s">
        <v>40</v>
      </c>
      <c r="I94" s="1" t="s">
        <v>41</v>
      </c>
      <c r="J94" s="1" t="s">
        <v>68</v>
      </c>
      <c r="K94" s="1" t="s">
        <v>53</v>
      </c>
      <c r="L94" s="1" t="s">
        <v>182</v>
      </c>
      <c r="M94" s="1">
        <v>1197</v>
      </c>
    </row>
    <row r="95" spans="1:13" ht="15.75" customHeight="1">
      <c r="A95" s="1">
        <v>95</v>
      </c>
      <c r="B95" s="1" t="s">
        <v>74</v>
      </c>
      <c r="C95" s="1" t="s">
        <v>154</v>
      </c>
      <c r="D95" s="1" t="s">
        <v>102</v>
      </c>
      <c r="E95" s="1">
        <v>15.6</v>
      </c>
      <c r="F95" s="1" t="s">
        <v>32</v>
      </c>
      <c r="G95" s="1" t="s">
        <v>103</v>
      </c>
      <c r="H95" s="1" t="s">
        <v>18</v>
      </c>
      <c r="I95" s="1" t="s">
        <v>34</v>
      </c>
      <c r="J95" s="1" t="s">
        <v>157</v>
      </c>
      <c r="K95" s="1" t="s">
        <v>53</v>
      </c>
      <c r="L95" s="1" t="s">
        <v>158</v>
      </c>
      <c r="M95" s="1">
        <v>1195</v>
      </c>
    </row>
    <row r="96" spans="1:13" ht="15.75" customHeight="1">
      <c r="A96" s="1">
        <v>96</v>
      </c>
      <c r="B96" s="1" t="s">
        <v>60</v>
      </c>
      <c r="C96" s="1" t="s">
        <v>241</v>
      </c>
      <c r="D96" s="1" t="s">
        <v>15</v>
      </c>
      <c r="E96" s="1">
        <v>14</v>
      </c>
      <c r="F96" s="1" t="s">
        <v>32</v>
      </c>
      <c r="G96" s="1" t="s">
        <v>83</v>
      </c>
      <c r="H96" s="1" t="s">
        <v>18</v>
      </c>
      <c r="I96" s="1" t="s">
        <v>34</v>
      </c>
      <c r="J96" s="1" t="s">
        <v>35</v>
      </c>
      <c r="K96" s="1" t="s">
        <v>53</v>
      </c>
      <c r="L96" s="1" t="s">
        <v>242</v>
      </c>
      <c r="M96" s="1">
        <v>1049</v>
      </c>
    </row>
    <row r="97" spans="1:13" ht="15.75" customHeight="1">
      <c r="A97" s="1">
        <v>97</v>
      </c>
      <c r="B97" s="1" t="s">
        <v>46</v>
      </c>
      <c r="C97" s="1" t="s">
        <v>243</v>
      </c>
      <c r="D97" s="1" t="s">
        <v>111</v>
      </c>
      <c r="E97" s="1">
        <v>13.3</v>
      </c>
      <c r="F97" s="1" t="s">
        <v>92</v>
      </c>
      <c r="G97" s="1" t="s">
        <v>67</v>
      </c>
      <c r="H97" s="1" t="s">
        <v>18</v>
      </c>
      <c r="I97" s="1" t="s">
        <v>34</v>
      </c>
      <c r="J97" s="1" t="s">
        <v>68</v>
      </c>
      <c r="K97" s="1" t="s">
        <v>53</v>
      </c>
      <c r="L97" s="1" t="s">
        <v>244</v>
      </c>
      <c r="M97" s="1">
        <v>847</v>
      </c>
    </row>
    <row r="98" spans="1:13" ht="15.75" customHeight="1">
      <c r="A98" s="1">
        <v>98</v>
      </c>
      <c r="B98" s="1" t="s">
        <v>74</v>
      </c>
      <c r="C98" s="1" t="s">
        <v>75</v>
      </c>
      <c r="D98" s="1" t="s">
        <v>31</v>
      </c>
      <c r="E98" s="1">
        <v>15.6</v>
      </c>
      <c r="F98" s="1" t="s">
        <v>32</v>
      </c>
      <c r="G98" s="1" t="s">
        <v>83</v>
      </c>
      <c r="H98" s="1" t="s">
        <v>18</v>
      </c>
      <c r="I98" s="1" t="s">
        <v>89</v>
      </c>
      <c r="J98" s="1" t="s">
        <v>76</v>
      </c>
      <c r="K98" s="1" t="s">
        <v>147</v>
      </c>
      <c r="L98" s="1" t="s">
        <v>77</v>
      </c>
      <c r="M98" s="1">
        <v>599.9</v>
      </c>
    </row>
    <row r="99" spans="1:13" ht="15.75" customHeight="1">
      <c r="A99" s="1">
        <v>99</v>
      </c>
      <c r="B99" s="1" t="s">
        <v>74</v>
      </c>
      <c r="C99" s="1" t="s">
        <v>75</v>
      </c>
      <c r="D99" s="1" t="s">
        <v>31</v>
      </c>
      <c r="E99" s="1">
        <v>15.6</v>
      </c>
      <c r="F99" s="1" t="s">
        <v>32</v>
      </c>
      <c r="G99" s="1" t="s">
        <v>70</v>
      </c>
      <c r="H99" s="1" t="s">
        <v>50</v>
      </c>
      <c r="I99" s="1" t="s">
        <v>34</v>
      </c>
      <c r="J99" s="1" t="s">
        <v>76</v>
      </c>
      <c r="K99" s="1" t="s">
        <v>147</v>
      </c>
      <c r="L99" s="1" t="s">
        <v>77</v>
      </c>
      <c r="M99" s="1">
        <v>485</v>
      </c>
    </row>
    <row r="100" spans="1:13" ht="15.75" customHeight="1">
      <c r="A100" s="1">
        <v>100</v>
      </c>
      <c r="B100" s="1" t="s">
        <v>60</v>
      </c>
      <c r="C100" s="1" t="s">
        <v>245</v>
      </c>
      <c r="D100" s="1" t="s">
        <v>31</v>
      </c>
      <c r="E100" s="1">
        <v>15.6</v>
      </c>
      <c r="F100" s="1" t="s">
        <v>32</v>
      </c>
      <c r="G100" s="1" t="s">
        <v>88</v>
      </c>
      <c r="H100" s="1" t="s">
        <v>246</v>
      </c>
      <c r="I100" s="1" t="s">
        <v>34</v>
      </c>
      <c r="J100" s="1" t="s">
        <v>247</v>
      </c>
      <c r="K100" s="1" t="s">
        <v>53</v>
      </c>
      <c r="L100" s="1" t="s">
        <v>153</v>
      </c>
      <c r="M100" s="1">
        <v>577</v>
      </c>
    </row>
    <row r="101" spans="1:13" ht="15.75" customHeight="1">
      <c r="A101" s="1">
        <v>102</v>
      </c>
      <c r="B101" s="1" t="s">
        <v>29</v>
      </c>
      <c r="C101" s="1" t="s">
        <v>248</v>
      </c>
      <c r="D101" s="1" t="s">
        <v>102</v>
      </c>
      <c r="E101" s="1">
        <v>15.6</v>
      </c>
      <c r="F101" s="1" t="s">
        <v>66</v>
      </c>
      <c r="G101" s="1" t="s">
        <v>155</v>
      </c>
      <c r="H101" s="1" t="s">
        <v>162</v>
      </c>
      <c r="I101" s="1" t="s">
        <v>104</v>
      </c>
      <c r="J101" s="1" t="s">
        <v>105</v>
      </c>
      <c r="K101" s="1" t="s">
        <v>53</v>
      </c>
      <c r="L101" s="1" t="s">
        <v>249</v>
      </c>
      <c r="M101" s="1">
        <v>1249</v>
      </c>
    </row>
    <row r="102" spans="1:13" ht="15.75" customHeight="1">
      <c r="A102" s="1">
        <v>103</v>
      </c>
      <c r="B102" s="1" t="s">
        <v>29</v>
      </c>
      <c r="C102" s="1" t="s">
        <v>250</v>
      </c>
      <c r="D102" s="1" t="s">
        <v>31</v>
      </c>
      <c r="E102" s="1">
        <v>15.6</v>
      </c>
      <c r="F102" s="1" t="s">
        <v>32</v>
      </c>
      <c r="G102" s="1" t="s">
        <v>83</v>
      </c>
      <c r="H102" s="1" t="s">
        <v>18</v>
      </c>
      <c r="I102" s="1" t="s">
        <v>34</v>
      </c>
      <c r="J102" s="1" t="s">
        <v>121</v>
      </c>
      <c r="K102" s="1" t="s">
        <v>53</v>
      </c>
      <c r="L102" s="1" t="s">
        <v>115</v>
      </c>
      <c r="M102" s="1">
        <v>719</v>
      </c>
    </row>
    <row r="103" spans="1:13" ht="15.75" customHeight="1">
      <c r="A103" s="1">
        <v>104</v>
      </c>
      <c r="B103" s="1" t="s">
        <v>29</v>
      </c>
      <c r="C103" s="1" t="s">
        <v>251</v>
      </c>
      <c r="D103" s="1" t="s">
        <v>31</v>
      </c>
      <c r="E103" s="1">
        <v>15.6</v>
      </c>
      <c r="F103" s="1" t="s">
        <v>32</v>
      </c>
      <c r="G103" s="1" t="s">
        <v>108</v>
      </c>
      <c r="H103" s="1" t="s">
        <v>50</v>
      </c>
      <c r="I103" s="1" t="s">
        <v>51</v>
      </c>
      <c r="J103" s="1" t="s">
        <v>109</v>
      </c>
      <c r="K103" s="1" t="s">
        <v>53</v>
      </c>
      <c r="L103" s="1" t="s">
        <v>54</v>
      </c>
      <c r="M103" s="1">
        <v>349</v>
      </c>
    </row>
    <row r="104" spans="1:13" ht="15.75" customHeight="1">
      <c r="A104" s="1">
        <v>105</v>
      </c>
      <c r="B104" s="1" t="s">
        <v>74</v>
      </c>
      <c r="C104" s="1" t="s">
        <v>184</v>
      </c>
      <c r="D104" s="1" t="s">
        <v>31</v>
      </c>
      <c r="E104" s="1">
        <v>15.6</v>
      </c>
      <c r="F104" s="1" t="s">
        <v>32</v>
      </c>
      <c r="G104" s="1" t="s">
        <v>67</v>
      </c>
      <c r="H104" s="1" t="s">
        <v>18</v>
      </c>
      <c r="I104" s="1" t="s">
        <v>89</v>
      </c>
      <c r="J104" s="1" t="s">
        <v>185</v>
      </c>
      <c r="K104" s="1" t="s">
        <v>147</v>
      </c>
      <c r="L104" s="1" t="s">
        <v>77</v>
      </c>
      <c r="M104" s="1">
        <v>647</v>
      </c>
    </row>
    <row r="105" spans="1:13" ht="15.75" customHeight="1">
      <c r="A105" s="1">
        <v>106</v>
      </c>
      <c r="B105" s="1" t="s">
        <v>29</v>
      </c>
      <c r="C105" s="1" t="s">
        <v>252</v>
      </c>
      <c r="D105" s="1" t="s">
        <v>15</v>
      </c>
      <c r="E105" s="1">
        <v>13.3</v>
      </c>
      <c r="F105" s="1" t="s">
        <v>66</v>
      </c>
      <c r="G105" s="1" t="s">
        <v>83</v>
      </c>
      <c r="H105" s="1" t="s">
        <v>18</v>
      </c>
      <c r="I105" s="1" t="s">
        <v>34</v>
      </c>
      <c r="J105" s="1" t="s">
        <v>63</v>
      </c>
      <c r="K105" s="1" t="s">
        <v>53</v>
      </c>
      <c r="L105" s="1" t="s">
        <v>253</v>
      </c>
      <c r="M105" s="1">
        <v>1119</v>
      </c>
    </row>
    <row r="106" spans="1:13" ht="15.75" customHeight="1">
      <c r="A106" s="1">
        <v>107</v>
      </c>
      <c r="B106" s="1" t="s">
        <v>210</v>
      </c>
      <c r="C106" s="1" t="s">
        <v>211</v>
      </c>
      <c r="D106" s="1" t="s">
        <v>15</v>
      </c>
      <c r="E106" s="1">
        <v>13.5</v>
      </c>
      <c r="F106" s="1" t="s">
        <v>212</v>
      </c>
      <c r="G106" s="1" t="s">
        <v>33</v>
      </c>
      <c r="H106" s="1" t="s">
        <v>18</v>
      </c>
      <c r="I106" s="1" t="s">
        <v>34</v>
      </c>
      <c r="J106" s="1" t="s">
        <v>35</v>
      </c>
      <c r="K106" s="1" t="s">
        <v>213</v>
      </c>
      <c r="L106" s="1" t="s">
        <v>214</v>
      </c>
      <c r="M106" s="1">
        <v>1340</v>
      </c>
    </row>
    <row r="107" spans="1:13" ht="15.75" customHeight="1">
      <c r="A107" s="1">
        <v>108</v>
      </c>
      <c r="B107" s="1" t="s">
        <v>29</v>
      </c>
      <c r="C107" s="1" t="s">
        <v>254</v>
      </c>
      <c r="D107" s="1" t="s">
        <v>31</v>
      </c>
      <c r="E107" s="1">
        <v>14</v>
      </c>
      <c r="F107" s="1" t="s">
        <v>66</v>
      </c>
      <c r="G107" s="1" t="s">
        <v>33</v>
      </c>
      <c r="H107" s="1" t="s">
        <v>246</v>
      </c>
      <c r="I107" s="1" t="s">
        <v>34</v>
      </c>
      <c r="J107" s="1" t="s">
        <v>90</v>
      </c>
      <c r="K107" s="1" t="s">
        <v>53</v>
      </c>
      <c r="L107" s="1" t="s">
        <v>255</v>
      </c>
      <c r="M107" s="1">
        <v>659</v>
      </c>
    </row>
    <row r="108" spans="1:13" ht="15.75" customHeight="1">
      <c r="A108" s="1">
        <v>109</v>
      </c>
      <c r="B108" s="1" t="s">
        <v>86</v>
      </c>
      <c r="C108" s="1" t="s">
        <v>256</v>
      </c>
      <c r="D108" s="1" t="s">
        <v>31</v>
      </c>
      <c r="E108" s="1">
        <v>15.6</v>
      </c>
      <c r="F108" s="1" t="s">
        <v>32</v>
      </c>
      <c r="G108" s="1" t="s">
        <v>70</v>
      </c>
      <c r="H108" s="1" t="s">
        <v>50</v>
      </c>
      <c r="I108" s="1" t="s">
        <v>89</v>
      </c>
      <c r="J108" s="1" t="s">
        <v>71</v>
      </c>
      <c r="K108" s="1" t="s">
        <v>53</v>
      </c>
      <c r="L108" s="1" t="s">
        <v>257</v>
      </c>
      <c r="M108" s="1">
        <v>414.9</v>
      </c>
    </row>
    <row r="109" spans="1:13" ht="15.75" customHeight="1">
      <c r="A109" s="1">
        <v>110</v>
      </c>
      <c r="B109" s="1" t="s">
        <v>60</v>
      </c>
      <c r="C109" s="1" t="s">
        <v>258</v>
      </c>
      <c r="D109" s="1" t="s">
        <v>15</v>
      </c>
      <c r="E109" s="1">
        <v>14</v>
      </c>
      <c r="F109" s="1" t="s">
        <v>66</v>
      </c>
      <c r="G109" s="1" t="s">
        <v>83</v>
      </c>
      <c r="H109" s="1" t="s">
        <v>18</v>
      </c>
      <c r="I109" s="1" t="s">
        <v>34</v>
      </c>
      <c r="J109" s="1" t="s">
        <v>90</v>
      </c>
      <c r="K109" s="1" t="s">
        <v>53</v>
      </c>
      <c r="L109" s="1" t="s">
        <v>64</v>
      </c>
      <c r="M109" s="1">
        <v>1193</v>
      </c>
    </row>
    <row r="110" spans="1:13" ht="15.75" customHeight="1">
      <c r="A110" s="1">
        <v>111</v>
      </c>
      <c r="B110" s="1" t="s">
        <v>189</v>
      </c>
      <c r="C110" s="1" t="s">
        <v>259</v>
      </c>
      <c r="D110" s="1" t="s">
        <v>102</v>
      </c>
      <c r="E110" s="1">
        <v>15.6</v>
      </c>
      <c r="F110" s="1" t="s">
        <v>32</v>
      </c>
      <c r="G110" s="1" t="s">
        <v>155</v>
      </c>
      <c r="H110" s="1" t="s">
        <v>40</v>
      </c>
      <c r="I110" s="1" t="s">
        <v>156</v>
      </c>
      <c r="J110" s="1" t="s">
        <v>201</v>
      </c>
      <c r="K110" s="1" t="s">
        <v>53</v>
      </c>
      <c r="L110" s="1" t="s">
        <v>77</v>
      </c>
      <c r="M110" s="1">
        <v>1299</v>
      </c>
    </row>
    <row r="111" spans="1:13" ht="15.75" customHeight="1">
      <c r="A111" s="1">
        <v>112</v>
      </c>
      <c r="B111" s="1" t="s">
        <v>86</v>
      </c>
      <c r="C111" s="1" t="s">
        <v>260</v>
      </c>
      <c r="D111" s="1" t="s">
        <v>31</v>
      </c>
      <c r="E111" s="1">
        <v>14</v>
      </c>
      <c r="F111" s="1" t="s">
        <v>66</v>
      </c>
      <c r="G111" s="1" t="s">
        <v>83</v>
      </c>
      <c r="H111" s="1" t="s">
        <v>18</v>
      </c>
      <c r="I111" s="1" t="s">
        <v>34</v>
      </c>
      <c r="J111" s="1" t="s">
        <v>35</v>
      </c>
      <c r="K111" s="1" t="s">
        <v>53</v>
      </c>
      <c r="L111" s="1" t="s">
        <v>255</v>
      </c>
      <c r="M111" s="1">
        <v>1480</v>
      </c>
    </row>
    <row r="112" spans="1:13" ht="15.75" customHeight="1">
      <c r="A112" s="1">
        <v>113</v>
      </c>
      <c r="B112" s="1" t="s">
        <v>60</v>
      </c>
      <c r="C112" s="1" t="s">
        <v>261</v>
      </c>
      <c r="D112" s="1" t="s">
        <v>15</v>
      </c>
      <c r="E112" s="1">
        <v>15.6</v>
      </c>
      <c r="F112" s="1" t="s">
        <v>32</v>
      </c>
      <c r="G112" s="1" t="s">
        <v>62</v>
      </c>
      <c r="H112" s="1" t="s">
        <v>40</v>
      </c>
      <c r="I112" s="1" t="s">
        <v>156</v>
      </c>
      <c r="J112" s="1" t="s">
        <v>63</v>
      </c>
      <c r="K112" s="1" t="s">
        <v>53</v>
      </c>
      <c r="L112" s="1" t="s">
        <v>244</v>
      </c>
      <c r="M112" s="1">
        <v>1262</v>
      </c>
    </row>
    <row r="113" spans="1:13" ht="15.75" customHeight="1">
      <c r="A113" s="1">
        <v>114</v>
      </c>
      <c r="B113" s="1" t="s">
        <v>74</v>
      </c>
      <c r="C113" s="1" t="s">
        <v>91</v>
      </c>
      <c r="D113" s="1" t="s">
        <v>15</v>
      </c>
      <c r="E113" s="1">
        <v>13.3</v>
      </c>
      <c r="F113" s="1" t="s">
        <v>262</v>
      </c>
      <c r="G113" s="1" t="s">
        <v>263</v>
      </c>
      <c r="H113" s="1" t="s">
        <v>18</v>
      </c>
      <c r="I113" s="1" t="s">
        <v>34</v>
      </c>
      <c r="J113" s="1" t="s">
        <v>20</v>
      </c>
      <c r="K113" s="1" t="s">
        <v>53</v>
      </c>
      <c r="L113" s="1" t="s">
        <v>264</v>
      </c>
      <c r="M113" s="1">
        <v>1379</v>
      </c>
    </row>
    <row r="114" spans="1:13" ht="15.75" customHeight="1">
      <c r="A114" s="1">
        <v>115</v>
      </c>
      <c r="B114" s="1" t="s">
        <v>86</v>
      </c>
      <c r="C114" s="1" t="s">
        <v>265</v>
      </c>
      <c r="D114" s="1" t="s">
        <v>111</v>
      </c>
      <c r="E114" s="1">
        <v>13.3</v>
      </c>
      <c r="F114" s="1" t="s">
        <v>92</v>
      </c>
      <c r="G114" s="1" t="s">
        <v>33</v>
      </c>
      <c r="H114" s="1" t="s">
        <v>18</v>
      </c>
      <c r="I114" s="1" t="s">
        <v>34</v>
      </c>
      <c r="J114" s="1" t="s">
        <v>35</v>
      </c>
      <c r="K114" s="1" t="s">
        <v>53</v>
      </c>
      <c r="L114" s="1" t="s">
        <v>22</v>
      </c>
      <c r="M114" s="1">
        <v>1399</v>
      </c>
    </row>
    <row r="115" spans="1:13" ht="15.75" customHeight="1">
      <c r="A115" s="1">
        <v>116</v>
      </c>
      <c r="B115" s="1" t="s">
        <v>29</v>
      </c>
      <c r="C115" s="1" t="s">
        <v>266</v>
      </c>
      <c r="D115" s="1" t="s">
        <v>31</v>
      </c>
      <c r="E115" s="1">
        <v>14</v>
      </c>
      <c r="F115" s="1" t="s">
        <v>267</v>
      </c>
      <c r="G115" s="1" t="s">
        <v>67</v>
      </c>
      <c r="H115" s="1" t="s">
        <v>50</v>
      </c>
      <c r="I115" s="1" t="s">
        <v>51</v>
      </c>
      <c r="J115" s="1" t="s">
        <v>68</v>
      </c>
      <c r="K115" s="1" t="s">
        <v>53</v>
      </c>
      <c r="L115" s="1" t="s">
        <v>227</v>
      </c>
      <c r="M115" s="1">
        <v>722</v>
      </c>
    </row>
    <row r="116" spans="1:13" ht="15.75" customHeight="1">
      <c r="A116" s="1">
        <v>117</v>
      </c>
      <c r="B116" s="1" t="s">
        <v>74</v>
      </c>
      <c r="C116" s="1" t="s">
        <v>91</v>
      </c>
      <c r="D116" s="1" t="s">
        <v>15</v>
      </c>
      <c r="E116" s="1">
        <v>13.3</v>
      </c>
      <c r="F116" s="1" t="s">
        <v>66</v>
      </c>
      <c r="G116" s="1" t="s">
        <v>67</v>
      </c>
      <c r="H116" s="1" t="s">
        <v>18</v>
      </c>
      <c r="I116" s="1" t="s">
        <v>34</v>
      </c>
      <c r="J116" s="1" t="s">
        <v>68</v>
      </c>
      <c r="K116" s="1" t="s">
        <v>53</v>
      </c>
      <c r="L116" s="1" t="s">
        <v>234</v>
      </c>
      <c r="M116" s="1">
        <v>1629</v>
      </c>
    </row>
    <row r="117" spans="1:13" ht="15.75" customHeight="1">
      <c r="A117" s="1">
        <v>118</v>
      </c>
      <c r="B117" s="1" t="s">
        <v>29</v>
      </c>
      <c r="C117" s="1" t="s">
        <v>268</v>
      </c>
      <c r="D117" s="1" t="s">
        <v>111</v>
      </c>
      <c r="E117" s="1">
        <v>13.3</v>
      </c>
      <c r="F117" s="1" t="s">
        <v>92</v>
      </c>
      <c r="G117" s="1" t="s">
        <v>67</v>
      </c>
      <c r="H117" s="1" t="s">
        <v>18</v>
      </c>
      <c r="I117" s="1" t="s">
        <v>34</v>
      </c>
      <c r="J117" s="1" t="s">
        <v>68</v>
      </c>
      <c r="K117" s="1" t="s">
        <v>53</v>
      </c>
      <c r="L117" s="1" t="s">
        <v>269</v>
      </c>
      <c r="M117" s="1">
        <v>1398.99</v>
      </c>
    </row>
    <row r="118" spans="1:13" ht="15.75" customHeight="1">
      <c r="A118" s="1">
        <v>119</v>
      </c>
      <c r="B118" s="1" t="s">
        <v>29</v>
      </c>
      <c r="C118" s="1" t="s">
        <v>266</v>
      </c>
      <c r="D118" s="1" t="s">
        <v>31</v>
      </c>
      <c r="E118" s="1">
        <v>14</v>
      </c>
      <c r="F118" s="1" t="s">
        <v>32</v>
      </c>
      <c r="G118" s="1" t="s">
        <v>62</v>
      </c>
      <c r="H118" s="1" t="s">
        <v>18</v>
      </c>
      <c r="I118" s="1" t="s">
        <v>41</v>
      </c>
      <c r="J118" s="1" t="s">
        <v>68</v>
      </c>
      <c r="K118" s="1" t="s">
        <v>53</v>
      </c>
      <c r="L118" s="1" t="s">
        <v>227</v>
      </c>
      <c r="M118" s="1">
        <v>1084</v>
      </c>
    </row>
    <row r="119" spans="1:13" ht="15.75" customHeight="1">
      <c r="A119" s="1">
        <v>120</v>
      </c>
      <c r="B119" s="1" t="s">
        <v>74</v>
      </c>
      <c r="C119" s="1" t="s">
        <v>270</v>
      </c>
      <c r="D119" s="1" t="s">
        <v>31</v>
      </c>
      <c r="E119" s="1">
        <v>15.6</v>
      </c>
      <c r="F119" s="1" t="s">
        <v>66</v>
      </c>
      <c r="G119" s="1" t="s">
        <v>62</v>
      </c>
      <c r="H119" s="1" t="s">
        <v>18</v>
      </c>
      <c r="I119" s="1" t="s">
        <v>156</v>
      </c>
      <c r="J119" s="1" t="s">
        <v>90</v>
      </c>
      <c r="K119" s="1" t="s">
        <v>53</v>
      </c>
      <c r="L119" s="1" t="s">
        <v>271</v>
      </c>
      <c r="M119" s="1">
        <v>1130.33</v>
      </c>
    </row>
    <row r="120" spans="1:13" ht="15.75" customHeight="1">
      <c r="A120" s="1">
        <v>121</v>
      </c>
      <c r="B120" s="1" t="s">
        <v>60</v>
      </c>
      <c r="C120" s="1" t="s">
        <v>272</v>
      </c>
      <c r="D120" s="1" t="s">
        <v>31</v>
      </c>
      <c r="E120" s="1">
        <v>17.3</v>
      </c>
      <c r="F120" s="1" t="s">
        <v>32</v>
      </c>
      <c r="G120" s="1" t="s">
        <v>70</v>
      </c>
      <c r="H120" s="1" t="s">
        <v>50</v>
      </c>
      <c r="I120" s="1" t="s">
        <v>89</v>
      </c>
      <c r="J120" s="1" t="s">
        <v>174</v>
      </c>
      <c r="K120" s="1" t="s">
        <v>53</v>
      </c>
      <c r="L120" s="1" t="s">
        <v>153</v>
      </c>
      <c r="M120" s="1">
        <v>564</v>
      </c>
    </row>
    <row r="121" spans="1:13" ht="15.75" customHeight="1">
      <c r="A121" s="1">
        <v>122</v>
      </c>
      <c r="B121" s="1" t="s">
        <v>60</v>
      </c>
      <c r="C121" s="1" t="s">
        <v>261</v>
      </c>
      <c r="D121" s="1" t="s">
        <v>31</v>
      </c>
      <c r="E121" s="1">
        <v>15.6</v>
      </c>
      <c r="F121" s="1" t="s">
        <v>32</v>
      </c>
      <c r="G121" s="1" t="s">
        <v>62</v>
      </c>
      <c r="H121" s="1" t="s">
        <v>18</v>
      </c>
      <c r="I121" s="1" t="s">
        <v>34</v>
      </c>
      <c r="J121" s="1" t="s">
        <v>90</v>
      </c>
      <c r="K121" s="1" t="s">
        <v>53</v>
      </c>
      <c r="L121" s="1" t="s">
        <v>196</v>
      </c>
      <c r="M121" s="1">
        <v>1118</v>
      </c>
    </row>
    <row r="122" spans="1:13" ht="15.75" customHeight="1">
      <c r="A122" s="1">
        <v>123</v>
      </c>
      <c r="B122" s="1" t="s">
        <v>46</v>
      </c>
      <c r="C122" s="1" t="s">
        <v>273</v>
      </c>
      <c r="D122" s="1" t="s">
        <v>31</v>
      </c>
      <c r="E122" s="1">
        <v>15.6</v>
      </c>
      <c r="F122" s="1" t="s">
        <v>92</v>
      </c>
      <c r="G122" s="1" t="s">
        <v>88</v>
      </c>
      <c r="H122" s="1" t="s">
        <v>246</v>
      </c>
      <c r="I122" s="1" t="s">
        <v>89</v>
      </c>
      <c r="J122" s="1" t="s">
        <v>35</v>
      </c>
      <c r="K122" s="1" t="s">
        <v>53</v>
      </c>
      <c r="L122" s="1" t="s">
        <v>54</v>
      </c>
      <c r="M122" s="1">
        <v>479</v>
      </c>
    </row>
    <row r="123" spans="1:13" ht="15.75" customHeight="1">
      <c r="A123" s="1">
        <v>124</v>
      </c>
      <c r="B123" s="1" t="s">
        <v>189</v>
      </c>
      <c r="C123" s="1" t="s">
        <v>274</v>
      </c>
      <c r="D123" s="1" t="s">
        <v>102</v>
      </c>
      <c r="E123" s="1">
        <v>15.6</v>
      </c>
      <c r="F123" s="1" t="s">
        <v>32</v>
      </c>
      <c r="G123" s="1" t="s">
        <v>155</v>
      </c>
      <c r="H123" s="1" t="s">
        <v>40</v>
      </c>
      <c r="I123" s="1" t="s">
        <v>191</v>
      </c>
      <c r="J123" s="1" t="s">
        <v>192</v>
      </c>
      <c r="K123" s="1" t="s">
        <v>53</v>
      </c>
      <c r="L123" s="1" t="s">
        <v>202</v>
      </c>
      <c r="M123" s="1">
        <v>2241.5</v>
      </c>
    </row>
    <row r="124" spans="1:13" ht="15.75" customHeight="1">
      <c r="A124" s="1">
        <v>125</v>
      </c>
      <c r="B124" s="1" t="s">
        <v>86</v>
      </c>
      <c r="C124" s="1" t="s">
        <v>220</v>
      </c>
      <c r="D124" s="1" t="s">
        <v>31</v>
      </c>
      <c r="E124" s="1">
        <v>15.6</v>
      </c>
      <c r="F124" s="1" t="s">
        <v>32</v>
      </c>
      <c r="G124" s="1" t="s">
        <v>33</v>
      </c>
      <c r="H124" s="1" t="s">
        <v>18</v>
      </c>
      <c r="I124" s="1" t="s">
        <v>34</v>
      </c>
      <c r="J124" s="1" t="s">
        <v>90</v>
      </c>
      <c r="K124" s="1" t="s">
        <v>36</v>
      </c>
      <c r="L124" s="1" t="s">
        <v>77</v>
      </c>
      <c r="M124" s="1">
        <v>629</v>
      </c>
    </row>
    <row r="125" spans="1:13" ht="15.75" customHeight="1">
      <c r="A125" s="1">
        <v>126</v>
      </c>
      <c r="B125" s="1" t="s">
        <v>29</v>
      </c>
      <c r="C125" s="1" t="s">
        <v>275</v>
      </c>
      <c r="D125" s="1" t="s">
        <v>31</v>
      </c>
      <c r="E125" s="1">
        <v>17.3</v>
      </c>
      <c r="F125" s="1" t="s">
        <v>32</v>
      </c>
      <c r="G125" s="1" t="s">
        <v>62</v>
      </c>
      <c r="H125" s="1" t="s">
        <v>40</v>
      </c>
      <c r="I125" s="1" t="s">
        <v>41</v>
      </c>
      <c r="J125" s="1" t="s">
        <v>151</v>
      </c>
      <c r="K125" s="1" t="s">
        <v>53</v>
      </c>
      <c r="L125" s="1" t="s">
        <v>106</v>
      </c>
      <c r="M125" s="1">
        <v>1271</v>
      </c>
    </row>
    <row r="126" spans="1:13" ht="15.75" customHeight="1">
      <c r="A126" s="1">
        <v>127</v>
      </c>
      <c r="B126" s="1" t="s">
        <v>46</v>
      </c>
      <c r="C126" s="1" t="s">
        <v>47</v>
      </c>
      <c r="D126" s="1" t="s">
        <v>31</v>
      </c>
      <c r="E126" s="1">
        <v>15.6</v>
      </c>
      <c r="F126" s="1" t="s">
        <v>48</v>
      </c>
      <c r="G126" s="1" t="s">
        <v>49</v>
      </c>
      <c r="H126" s="1" t="s">
        <v>50</v>
      </c>
      <c r="I126" s="1" t="s">
        <v>34</v>
      </c>
      <c r="J126" s="1" t="s">
        <v>52</v>
      </c>
      <c r="K126" s="1" t="s">
        <v>53</v>
      </c>
      <c r="L126" s="1" t="s">
        <v>54</v>
      </c>
      <c r="M126" s="1">
        <v>451</v>
      </c>
    </row>
    <row r="127" spans="1:13" ht="15.75" customHeight="1">
      <c r="A127" s="1">
        <v>128</v>
      </c>
      <c r="B127" s="1" t="s">
        <v>29</v>
      </c>
      <c r="C127" s="1" t="s">
        <v>30</v>
      </c>
      <c r="D127" s="1" t="s">
        <v>31</v>
      </c>
      <c r="E127" s="1">
        <v>15.6</v>
      </c>
      <c r="F127" s="1" t="s">
        <v>48</v>
      </c>
      <c r="G127" s="1" t="s">
        <v>204</v>
      </c>
      <c r="H127" s="1" t="s">
        <v>50</v>
      </c>
      <c r="I127" s="1" t="s">
        <v>51</v>
      </c>
      <c r="J127" s="1" t="s">
        <v>99</v>
      </c>
      <c r="K127" s="1" t="s">
        <v>36</v>
      </c>
      <c r="L127" s="1" t="s">
        <v>37</v>
      </c>
      <c r="M127" s="1">
        <v>259</v>
      </c>
    </row>
    <row r="128" spans="1:13" ht="15.75" customHeight="1">
      <c r="A128" s="1">
        <v>129</v>
      </c>
      <c r="B128" s="1" t="s">
        <v>29</v>
      </c>
      <c r="C128" s="1" t="s">
        <v>266</v>
      </c>
      <c r="D128" s="1" t="s">
        <v>31</v>
      </c>
      <c r="E128" s="1">
        <v>14</v>
      </c>
      <c r="F128" s="1" t="s">
        <v>32</v>
      </c>
      <c r="G128" s="1" t="s">
        <v>67</v>
      </c>
      <c r="H128" s="1" t="s">
        <v>18</v>
      </c>
      <c r="I128" s="1" t="s">
        <v>89</v>
      </c>
      <c r="J128" s="1" t="s">
        <v>68</v>
      </c>
      <c r="K128" s="1" t="s">
        <v>53</v>
      </c>
      <c r="L128" s="1" t="s">
        <v>227</v>
      </c>
      <c r="M128" s="1">
        <v>812</v>
      </c>
    </row>
    <row r="129" spans="1:13" ht="15.75" customHeight="1">
      <c r="A129" s="1">
        <v>130</v>
      </c>
      <c r="B129" s="1" t="s">
        <v>60</v>
      </c>
      <c r="C129" s="1" t="s">
        <v>276</v>
      </c>
      <c r="D129" s="1" t="s">
        <v>31</v>
      </c>
      <c r="E129" s="1">
        <v>14</v>
      </c>
      <c r="F129" s="1" t="s">
        <v>48</v>
      </c>
      <c r="G129" s="1" t="s">
        <v>277</v>
      </c>
      <c r="H129" s="1" t="s">
        <v>50</v>
      </c>
      <c r="I129" s="1" t="s">
        <v>278</v>
      </c>
      <c r="J129" s="1" t="s">
        <v>109</v>
      </c>
      <c r="K129" s="1" t="s">
        <v>213</v>
      </c>
      <c r="L129" s="1" t="s">
        <v>136</v>
      </c>
      <c r="M129" s="1">
        <v>277.99</v>
      </c>
    </row>
    <row r="130" spans="1:13" ht="15.75" customHeight="1">
      <c r="A130" s="1">
        <v>131</v>
      </c>
      <c r="B130" s="1" t="s">
        <v>74</v>
      </c>
      <c r="C130" s="1" t="s">
        <v>148</v>
      </c>
      <c r="D130" s="1" t="s">
        <v>31</v>
      </c>
      <c r="E130" s="1">
        <v>17.3</v>
      </c>
      <c r="F130" s="1" t="s">
        <v>32</v>
      </c>
      <c r="G130" s="1" t="s">
        <v>62</v>
      </c>
      <c r="H130" s="1" t="s">
        <v>40</v>
      </c>
      <c r="I130" s="1" t="s">
        <v>191</v>
      </c>
      <c r="J130" s="1" t="s">
        <v>121</v>
      </c>
      <c r="K130" s="1" t="s">
        <v>53</v>
      </c>
      <c r="L130" s="1" t="s">
        <v>149</v>
      </c>
      <c r="M130" s="1">
        <v>1396</v>
      </c>
    </row>
    <row r="131" spans="1:13" ht="15.75" customHeight="1">
      <c r="A131" s="1">
        <v>132</v>
      </c>
      <c r="B131" s="1" t="s">
        <v>29</v>
      </c>
      <c r="C131" s="1" t="s">
        <v>126</v>
      </c>
      <c r="D131" s="1" t="s">
        <v>31</v>
      </c>
      <c r="E131" s="1">
        <v>17.3</v>
      </c>
      <c r="F131" s="1" t="s">
        <v>32</v>
      </c>
      <c r="G131" s="1" t="s">
        <v>67</v>
      </c>
      <c r="H131" s="1" t="s">
        <v>18</v>
      </c>
      <c r="I131" s="1" t="s">
        <v>34</v>
      </c>
      <c r="J131" s="1" t="s">
        <v>68</v>
      </c>
      <c r="K131" s="1" t="s">
        <v>53</v>
      </c>
      <c r="L131" s="1" t="s">
        <v>106</v>
      </c>
      <c r="M131" s="1">
        <v>928</v>
      </c>
    </row>
    <row r="132" spans="1:13" ht="15.75" customHeight="1">
      <c r="A132" s="1">
        <v>133</v>
      </c>
      <c r="B132" s="1" t="s">
        <v>74</v>
      </c>
      <c r="C132" s="1" t="s">
        <v>279</v>
      </c>
      <c r="D132" s="1" t="s">
        <v>31</v>
      </c>
      <c r="E132" s="1">
        <v>15.6</v>
      </c>
      <c r="F132" s="1" t="s">
        <v>48</v>
      </c>
      <c r="G132" s="1" t="s">
        <v>33</v>
      </c>
      <c r="H132" s="1" t="s">
        <v>18</v>
      </c>
      <c r="I132" s="1" t="s">
        <v>89</v>
      </c>
      <c r="J132" s="1" t="s">
        <v>280</v>
      </c>
      <c r="K132" s="1" t="s">
        <v>53</v>
      </c>
      <c r="L132" s="1" t="s">
        <v>281</v>
      </c>
      <c r="M132" s="1">
        <v>638.99</v>
      </c>
    </row>
    <row r="133" spans="1:13" ht="15.75" customHeight="1">
      <c r="A133" s="1">
        <v>134</v>
      </c>
      <c r="B133" s="1" t="s">
        <v>74</v>
      </c>
      <c r="C133" s="1" t="s">
        <v>75</v>
      </c>
      <c r="D133" s="1" t="s">
        <v>31</v>
      </c>
      <c r="E133" s="1">
        <v>15.6</v>
      </c>
      <c r="F133" s="1" t="s">
        <v>32</v>
      </c>
      <c r="G133" s="1" t="s">
        <v>70</v>
      </c>
      <c r="H133" s="1" t="s">
        <v>50</v>
      </c>
      <c r="I133" s="1" t="s">
        <v>89</v>
      </c>
      <c r="J133" s="1" t="s">
        <v>76</v>
      </c>
      <c r="K133" s="1" t="s">
        <v>53</v>
      </c>
      <c r="L133" s="1" t="s">
        <v>77</v>
      </c>
      <c r="M133" s="1">
        <v>449</v>
      </c>
    </row>
    <row r="134" spans="1:13" ht="15.75" customHeight="1">
      <c r="A134" s="1">
        <v>135</v>
      </c>
      <c r="B134" s="1" t="s">
        <v>46</v>
      </c>
      <c r="C134" s="1" t="s">
        <v>65</v>
      </c>
      <c r="D134" s="1" t="s">
        <v>15</v>
      </c>
      <c r="E134" s="1">
        <v>14</v>
      </c>
      <c r="F134" s="1" t="s">
        <v>66</v>
      </c>
      <c r="G134" s="1" t="s">
        <v>62</v>
      </c>
      <c r="H134" s="1" t="s">
        <v>18</v>
      </c>
      <c r="I134" s="1" t="s">
        <v>34</v>
      </c>
      <c r="J134" s="1" t="s">
        <v>68</v>
      </c>
      <c r="K134" s="1" t="s">
        <v>53</v>
      </c>
      <c r="L134" s="1" t="s">
        <v>69</v>
      </c>
      <c r="M134" s="1">
        <v>884</v>
      </c>
    </row>
    <row r="135" spans="1:13" ht="15.75" customHeight="1">
      <c r="A135" s="1">
        <v>136</v>
      </c>
      <c r="B135" s="1" t="s">
        <v>46</v>
      </c>
      <c r="C135" s="1" t="s">
        <v>282</v>
      </c>
      <c r="D135" s="1" t="s">
        <v>31</v>
      </c>
      <c r="E135" s="1">
        <v>15.6</v>
      </c>
      <c r="F135" s="1" t="s">
        <v>32</v>
      </c>
      <c r="G135" s="1" t="s">
        <v>146</v>
      </c>
      <c r="H135" s="1" t="s">
        <v>50</v>
      </c>
      <c r="I135" s="1" t="s">
        <v>34</v>
      </c>
      <c r="J135" s="1" t="s">
        <v>224</v>
      </c>
      <c r="K135" s="1" t="s">
        <v>53</v>
      </c>
      <c r="L135" s="1" t="s">
        <v>77</v>
      </c>
      <c r="M135" s="1">
        <v>572</v>
      </c>
    </row>
    <row r="136" spans="1:13" ht="15.75" customHeight="1">
      <c r="A136" s="1">
        <v>137</v>
      </c>
      <c r="B136" s="1" t="s">
        <v>29</v>
      </c>
      <c r="C136" s="1" t="s">
        <v>283</v>
      </c>
      <c r="D136" s="1" t="s">
        <v>31</v>
      </c>
      <c r="E136" s="1">
        <v>15.6</v>
      </c>
      <c r="F136" s="1" t="s">
        <v>48</v>
      </c>
      <c r="G136" s="1" t="s">
        <v>83</v>
      </c>
      <c r="H136" s="1" t="s">
        <v>18</v>
      </c>
      <c r="I136" s="1" t="s">
        <v>89</v>
      </c>
      <c r="J136" s="1" t="s">
        <v>35</v>
      </c>
      <c r="K136" s="1" t="s">
        <v>53</v>
      </c>
      <c r="L136" s="1" t="s">
        <v>284</v>
      </c>
      <c r="M136" s="1">
        <v>598</v>
      </c>
    </row>
    <row r="137" spans="1:13" ht="15.75" customHeight="1">
      <c r="A137" s="1">
        <v>138</v>
      </c>
      <c r="B137" s="1" t="s">
        <v>29</v>
      </c>
      <c r="C137" s="1" t="s">
        <v>266</v>
      </c>
      <c r="D137" s="1" t="s">
        <v>31</v>
      </c>
      <c r="E137" s="1">
        <v>14</v>
      </c>
      <c r="F137" s="1" t="s">
        <v>32</v>
      </c>
      <c r="G137" s="1" t="s">
        <v>62</v>
      </c>
      <c r="H137" s="1" t="s">
        <v>18</v>
      </c>
      <c r="I137" s="1" t="s">
        <v>34</v>
      </c>
      <c r="J137" s="1" t="s">
        <v>68</v>
      </c>
      <c r="K137" s="1" t="s">
        <v>53</v>
      </c>
      <c r="L137" s="1" t="s">
        <v>227</v>
      </c>
      <c r="M137" s="1">
        <v>988</v>
      </c>
    </row>
    <row r="138" spans="1:13" ht="15.75" customHeight="1">
      <c r="A138" s="1">
        <v>139</v>
      </c>
      <c r="B138" s="1" t="s">
        <v>86</v>
      </c>
      <c r="C138" s="1" t="s">
        <v>285</v>
      </c>
      <c r="D138" s="1" t="s">
        <v>31</v>
      </c>
      <c r="E138" s="1">
        <v>15.6</v>
      </c>
      <c r="F138" s="1" t="s">
        <v>48</v>
      </c>
      <c r="G138" s="1" t="s">
        <v>143</v>
      </c>
      <c r="H138" s="1" t="s">
        <v>50</v>
      </c>
      <c r="I138" s="1" t="s">
        <v>89</v>
      </c>
      <c r="J138" s="1" t="s">
        <v>144</v>
      </c>
      <c r="K138" s="1" t="s">
        <v>36</v>
      </c>
      <c r="L138" s="1" t="s">
        <v>207</v>
      </c>
      <c r="M138" s="1">
        <v>252.36</v>
      </c>
    </row>
    <row r="139" spans="1:13" ht="15.75" customHeight="1">
      <c r="A139" s="1">
        <v>140</v>
      </c>
      <c r="B139" s="1" t="s">
        <v>60</v>
      </c>
      <c r="C139" s="1" t="s">
        <v>286</v>
      </c>
      <c r="D139" s="1" t="s">
        <v>102</v>
      </c>
      <c r="E139" s="1">
        <v>17.3</v>
      </c>
      <c r="F139" s="1" t="s">
        <v>32</v>
      </c>
      <c r="G139" s="1" t="s">
        <v>103</v>
      </c>
      <c r="H139" s="1" t="s">
        <v>18</v>
      </c>
      <c r="I139" s="1" t="s">
        <v>104</v>
      </c>
      <c r="J139" s="1" t="s">
        <v>105</v>
      </c>
      <c r="K139" s="1" t="s">
        <v>53</v>
      </c>
      <c r="L139" s="1" t="s">
        <v>209</v>
      </c>
      <c r="M139" s="1">
        <v>938</v>
      </c>
    </row>
    <row r="140" spans="1:13" ht="15.75" customHeight="1">
      <c r="A140" s="1">
        <v>141</v>
      </c>
      <c r="B140" s="1" t="s">
        <v>86</v>
      </c>
      <c r="C140" s="1" t="s">
        <v>220</v>
      </c>
      <c r="D140" s="1" t="s">
        <v>31</v>
      </c>
      <c r="E140" s="1">
        <v>15.6</v>
      </c>
      <c r="F140" s="1" t="s">
        <v>32</v>
      </c>
      <c r="G140" s="1" t="s">
        <v>33</v>
      </c>
      <c r="H140" s="1" t="s">
        <v>50</v>
      </c>
      <c r="I140" s="1" t="s">
        <v>89</v>
      </c>
      <c r="J140" s="1" t="s">
        <v>174</v>
      </c>
      <c r="K140" s="1" t="s">
        <v>36</v>
      </c>
      <c r="L140" s="1" t="s">
        <v>77</v>
      </c>
      <c r="M140" s="1">
        <v>499</v>
      </c>
    </row>
    <row r="141" spans="1:13" ht="15.75" customHeight="1">
      <c r="A141" s="1">
        <v>142</v>
      </c>
      <c r="B141" s="1" t="s">
        <v>29</v>
      </c>
      <c r="C141" s="1" t="s">
        <v>287</v>
      </c>
      <c r="D141" s="1" t="s">
        <v>31</v>
      </c>
      <c r="E141" s="1">
        <v>13.3</v>
      </c>
      <c r="F141" s="1" t="s">
        <v>66</v>
      </c>
      <c r="G141" s="1" t="s">
        <v>33</v>
      </c>
      <c r="H141" s="1" t="s">
        <v>50</v>
      </c>
      <c r="I141" s="1" t="s">
        <v>34</v>
      </c>
      <c r="J141" s="1" t="s">
        <v>35</v>
      </c>
      <c r="K141" s="1" t="s">
        <v>53</v>
      </c>
      <c r="L141" s="1" t="s">
        <v>288</v>
      </c>
      <c r="M141" s="1">
        <v>699</v>
      </c>
    </row>
    <row r="142" spans="1:13" ht="15.75" customHeight="1">
      <c r="A142" s="1">
        <v>143</v>
      </c>
      <c r="B142" s="1" t="s">
        <v>46</v>
      </c>
      <c r="C142" s="1" t="s">
        <v>239</v>
      </c>
      <c r="D142" s="1" t="s">
        <v>31</v>
      </c>
      <c r="E142" s="1">
        <v>17.3</v>
      </c>
      <c r="F142" s="1" t="s">
        <v>66</v>
      </c>
      <c r="G142" s="1" t="s">
        <v>146</v>
      </c>
      <c r="H142" s="1" t="s">
        <v>50</v>
      </c>
      <c r="I142" s="1" t="s">
        <v>89</v>
      </c>
      <c r="J142" s="1" t="s">
        <v>224</v>
      </c>
      <c r="K142" s="1" t="s">
        <v>53</v>
      </c>
      <c r="L142" s="1" t="s">
        <v>209</v>
      </c>
      <c r="M142" s="1">
        <v>655</v>
      </c>
    </row>
    <row r="143" spans="1:13" ht="15.75" customHeight="1">
      <c r="A143" s="1">
        <v>144</v>
      </c>
      <c r="B143" s="1" t="s">
        <v>86</v>
      </c>
      <c r="C143" s="1" t="s">
        <v>289</v>
      </c>
      <c r="D143" s="1" t="s">
        <v>31</v>
      </c>
      <c r="E143" s="1">
        <v>14</v>
      </c>
      <c r="F143" s="1" t="s">
        <v>66</v>
      </c>
      <c r="G143" s="1" t="s">
        <v>67</v>
      </c>
      <c r="H143" s="1" t="s">
        <v>18</v>
      </c>
      <c r="I143" s="1" t="s">
        <v>34</v>
      </c>
      <c r="J143" s="1" t="s">
        <v>290</v>
      </c>
      <c r="K143" s="1" t="s">
        <v>53</v>
      </c>
      <c r="L143" s="1" t="s">
        <v>291</v>
      </c>
      <c r="M143" s="1">
        <v>1116.02</v>
      </c>
    </row>
    <row r="144" spans="1:13" ht="15.75" customHeight="1">
      <c r="A144" s="1">
        <v>145</v>
      </c>
      <c r="B144" s="1" t="s">
        <v>86</v>
      </c>
      <c r="C144" s="1" t="s">
        <v>101</v>
      </c>
      <c r="D144" s="1" t="s">
        <v>102</v>
      </c>
      <c r="E144" s="1">
        <v>15.6</v>
      </c>
      <c r="F144" s="1" t="s">
        <v>66</v>
      </c>
      <c r="G144" s="1" t="s">
        <v>155</v>
      </c>
      <c r="H144" s="1" t="s">
        <v>18</v>
      </c>
      <c r="I144" s="1" t="s">
        <v>34</v>
      </c>
      <c r="J144" s="1" t="s">
        <v>292</v>
      </c>
      <c r="K144" s="1" t="s">
        <v>36</v>
      </c>
      <c r="L144" s="1" t="s">
        <v>183</v>
      </c>
      <c r="M144" s="1">
        <v>869</v>
      </c>
    </row>
    <row r="145" spans="1:13" ht="15.75" customHeight="1">
      <c r="A145" s="1">
        <v>146</v>
      </c>
      <c r="B145" s="1" t="s">
        <v>293</v>
      </c>
      <c r="C145" s="1" t="s">
        <v>294</v>
      </c>
      <c r="D145" s="1" t="s">
        <v>31</v>
      </c>
      <c r="E145" s="1">
        <v>15.6</v>
      </c>
      <c r="F145" s="1" t="s">
        <v>48</v>
      </c>
      <c r="G145" s="1" t="s">
        <v>295</v>
      </c>
      <c r="H145" s="1" t="s">
        <v>50</v>
      </c>
      <c r="I145" s="1" t="s">
        <v>51</v>
      </c>
      <c r="J145" s="1" t="s">
        <v>71</v>
      </c>
      <c r="K145" s="1" t="s">
        <v>53</v>
      </c>
      <c r="L145" s="1" t="s">
        <v>54</v>
      </c>
      <c r="M145" s="1">
        <v>602</v>
      </c>
    </row>
    <row r="146" spans="1:13" ht="15.75" customHeight="1">
      <c r="A146" s="1">
        <v>147</v>
      </c>
      <c r="B146" s="1" t="s">
        <v>29</v>
      </c>
      <c r="C146" s="1" t="s">
        <v>107</v>
      </c>
      <c r="D146" s="1" t="s">
        <v>31</v>
      </c>
      <c r="E146" s="1">
        <v>15.6</v>
      </c>
      <c r="F146" s="1" t="s">
        <v>48</v>
      </c>
      <c r="G146" s="1" t="s">
        <v>138</v>
      </c>
      <c r="H146" s="1" t="s">
        <v>50</v>
      </c>
      <c r="I146" s="1" t="s">
        <v>34</v>
      </c>
      <c r="J146" s="1" t="s">
        <v>180</v>
      </c>
      <c r="K146" s="1" t="s">
        <v>53</v>
      </c>
      <c r="L146" s="1" t="s">
        <v>37</v>
      </c>
      <c r="M146" s="1">
        <v>369</v>
      </c>
    </row>
    <row r="147" spans="1:13" ht="15.75" customHeight="1">
      <c r="A147" s="1">
        <v>148</v>
      </c>
      <c r="B147" s="1" t="s">
        <v>60</v>
      </c>
      <c r="C147" s="1" t="s">
        <v>296</v>
      </c>
      <c r="D147" s="1" t="s">
        <v>15</v>
      </c>
      <c r="E147" s="1">
        <v>14</v>
      </c>
      <c r="F147" s="1" t="s">
        <v>32</v>
      </c>
      <c r="G147" s="1" t="s">
        <v>62</v>
      </c>
      <c r="H147" s="1" t="s">
        <v>18</v>
      </c>
      <c r="I147" s="1" t="s">
        <v>34</v>
      </c>
      <c r="J147" s="1" t="s">
        <v>68</v>
      </c>
      <c r="K147" s="1" t="s">
        <v>53</v>
      </c>
      <c r="L147" s="1" t="s">
        <v>242</v>
      </c>
      <c r="M147" s="1">
        <v>1099</v>
      </c>
    </row>
    <row r="148" spans="1:13" ht="15.75" customHeight="1">
      <c r="A148" s="1">
        <v>149</v>
      </c>
      <c r="B148" s="1" t="s">
        <v>29</v>
      </c>
      <c r="C148" s="1" t="s">
        <v>297</v>
      </c>
      <c r="D148" s="1" t="s">
        <v>15</v>
      </c>
      <c r="E148" s="1">
        <v>12.5</v>
      </c>
      <c r="F148" s="1" t="s">
        <v>298</v>
      </c>
      <c r="G148" s="1" t="s">
        <v>299</v>
      </c>
      <c r="H148" s="1" t="s">
        <v>18</v>
      </c>
      <c r="I148" s="1" t="s">
        <v>41</v>
      </c>
      <c r="J148" s="1" t="s">
        <v>300</v>
      </c>
      <c r="K148" s="1" t="s">
        <v>53</v>
      </c>
      <c r="L148" s="1" t="s">
        <v>301</v>
      </c>
      <c r="M148" s="1">
        <v>2014</v>
      </c>
    </row>
    <row r="149" spans="1:13" ht="15.75" customHeight="1">
      <c r="A149" s="1">
        <v>150</v>
      </c>
      <c r="B149" s="1" t="s">
        <v>60</v>
      </c>
      <c r="C149" s="1" t="s">
        <v>302</v>
      </c>
      <c r="D149" s="1" t="s">
        <v>31</v>
      </c>
      <c r="E149" s="1">
        <v>15.6</v>
      </c>
      <c r="F149" s="1" t="s">
        <v>32</v>
      </c>
      <c r="G149" s="1" t="s">
        <v>143</v>
      </c>
      <c r="H149" s="1" t="s">
        <v>50</v>
      </c>
      <c r="I149" s="1" t="s">
        <v>89</v>
      </c>
      <c r="J149" s="1" t="s">
        <v>144</v>
      </c>
      <c r="K149" s="1" t="s">
        <v>53</v>
      </c>
      <c r="L149" s="1" t="s">
        <v>153</v>
      </c>
      <c r="M149" s="1">
        <v>344</v>
      </c>
    </row>
    <row r="150" spans="1:13" ht="15.75" customHeight="1">
      <c r="A150" s="1">
        <v>151</v>
      </c>
      <c r="B150" s="1" t="s">
        <v>189</v>
      </c>
      <c r="C150" s="1" t="s">
        <v>303</v>
      </c>
      <c r="D150" s="1" t="s">
        <v>102</v>
      </c>
      <c r="E150" s="1">
        <v>17.3</v>
      </c>
      <c r="F150" s="1" t="s">
        <v>32</v>
      </c>
      <c r="G150" s="1" t="s">
        <v>155</v>
      </c>
      <c r="H150" s="1" t="s">
        <v>40</v>
      </c>
      <c r="I150" s="1" t="s">
        <v>156</v>
      </c>
      <c r="J150" s="1" t="s">
        <v>192</v>
      </c>
      <c r="K150" s="1" t="s">
        <v>53</v>
      </c>
      <c r="L150" s="1" t="s">
        <v>304</v>
      </c>
      <c r="M150" s="1">
        <v>2029</v>
      </c>
    </row>
    <row r="151" spans="1:13" ht="15.75" customHeight="1">
      <c r="A151" s="1">
        <v>152</v>
      </c>
      <c r="B151" s="1" t="s">
        <v>46</v>
      </c>
      <c r="C151" s="1" t="s">
        <v>305</v>
      </c>
      <c r="D151" s="1" t="s">
        <v>31</v>
      </c>
      <c r="E151" s="1">
        <v>15.6</v>
      </c>
      <c r="F151" s="1" t="s">
        <v>48</v>
      </c>
      <c r="G151" s="1" t="s">
        <v>70</v>
      </c>
      <c r="H151" s="1" t="s">
        <v>50</v>
      </c>
      <c r="I151" s="1" t="s">
        <v>89</v>
      </c>
      <c r="J151" s="1" t="s">
        <v>71</v>
      </c>
      <c r="K151" s="1" t="s">
        <v>53</v>
      </c>
      <c r="L151" s="1" t="s">
        <v>54</v>
      </c>
      <c r="M151" s="1">
        <v>447</v>
      </c>
    </row>
    <row r="152" spans="1:13" ht="15.75" customHeight="1">
      <c r="A152" s="1">
        <v>153</v>
      </c>
      <c r="B152" s="1" t="s">
        <v>74</v>
      </c>
      <c r="C152" s="1" t="s">
        <v>306</v>
      </c>
      <c r="D152" s="1" t="s">
        <v>102</v>
      </c>
      <c r="E152" s="1">
        <v>15.6</v>
      </c>
      <c r="F152" s="1" t="s">
        <v>32</v>
      </c>
      <c r="G152" s="1" t="s">
        <v>155</v>
      </c>
      <c r="H152" s="1" t="s">
        <v>40</v>
      </c>
      <c r="I152" s="1" t="s">
        <v>41</v>
      </c>
      <c r="J152" s="1" t="s">
        <v>105</v>
      </c>
      <c r="K152" s="1" t="s">
        <v>53</v>
      </c>
      <c r="L152" s="1" t="s">
        <v>307</v>
      </c>
      <c r="M152" s="1">
        <v>1249.26</v>
      </c>
    </row>
    <row r="153" spans="1:13" ht="15.75" customHeight="1">
      <c r="A153" s="1">
        <v>154</v>
      </c>
      <c r="B153" s="1" t="s">
        <v>74</v>
      </c>
      <c r="C153" s="1" t="s">
        <v>308</v>
      </c>
      <c r="D153" s="1" t="s">
        <v>102</v>
      </c>
      <c r="E153" s="1">
        <v>15.6</v>
      </c>
      <c r="F153" s="1" t="s">
        <v>32</v>
      </c>
      <c r="G153" s="1" t="s">
        <v>155</v>
      </c>
      <c r="H153" s="1" t="s">
        <v>18</v>
      </c>
      <c r="I153" s="1" t="s">
        <v>309</v>
      </c>
      <c r="J153" s="1" t="s">
        <v>105</v>
      </c>
      <c r="K153" s="1" t="s">
        <v>53</v>
      </c>
      <c r="L153" s="1" t="s">
        <v>249</v>
      </c>
      <c r="M153" s="1">
        <v>899</v>
      </c>
    </row>
    <row r="154" spans="1:13" ht="15.75" customHeight="1">
      <c r="A154" s="1">
        <v>155</v>
      </c>
      <c r="B154" s="1" t="s">
        <v>86</v>
      </c>
      <c r="C154" s="1" t="s">
        <v>310</v>
      </c>
      <c r="D154" s="1" t="s">
        <v>31</v>
      </c>
      <c r="E154" s="1">
        <v>15.6</v>
      </c>
      <c r="F154" s="1" t="s">
        <v>48</v>
      </c>
      <c r="G154" s="1" t="s">
        <v>33</v>
      </c>
      <c r="H154" s="1" t="s">
        <v>50</v>
      </c>
      <c r="I154" s="1" t="s">
        <v>19</v>
      </c>
      <c r="J154" s="1" t="s">
        <v>35</v>
      </c>
      <c r="K154" s="1" t="s">
        <v>53</v>
      </c>
      <c r="L154" s="1" t="s">
        <v>207</v>
      </c>
      <c r="M154" s="1">
        <v>498</v>
      </c>
    </row>
    <row r="155" spans="1:13" ht="15.75" customHeight="1">
      <c r="A155" s="1">
        <v>156</v>
      </c>
      <c r="B155" s="1" t="s">
        <v>189</v>
      </c>
      <c r="C155" s="1" t="s">
        <v>311</v>
      </c>
      <c r="D155" s="1" t="s">
        <v>102</v>
      </c>
      <c r="E155" s="1">
        <v>17.3</v>
      </c>
      <c r="F155" s="1" t="s">
        <v>32</v>
      </c>
      <c r="G155" s="1" t="s">
        <v>155</v>
      </c>
      <c r="H155" s="1" t="s">
        <v>40</v>
      </c>
      <c r="I155" s="1" t="s">
        <v>156</v>
      </c>
      <c r="J155" s="1" t="s">
        <v>157</v>
      </c>
      <c r="K155" s="1" t="s">
        <v>53</v>
      </c>
      <c r="L155" s="1" t="s">
        <v>149</v>
      </c>
      <c r="M155" s="1">
        <v>1890</v>
      </c>
    </row>
    <row r="156" spans="1:13" ht="15.75" customHeight="1">
      <c r="A156" s="1">
        <v>157</v>
      </c>
      <c r="B156" s="1" t="s">
        <v>29</v>
      </c>
      <c r="C156" s="1" t="s">
        <v>312</v>
      </c>
      <c r="D156" s="1" t="s">
        <v>15</v>
      </c>
      <c r="E156" s="1">
        <v>14</v>
      </c>
      <c r="F156" s="1" t="s">
        <v>32</v>
      </c>
      <c r="G156" s="1" t="s">
        <v>313</v>
      </c>
      <c r="H156" s="1" t="s">
        <v>50</v>
      </c>
      <c r="I156" s="1" t="s">
        <v>34</v>
      </c>
      <c r="J156" s="1" t="s">
        <v>35</v>
      </c>
      <c r="K156" s="1" t="s">
        <v>53</v>
      </c>
      <c r="L156" s="1" t="s">
        <v>314</v>
      </c>
      <c r="M156" s="1">
        <v>1082</v>
      </c>
    </row>
    <row r="157" spans="1:13" ht="15.75" customHeight="1">
      <c r="A157" s="1">
        <v>158</v>
      </c>
      <c r="B157" s="1" t="s">
        <v>29</v>
      </c>
      <c r="C157" s="1" t="s">
        <v>315</v>
      </c>
      <c r="D157" s="1" t="s">
        <v>31</v>
      </c>
      <c r="E157" s="1">
        <v>15.6</v>
      </c>
      <c r="F157" s="1" t="s">
        <v>32</v>
      </c>
      <c r="G157" s="1" t="s">
        <v>67</v>
      </c>
      <c r="H157" s="1" t="s">
        <v>246</v>
      </c>
      <c r="I157" s="1" t="s">
        <v>34</v>
      </c>
      <c r="J157" s="1" t="s">
        <v>185</v>
      </c>
      <c r="K157" s="1" t="s">
        <v>53</v>
      </c>
      <c r="L157" s="1" t="s">
        <v>115</v>
      </c>
      <c r="M157" s="1">
        <v>619</v>
      </c>
    </row>
    <row r="158" spans="1:13" ht="15.75" customHeight="1">
      <c r="A158" s="1">
        <v>159</v>
      </c>
      <c r="B158" s="1" t="s">
        <v>86</v>
      </c>
      <c r="C158" s="1" t="s">
        <v>316</v>
      </c>
      <c r="D158" s="1" t="s">
        <v>111</v>
      </c>
      <c r="E158" s="1">
        <v>14</v>
      </c>
      <c r="F158" s="1" t="s">
        <v>92</v>
      </c>
      <c r="G158" s="1" t="s">
        <v>88</v>
      </c>
      <c r="H158" s="1" t="s">
        <v>50</v>
      </c>
      <c r="I158" s="1" t="s">
        <v>34</v>
      </c>
      <c r="J158" s="1" t="s">
        <v>35</v>
      </c>
      <c r="K158" s="1" t="s">
        <v>53</v>
      </c>
      <c r="L158" s="1" t="s">
        <v>317</v>
      </c>
      <c r="M158" s="1">
        <v>629</v>
      </c>
    </row>
    <row r="159" spans="1:13" ht="15.75" customHeight="1">
      <c r="A159" s="1">
        <v>160</v>
      </c>
      <c r="B159" s="1" t="s">
        <v>60</v>
      </c>
      <c r="C159" s="1" t="s">
        <v>318</v>
      </c>
      <c r="D159" s="1" t="s">
        <v>111</v>
      </c>
      <c r="E159" s="1">
        <v>13.3</v>
      </c>
      <c r="F159" s="1" t="s">
        <v>112</v>
      </c>
      <c r="G159" s="1" t="s">
        <v>67</v>
      </c>
      <c r="H159" s="1" t="s">
        <v>18</v>
      </c>
      <c r="I159" s="1" t="s">
        <v>34</v>
      </c>
      <c r="J159" s="1" t="s">
        <v>35</v>
      </c>
      <c r="K159" s="1" t="s">
        <v>53</v>
      </c>
      <c r="L159" s="1" t="s">
        <v>319</v>
      </c>
      <c r="M159" s="1">
        <v>1315</v>
      </c>
    </row>
    <row r="160" spans="1:13" ht="15.75" customHeight="1">
      <c r="A160" s="1">
        <v>161</v>
      </c>
      <c r="B160" s="1" t="s">
        <v>74</v>
      </c>
      <c r="C160" s="1" t="s">
        <v>320</v>
      </c>
      <c r="D160" s="1" t="s">
        <v>111</v>
      </c>
      <c r="E160" s="1">
        <v>15.6</v>
      </c>
      <c r="F160" s="1" t="s">
        <v>112</v>
      </c>
      <c r="G160" s="1" t="s">
        <v>62</v>
      </c>
      <c r="H160" s="1" t="s">
        <v>18</v>
      </c>
      <c r="I160" s="1" t="s">
        <v>34</v>
      </c>
      <c r="J160" s="1" t="s">
        <v>68</v>
      </c>
      <c r="K160" s="1" t="s">
        <v>53</v>
      </c>
      <c r="L160" s="1" t="s">
        <v>321</v>
      </c>
      <c r="M160" s="1">
        <v>1049</v>
      </c>
    </row>
    <row r="161" spans="1:13" ht="15.75" customHeight="1">
      <c r="A161" s="1">
        <v>163</v>
      </c>
      <c r="B161" s="1" t="s">
        <v>293</v>
      </c>
      <c r="C161" s="1" t="s">
        <v>294</v>
      </c>
      <c r="D161" s="1" t="s">
        <v>31</v>
      </c>
      <c r="E161" s="1">
        <v>15.6</v>
      </c>
      <c r="F161" s="1" t="s">
        <v>48</v>
      </c>
      <c r="G161" s="1" t="s">
        <v>322</v>
      </c>
      <c r="H161" s="1" t="s">
        <v>50</v>
      </c>
      <c r="I161" s="1" t="s">
        <v>51</v>
      </c>
      <c r="J161" s="1" t="s">
        <v>71</v>
      </c>
      <c r="K161" s="1" t="s">
        <v>53</v>
      </c>
      <c r="L161" s="1" t="s">
        <v>54</v>
      </c>
      <c r="M161" s="1">
        <v>447</v>
      </c>
    </row>
    <row r="162" spans="1:13" ht="15.75" customHeight="1">
      <c r="A162" s="1">
        <v>164</v>
      </c>
      <c r="B162" s="1" t="s">
        <v>60</v>
      </c>
      <c r="C162" s="1" t="s">
        <v>323</v>
      </c>
      <c r="D162" s="1" t="s">
        <v>31</v>
      </c>
      <c r="E162" s="1">
        <v>15.6</v>
      </c>
      <c r="F162" s="1" t="s">
        <v>48</v>
      </c>
      <c r="G162" s="1" t="s">
        <v>49</v>
      </c>
      <c r="H162" s="1" t="s">
        <v>50</v>
      </c>
      <c r="I162" s="1" t="s">
        <v>89</v>
      </c>
      <c r="J162" s="1" t="s">
        <v>324</v>
      </c>
      <c r="K162" s="1" t="s">
        <v>53</v>
      </c>
      <c r="L162" s="1" t="s">
        <v>325</v>
      </c>
      <c r="M162" s="1">
        <v>403</v>
      </c>
    </row>
    <row r="163" spans="1:13" ht="15.75" customHeight="1">
      <c r="A163" s="1">
        <v>165</v>
      </c>
      <c r="B163" s="1" t="s">
        <v>46</v>
      </c>
      <c r="C163" s="1" t="s">
        <v>326</v>
      </c>
      <c r="D163" s="1" t="s">
        <v>31</v>
      </c>
      <c r="E163" s="1">
        <v>17.3</v>
      </c>
      <c r="F163" s="1" t="s">
        <v>66</v>
      </c>
      <c r="G163" s="1" t="s">
        <v>67</v>
      </c>
      <c r="H163" s="1" t="s">
        <v>50</v>
      </c>
      <c r="I163" s="1" t="s">
        <v>34</v>
      </c>
      <c r="J163" s="1" t="s">
        <v>63</v>
      </c>
      <c r="K163" s="1" t="s">
        <v>53</v>
      </c>
      <c r="L163" s="1" t="s">
        <v>209</v>
      </c>
      <c r="M163" s="1">
        <v>805</v>
      </c>
    </row>
    <row r="164" spans="1:13" ht="15.75" customHeight="1">
      <c r="A164" s="1">
        <v>166</v>
      </c>
      <c r="B164" s="1" t="s">
        <v>74</v>
      </c>
      <c r="C164" s="1" t="s">
        <v>184</v>
      </c>
      <c r="D164" s="1" t="s">
        <v>31</v>
      </c>
      <c r="E164" s="1">
        <v>15.6</v>
      </c>
      <c r="F164" s="1" t="s">
        <v>32</v>
      </c>
      <c r="G164" s="1" t="s">
        <v>67</v>
      </c>
      <c r="H164" s="1" t="s">
        <v>18</v>
      </c>
      <c r="I164" s="1" t="s">
        <v>34</v>
      </c>
      <c r="J164" s="1" t="s">
        <v>185</v>
      </c>
      <c r="K164" s="1" t="s">
        <v>53</v>
      </c>
      <c r="L164" s="1" t="s">
        <v>186</v>
      </c>
      <c r="M164" s="1">
        <v>728</v>
      </c>
    </row>
    <row r="165" spans="1:13" ht="15.75" customHeight="1">
      <c r="A165" s="1">
        <v>167</v>
      </c>
      <c r="B165" s="1" t="s">
        <v>86</v>
      </c>
      <c r="C165" s="1" t="s">
        <v>101</v>
      </c>
      <c r="D165" s="1" t="s">
        <v>102</v>
      </c>
      <c r="E165" s="1">
        <v>15.6</v>
      </c>
      <c r="F165" s="1" t="s">
        <v>66</v>
      </c>
      <c r="G165" s="1" t="s">
        <v>155</v>
      </c>
      <c r="H165" s="1" t="s">
        <v>40</v>
      </c>
      <c r="I165" s="1" t="s">
        <v>34</v>
      </c>
      <c r="J165" s="1" t="s">
        <v>201</v>
      </c>
      <c r="K165" s="1" t="s">
        <v>53</v>
      </c>
      <c r="L165" s="1" t="s">
        <v>106</v>
      </c>
      <c r="M165" s="1">
        <v>1079</v>
      </c>
    </row>
    <row r="166" spans="1:13" ht="15.75" customHeight="1">
      <c r="A166" s="1">
        <v>168</v>
      </c>
      <c r="B166" s="1" t="s">
        <v>46</v>
      </c>
      <c r="C166" s="1" t="s">
        <v>327</v>
      </c>
      <c r="D166" s="1" t="s">
        <v>31</v>
      </c>
      <c r="E166" s="1">
        <v>15.6</v>
      </c>
      <c r="F166" s="1" t="s">
        <v>48</v>
      </c>
      <c r="G166" s="1" t="s">
        <v>143</v>
      </c>
      <c r="H166" s="1" t="s">
        <v>50</v>
      </c>
      <c r="I166" s="1" t="s">
        <v>89</v>
      </c>
      <c r="J166" s="1" t="s">
        <v>144</v>
      </c>
      <c r="K166" s="1" t="s">
        <v>53</v>
      </c>
      <c r="L166" s="1" t="s">
        <v>54</v>
      </c>
      <c r="M166" s="1">
        <v>348</v>
      </c>
    </row>
    <row r="167" spans="1:13" ht="15.75" customHeight="1">
      <c r="A167" s="1">
        <v>169</v>
      </c>
      <c r="B167" s="1" t="s">
        <v>189</v>
      </c>
      <c r="C167" s="1" t="s">
        <v>328</v>
      </c>
      <c r="D167" s="1" t="s">
        <v>102</v>
      </c>
      <c r="E167" s="1">
        <v>15.6</v>
      </c>
      <c r="F167" s="1" t="s">
        <v>66</v>
      </c>
      <c r="G167" s="1" t="s">
        <v>155</v>
      </c>
      <c r="H167" s="1" t="s">
        <v>40</v>
      </c>
      <c r="I167" s="1" t="s">
        <v>156</v>
      </c>
      <c r="J167" s="1" t="s">
        <v>157</v>
      </c>
      <c r="K167" s="1" t="s">
        <v>53</v>
      </c>
      <c r="L167" s="1" t="s">
        <v>183</v>
      </c>
      <c r="M167" s="1">
        <v>1799</v>
      </c>
    </row>
    <row r="168" spans="1:13" ht="15.75" customHeight="1">
      <c r="A168" s="1">
        <v>170</v>
      </c>
      <c r="B168" s="1" t="s">
        <v>46</v>
      </c>
      <c r="C168" s="1" t="s">
        <v>47</v>
      </c>
      <c r="D168" s="1" t="s">
        <v>31</v>
      </c>
      <c r="E168" s="1">
        <v>15.6</v>
      </c>
      <c r="F168" s="1" t="s">
        <v>48</v>
      </c>
      <c r="G168" s="1" t="s">
        <v>173</v>
      </c>
      <c r="H168" s="1" t="s">
        <v>50</v>
      </c>
      <c r="I168" s="1" t="s">
        <v>89</v>
      </c>
      <c r="J168" s="1" t="s">
        <v>329</v>
      </c>
      <c r="K168" s="1" t="s">
        <v>53</v>
      </c>
      <c r="L168" s="1" t="s">
        <v>54</v>
      </c>
      <c r="M168" s="1">
        <v>363.51</v>
      </c>
    </row>
    <row r="169" spans="1:13" ht="15.75" customHeight="1">
      <c r="A169" s="1">
        <v>171</v>
      </c>
      <c r="B169" s="1" t="s">
        <v>74</v>
      </c>
      <c r="C169" s="1" t="s">
        <v>306</v>
      </c>
      <c r="D169" s="1" t="s">
        <v>102</v>
      </c>
      <c r="E169" s="1">
        <v>15.6</v>
      </c>
      <c r="F169" s="1" t="s">
        <v>32</v>
      </c>
      <c r="G169" s="1" t="s">
        <v>155</v>
      </c>
      <c r="H169" s="1" t="s">
        <v>18</v>
      </c>
      <c r="I169" s="1" t="s">
        <v>104</v>
      </c>
      <c r="J169" s="1" t="s">
        <v>105</v>
      </c>
      <c r="K169" s="1" t="s">
        <v>53</v>
      </c>
      <c r="L169" s="1" t="s">
        <v>307</v>
      </c>
      <c r="M169" s="1">
        <v>1060.49</v>
      </c>
    </row>
    <row r="170" spans="1:13" ht="15.75" customHeight="1">
      <c r="A170" s="1">
        <v>172</v>
      </c>
      <c r="B170" s="1" t="s">
        <v>46</v>
      </c>
      <c r="C170" s="1" t="s">
        <v>326</v>
      </c>
      <c r="D170" s="1" t="s">
        <v>31</v>
      </c>
      <c r="E170" s="1">
        <v>17.3</v>
      </c>
      <c r="F170" s="1" t="s">
        <v>66</v>
      </c>
      <c r="G170" s="1" t="s">
        <v>67</v>
      </c>
      <c r="H170" s="1" t="s">
        <v>18</v>
      </c>
      <c r="I170" s="1" t="s">
        <v>34</v>
      </c>
      <c r="J170" s="1" t="s">
        <v>63</v>
      </c>
      <c r="K170" s="1" t="s">
        <v>53</v>
      </c>
      <c r="L170" s="1" t="s">
        <v>209</v>
      </c>
      <c r="M170" s="1">
        <v>854</v>
      </c>
    </row>
    <row r="171" spans="1:13" ht="15.75" customHeight="1">
      <c r="A171" s="1">
        <v>173</v>
      </c>
      <c r="B171" s="1" t="s">
        <v>29</v>
      </c>
      <c r="C171" s="1" t="s">
        <v>181</v>
      </c>
      <c r="D171" s="1" t="s">
        <v>31</v>
      </c>
      <c r="E171" s="1">
        <v>13.3</v>
      </c>
      <c r="F171" s="1" t="s">
        <v>66</v>
      </c>
      <c r="G171" s="1" t="s">
        <v>67</v>
      </c>
      <c r="H171" s="1" t="s">
        <v>50</v>
      </c>
      <c r="I171" s="1" t="s">
        <v>51</v>
      </c>
      <c r="J171" s="1" t="s">
        <v>68</v>
      </c>
      <c r="K171" s="1" t="s">
        <v>53</v>
      </c>
      <c r="L171" s="1" t="s">
        <v>182</v>
      </c>
      <c r="M171" s="1">
        <v>754</v>
      </c>
    </row>
    <row r="172" spans="1:13" ht="15.75" customHeight="1">
      <c r="A172" s="1">
        <v>174</v>
      </c>
      <c r="B172" s="1" t="s">
        <v>330</v>
      </c>
      <c r="C172" s="1" t="s">
        <v>331</v>
      </c>
      <c r="D172" s="1" t="s">
        <v>15</v>
      </c>
      <c r="E172" s="1">
        <v>13</v>
      </c>
      <c r="F172" s="1" t="s">
        <v>332</v>
      </c>
      <c r="G172" s="1" t="s">
        <v>33</v>
      </c>
      <c r="H172" s="1" t="s">
        <v>18</v>
      </c>
      <c r="I172" s="1" t="s">
        <v>34</v>
      </c>
      <c r="J172" s="1" t="s">
        <v>35</v>
      </c>
      <c r="K172" s="1" t="s">
        <v>53</v>
      </c>
      <c r="L172" s="1" t="s">
        <v>333</v>
      </c>
      <c r="M172" s="1">
        <v>1349</v>
      </c>
    </row>
    <row r="173" spans="1:13" ht="15.75" customHeight="1">
      <c r="A173" s="1">
        <v>175</v>
      </c>
      <c r="B173" s="1" t="s">
        <v>29</v>
      </c>
      <c r="C173" s="1" t="s">
        <v>334</v>
      </c>
      <c r="D173" s="1" t="s">
        <v>31</v>
      </c>
      <c r="E173" s="1">
        <v>17.3</v>
      </c>
      <c r="F173" s="1" t="s">
        <v>66</v>
      </c>
      <c r="G173" s="1" t="s">
        <v>33</v>
      </c>
      <c r="H173" s="1" t="s">
        <v>246</v>
      </c>
      <c r="I173" s="1" t="s">
        <v>221</v>
      </c>
      <c r="J173" s="1" t="s">
        <v>185</v>
      </c>
      <c r="K173" s="1" t="s">
        <v>53</v>
      </c>
      <c r="L173" s="1" t="s">
        <v>139</v>
      </c>
      <c r="M173" s="1">
        <v>699</v>
      </c>
    </row>
    <row r="174" spans="1:13" ht="15.75" customHeight="1">
      <c r="A174" s="1">
        <v>176</v>
      </c>
      <c r="B174" s="1" t="s">
        <v>86</v>
      </c>
      <c r="C174" s="1" t="s">
        <v>228</v>
      </c>
      <c r="D174" s="1" t="s">
        <v>31</v>
      </c>
      <c r="E174" s="1">
        <v>15.6</v>
      </c>
      <c r="F174" s="1" t="s">
        <v>48</v>
      </c>
      <c r="G174" s="1" t="s">
        <v>335</v>
      </c>
      <c r="H174" s="1" t="s">
        <v>50</v>
      </c>
      <c r="I174" s="1" t="s">
        <v>51</v>
      </c>
      <c r="J174" s="1" t="s">
        <v>180</v>
      </c>
      <c r="K174" s="1" t="s">
        <v>36</v>
      </c>
      <c r="L174" s="1" t="s">
        <v>77</v>
      </c>
      <c r="M174" s="1">
        <v>309</v>
      </c>
    </row>
    <row r="175" spans="1:13" ht="15.75" customHeight="1">
      <c r="A175" s="1">
        <v>177</v>
      </c>
      <c r="B175" s="1" t="s">
        <v>293</v>
      </c>
      <c r="C175" s="1" t="s">
        <v>294</v>
      </c>
      <c r="D175" s="1" t="s">
        <v>31</v>
      </c>
      <c r="E175" s="1">
        <v>15.6</v>
      </c>
      <c r="F175" s="1" t="s">
        <v>48</v>
      </c>
      <c r="G175" s="1" t="s">
        <v>88</v>
      </c>
      <c r="H175" s="1" t="s">
        <v>50</v>
      </c>
      <c r="I175" s="1" t="s">
        <v>51</v>
      </c>
      <c r="J175" s="1" t="s">
        <v>35</v>
      </c>
      <c r="K175" s="1" t="s">
        <v>53</v>
      </c>
      <c r="L175" s="1" t="s">
        <v>153</v>
      </c>
      <c r="M175" s="1">
        <v>489</v>
      </c>
    </row>
    <row r="176" spans="1:13" ht="15.75" customHeight="1">
      <c r="A176" s="1">
        <v>178</v>
      </c>
      <c r="B176" s="1" t="s">
        <v>29</v>
      </c>
      <c r="C176" s="1" t="s">
        <v>126</v>
      </c>
      <c r="D176" s="1" t="s">
        <v>31</v>
      </c>
      <c r="E176" s="1">
        <v>17.3</v>
      </c>
      <c r="F176" s="1" t="s">
        <v>32</v>
      </c>
      <c r="G176" s="1" t="s">
        <v>67</v>
      </c>
      <c r="H176" s="1" t="s">
        <v>18</v>
      </c>
      <c r="I176" s="1" t="s">
        <v>34</v>
      </c>
      <c r="J176" s="1" t="s">
        <v>127</v>
      </c>
      <c r="K176" s="1" t="s">
        <v>53</v>
      </c>
      <c r="L176" s="1" t="s">
        <v>106</v>
      </c>
      <c r="M176" s="1">
        <v>923</v>
      </c>
    </row>
    <row r="177" spans="1:13" ht="15.75" customHeight="1">
      <c r="A177" s="1">
        <v>179</v>
      </c>
      <c r="B177" s="1" t="s">
        <v>74</v>
      </c>
      <c r="C177" s="1" t="s">
        <v>75</v>
      </c>
      <c r="D177" s="1" t="s">
        <v>31</v>
      </c>
      <c r="E177" s="1">
        <v>15.6</v>
      </c>
      <c r="F177" s="1" t="s">
        <v>48</v>
      </c>
      <c r="G177" s="1" t="s">
        <v>88</v>
      </c>
      <c r="H177" s="1" t="s">
        <v>18</v>
      </c>
      <c r="I177" s="1" t="s">
        <v>89</v>
      </c>
      <c r="J177" s="1" t="s">
        <v>35</v>
      </c>
      <c r="K177" s="1" t="s">
        <v>53</v>
      </c>
      <c r="L177" s="1" t="s">
        <v>116</v>
      </c>
      <c r="M177" s="1">
        <v>459</v>
      </c>
    </row>
    <row r="178" spans="1:13" ht="15.75" customHeight="1">
      <c r="A178" s="1">
        <v>180</v>
      </c>
      <c r="B178" s="1" t="s">
        <v>46</v>
      </c>
      <c r="C178" s="1" t="s">
        <v>305</v>
      </c>
      <c r="D178" s="1" t="s">
        <v>31</v>
      </c>
      <c r="E178" s="1">
        <v>15.6</v>
      </c>
      <c r="F178" s="1" t="s">
        <v>48</v>
      </c>
      <c r="G178" s="1" t="s">
        <v>70</v>
      </c>
      <c r="H178" s="1" t="s">
        <v>50</v>
      </c>
      <c r="I178" s="1" t="s">
        <v>19</v>
      </c>
      <c r="J178" s="1" t="s">
        <v>71</v>
      </c>
      <c r="K178" s="1" t="s">
        <v>53</v>
      </c>
      <c r="L178" s="1" t="s">
        <v>54</v>
      </c>
      <c r="M178" s="1">
        <v>449</v>
      </c>
    </row>
    <row r="179" spans="1:13" ht="15.75" customHeight="1">
      <c r="A179" s="1">
        <v>181</v>
      </c>
      <c r="B179" s="1" t="s">
        <v>189</v>
      </c>
      <c r="C179" s="1" t="s">
        <v>336</v>
      </c>
      <c r="D179" s="1" t="s">
        <v>102</v>
      </c>
      <c r="E179" s="1">
        <v>18.399999999999999</v>
      </c>
      <c r="F179" s="1" t="s">
        <v>32</v>
      </c>
      <c r="G179" s="1" t="s">
        <v>337</v>
      </c>
      <c r="H179" s="1" t="s">
        <v>338</v>
      </c>
      <c r="I179" s="1" t="s">
        <v>339</v>
      </c>
      <c r="J179" s="1" t="s">
        <v>340</v>
      </c>
      <c r="K179" s="1" t="s">
        <v>53</v>
      </c>
      <c r="L179" s="1" t="s">
        <v>341</v>
      </c>
      <c r="M179" s="1">
        <v>2799</v>
      </c>
    </row>
    <row r="180" spans="1:13" ht="15.75" customHeight="1">
      <c r="A180" s="1">
        <v>182</v>
      </c>
      <c r="B180" s="1" t="s">
        <v>86</v>
      </c>
      <c r="C180" s="1" t="s">
        <v>342</v>
      </c>
      <c r="D180" s="1" t="s">
        <v>31</v>
      </c>
      <c r="E180" s="1">
        <v>15.6</v>
      </c>
      <c r="F180" s="1" t="s">
        <v>32</v>
      </c>
      <c r="G180" s="1" t="s">
        <v>33</v>
      </c>
      <c r="H180" s="1" t="s">
        <v>18</v>
      </c>
      <c r="I180" s="1" t="s">
        <v>104</v>
      </c>
      <c r="J180" s="1" t="s">
        <v>343</v>
      </c>
      <c r="K180" s="1" t="s">
        <v>53</v>
      </c>
      <c r="L180" s="1" t="s">
        <v>344</v>
      </c>
      <c r="M180" s="1">
        <v>813</v>
      </c>
    </row>
    <row r="181" spans="1:13" ht="15.75" customHeight="1">
      <c r="A181" s="1">
        <v>183</v>
      </c>
      <c r="B181" s="1" t="s">
        <v>29</v>
      </c>
      <c r="C181" s="1" t="s">
        <v>268</v>
      </c>
      <c r="D181" s="1" t="s">
        <v>111</v>
      </c>
      <c r="E181" s="1">
        <v>13.3</v>
      </c>
      <c r="F181" s="1" t="s">
        <v>298</v>
      </c>
      <c r="G181" s="1" t="s">
        <v>67</v>
      </c>
      <c r="H181" s="1" t="s">
        <v>18</v>
      </c>
      <c r="I181" s="1" t="s">
        <v>34</v>
      </c>
      <c r="J181" s="1" t="s">
        <v>68</v>
      </c>
      <c r="K181" s="1" t="s">
        <v>53</v>
      </c>
      <c r="L181" s="1" t="s">
        <v>345</v>
      </c>
      <c r="M181" s="1">
        <v>1499</v>
      </c>
    </row>
    <row r="182" spans="1:13" ht="15.75" customHeight="1">
      <c r="A182" s="1">
        <v>184</v>
      </c>
      <c r="B182" s="1" t="s">
        <v>74</v>
      </c>
      <c r="C182" s="1" t="s">
        <v>120</v>
      </c>
      <c r="D182" s="1" t="s">
        <v>31</v>
      </c>
      <c r="E182" s="1">
        <v>15.6</v>
      </c>
      <c r="F182" s="1" t="s">
        <v>32</v>
      </c>
      <c r="G182" s="1" t="s">
        <v>62</v>
      </c>
      <c r="H182" s="1" t="s">
        <v>40</v>
      </c>
      <c r="I182" s="1" t="s">
        <v>191</v>
      </c>
      <c r="J182" s="1" t="s">
        <v>121</v>
      </c>
      <c r="K182" s="1" t="s">
        <v>147</v>
      </c>
      <c r="L182" s="1" t="s">
        <v>222</v>
      </c>
      <c r="M182" s="1">
        <v>1049</v>
      </c>
    </row>
    <row r="183" spans="1:13" ht="15.75" customHeight="1">
      <c r="A183" s="1">
        <v>185</v>
      </c>
      <c r="B183" s="1" t="s">
        <v>74</v>
      </c>
      <c r="C183" s="1" t="s">
        <v>91</v>
      </c>
      <c r="D183" s="1" t="s">
        <v>15</v>
      </c>
      <c r="E183" s="1">
        <v>13.3</v>
      </c>
      <c r="F183" s="1" t="s">
        <v>32</v>
      </c>
      <c r="G183" s="1" t="s">
        <v>67</v>
      </c>
      <c r="H183" s="1" t="s">
        <v>18</v>
      </c>
      <c r="I183" s="1" t="s">
        <v>34</v>
      </c>
      <c r="J183" s="1" t="s">
        <v>68</v>
      </c>
      <c r="K183" s="1" t="s">
        <v>53</v>
      </c>
      <c r="L183" s="1" t="s">
        <v>264</v>
      </c>
      <c r="M183" s="1">
        <v>1399</v>
      </c>
    </row>
    <row r="184" spans="1:13" ht="15.75" customHeight="1">
      <c r="A184" s="1">
        <v>186</v>
      </c>
      <c r="B184" s="1" t="s">
        <v>86</v>
      </c>
      <c r="C184" s="1" t="s">
        <v>346</v>
      </c>
      <c r="D184" s="1" t="s">
        <v>111</v>
      </c>
      <c r="E184" s="1">
        <v>13.9</v>
      </c>
      <c r="F184" s="1" t="s">
        <v>298</v>
      </c>
      <c r="G184" s="1" t="s">
        <v>62</v>
      </c>
      <c r="H184" s="1" t="s">
        <v>40</v>
      </c>
      <c r="I184" s="1" t="s">
        <v>41</v>
      </c>
      <c r="J184" s="1" t="s">
        <v>68</v>
      </c>
      <c r="K184" s="1" t="s">
        <v>53</v>
      </c>
      <c r="L184" s="1" t="s">
        <v>199</v>
      </c>
      <c r="M184" s="1">
        <v>1849</v>
      </c>
    </row>
    <row r="185" spans="1:13" ht="15.75" customHeight="1">
      <c r="A185" s="1">
        <v>187</v>
      </c>
      <c r="B185" s="1" t="s">
        <v>293</v>
      </c>
      <c r="C185" s="1" t="s">
        <v>294</v>
      </c>
      <c r="D185" s="1" t="s">
        <v>31</v>
      </c>
      <c r="E185" s="1">
        <v>15.6</v>
      </c>
      <c r="F185" s="1" t="s">
        <v>48</v>
      </c>
      <c r="G185" s="1" t="s">
        <v>33</v>
      </c>
      <c r="H185" s="1" t="s">
        <v>18</v>
      </c>
      <c r="I185" s="1" t="s">
        <v>19</v>
      </c>
      <c r="J185" s="1" t="s">
        <v>35</v>
      </c>
      <c r="K185" s="1" t="s">
        <v>53</v>
      </c>
      <c r="L185" s="1" t="s">
        <v>347</v>
      </c>
      <c r="M185" s="1">
        <v>793</v>
      </c>
    </row>
    <row r="186" spans="1:13" ht="15.75" customHeight="1">
      <c r="A186" s="1">
        <v>188</v>
      </c>
      <c r="B186" s="1" t="s">
        <v>348</v>
      </c>
      <c r="C186" s="1" t="s">
        <v>349</v>
      </c>
      <c r="D186" s="1" t="s">
        <v>31</v>
      </c>
      <c r="E186" s="1">
        <v>15.6</v>
      </c>
      <c r="F186" s="1" t="s">
        <v>66</v>
      </c>
      <c r="G186" s="1" t="s">
        <v>67</v>
      </c>
      <c r="H186" s="1" t="s">
        <v>18</v>
      </c>
      <c r="I186" s="1" t="s">
        <v>34</v>
      </c>
      <c r="J186" s="1" t="s">
        <v>63</v>
      </c>
      <c r="K186" s="1" t="s">
        <v>36</v>
      </c>
      <c r="L186" s="1" t="s">
        <v>350</v>
      </c>
      <c r="M186" s="1">
        <v>1199</v>
      </c>
    </row>
    <row r="187" spans="1:13" ht="15.75" customHeight="1">
      <c r="A187" s="1">
        <v>189</v>
      </c>
      <c r="B187" s="1" t="s">
        <v>74</v>
      </c>
      <c r="C187" s="1" t="s">
        <v>161</v>
      </c>
      <c r="D187" s="1" t="s">
        <v>31</v>
      </c>
      <c r="E187" s="1">
        <v>17.3</v>
      </c>
      <c r="F187" s="1" t="s">
        <v>112</v>
      </c>
      <c r="G187" s="1" t="s">
        <v>62</v>
      </c>
      <c r="H187" s="1" t="s">
        <v>40</v>
      </c>
      <c r="I187" s="1" t="s">
        <v>41</v>
      </c>
      <c r="J187" s="1" t="s">
        <v>163</v>
      </c>
      <c r="K187" s="1" t="s">
        <v>53</v>
      </c>
      <c r="L187" s="1" t="s">
        <v>164</v>
      </c>
      <c r="M187" s="1">
        <v>1549</v>
      </c>
    </row>
    <row r="188" spans="1:13" ht="15.75" customHeight="1">
      <c r="A188" s="1">
        <v>190</v>
      </c>
      <c r="B188" s="1" t="s">
        <v>74</v>
      </c>
      <c r="C188" s="1" t="s">
        <v>351</v>
      </c>
      <c r="D188" s="1" t="s">
        <v>31</v>
      </c>
      <c r="E188" s="1">
        <v>15.6</v>
      </c>
      <c r="F188" s="1" t="s">
        <v>352</v>
      </c>
      <c r="G188" s="1" t="s">
        <v>155</v>
      </c>
      <c r="H188" s="1" t="s">
        <v>40</v>
      </c>
      <c r="I188" s="1" t="s">
        <v>41</v>
      </c>
      <c r="J188" s="1" t="s">
        <v>105</v>
      </c>
      <c r="K188" s="1" t="s">
        <v>53</v>
      </c>
      <c r="L188" s="1" t="s">
        <v>353</v>
      </c>
      <c r="M188" s="1">
        <v>2397</v>
      </c>
    </row>
    <row r="189" spans="1:13" ht="15.75" customHeight="1">
      <c r="A189" s="1">
        <v>191</v>
      </c>
      <c r="B189" s="1" t="s">
        <v>86</v>
      </c>
      <c r="C189" s="1" t="s">
        <v>101</v>
      </c>
      <c r="D189" s="1" t="s">
        <v>102</v>
      </c>
      <c r="E189" s="1">
        <v>15.6</v>
      </c>
      <c r="F189" s="1" t="s">
        <v>66</v>
      </c>
      <c r="G189" s="1" t="s">
        <v>103</v>
      </c>
      <c r="H189" s="1" t="s">
        <v>18</v>
      </c>
      <c r="I189" s="1" t="s">
        <v>34</v>
      </c>
      <c r="J189" s="1" t="s">
        <v>105</v>
      </c>
      <c r="K189" s="1" t="s">
        <v>36</v>
      </c>
      <c r="L189" s="1" t="s">
        <v>183</v>
      </c>
      <c r="M189" s="1">
        <v>779</v>
      </c>
    </row>
    <row r="190" spans="1:13" ht="15.75" customHeight="1">
      <c r="A190" s="1">
        <v>192</v>
      </c>
      <c r="B190" s="1" t="s">
        <v>46</v>
      </c>
      <c r="C190" s="1" t="s">
        <v>354</v>
      </c>
      <c r="D190" s="1" t="s">
        <v>15</v>
      </c>
      <c r="E190" s="1">
        <v>13.3</v>
      </c>
      <c r="F190" s="1" t="s">
        <v>66</v>
      </c>
      <c r="G190" s="1" t="s">
        <v>355</v>
      </c>
      <c r="H190" s="1" t="s">
        <v>18</v>
      </c>
      <c r="I190" s="1" t="s">
        <v>34</v>
      </c>
      <c r="J190" s="1" t="s">
        <v>81</v>
      </c>
      <c r="K190" s="1" t="s">
        <v>53</v>
      </c>
      <c r="L190" s="1" t="s">
        <v>356</v>
      </c>
      <c r="M190" s="1">
        <v>989</v>
      </c>
    </row>
    <row r="191" spans="1:13" ht="15.75" customHeight="1">
      <c r="A191" s="1">
        <v>193</v>
      </c>
      <c r="B191" s="1" t="s">
        <v>74</v>
      </c>
      <c r="C191" s="1" t="s">
        <v>148</v>
      </c>
      <c r="D191" s="1" t="s">
        <v>31</v>
      </c>
      <c r="E191" s="1">
        <v>17.3</v>
      </c>
      <c r="F191" s="1" t="s">
        <v>32</v>
      </c>
      <c r="G191" s="1" t="s">
        <v>62</v>
      </c>
      <c r="H191" s="1" t="s">
        <v>18</v>
      </c>
      <c r="I191" s="1" t="s">
        <v>104</v>
      </c>
      <c r="J191" s="1" t="s">
        <v>121</v>
      </c>
      <c r="K191" s="1" t="s">
        <v>53</v>
      </c>
      <c r="L191" s="1" t="s">
        <v>149</v>
      </c>
      <c r="M191" s="1">
        <v>1085</v>
      </c>
    </row>
    <row r="192" spans="1:13" ht="15.75" customHeight="1">
      <c r="A192" s="1">
        <v>194</v>
      </c>
      <c r="B192" s="1" t="s">
        <v>86</v>
      </c>
      <c r="C192" s="1" t="s">
        <v>357</v>
      </c>
      <c r="D192" s="1" t="s">
        <v>111</v>
      </c>
      <c r="E192" s="1">
        <v>14</v>
      </c>
      <c r="F192" s="1" t="s">
        <v>358</v>
      </c>
      <c r="G192" s="1" t="s">
        <v>83</v>
      </c>
      <c r="H192" s="1" t="s">
        <v>40</v>
      </c>
      <c r="I192" s="1" t="s">
        <v>359</v>
      </c>
      <c r="J192" s="1" t="s">
        <v>35</v>
      </c>
      <c r="K192" s="1" t="s">
        <v>53</v>
      </c>
      <c r="L192" s="1" t="s">
        <v>360</v>
      </c>
      <c r="M192" s="1">
        <v>2824</v>
      </c>
    </row>
    <row r="193" spans="1:13" ht="15.75" customHeight="1">
      <c r="A193" s="1">
        <v>195</v>
      </c>
      <c r="B193" s="1" t="s">
        <v>361</v>
      </c>
      <c r="C193" s="1" t="s">
        <v>362</v>
      </c>
      <c r="D193" s="1" t="s">
        <v>31</v>
      </c>
      <c r="E193" s="1">
        <v>14</v>
      </c>
      <c r="F193" s="1" t="s">
        <v>66</v>
      </c>
      <c r="G193" s="1" t="s">
        <v>143</v>
      </c>
      <c r="H193" s="1" t="s">
        <v>50</v>
      </c>
      <c r="I193" s="1" t="s">
        <v>98</v>
      </c>
      <c r="J193" s="1" t="s">
        <v>144</v>
      </c>
      <c r="K193" s="1" t="s">
        <v>53</v>
      </c>
      <c r="L193" s="1" t="s">
        <v>64</v>
      </c>
      <c r="M193" s="1">
        <v>260</v>
      </c>
    </row>
    <row r="194" spans="1:13" ht="15.75" customHeight="1">
      <c r="A194" s="1">
        <v>196</v>
      </c>
      <c r="B194" s="1" t="s">
        <v>348</v>
      </c>
      <c r="C194" s="1" t="s">
        <v>349</v>
      </c>
      <c r="D194" s="1" t="s">
        <v>15</v>
      </c>
      <c r="E194" s="1">
        <v>13.3</v>
      </c>
      <c r="F194" s="1" t="s">
        <v>66</v>
      </c>
      <c r="G194" s="1" t="s">
        <v>33</v>
      </c>
      <c r="H194" s="1" t="s">
        <v>18</v>
      </c>
      <c r="I194" s="1" t="s">
        <v>34</v>
      </c>
      <c r="J194" s="1" t="s">
        <v>63</v>
      </c>
      <c r="K194" s="1" t="s">
        <v>36</v>
      </c>
      <c r="L194" s="1" t="s">
        <v>64</v>
      </c>
      <c r="M194" s="1">
        <v>999.9</v>
      </c>
    </row>
    <row r="195" spans="1:13" ht="15.75" customHeight="1">
      <c r="A195" s="1">
        <v>197</v>
      </c>
      <c r="B195" s="1" t="s">
        <v>86</v>
      </c>
      <c r="C195" s="1" t="s">
        <v>363</v>
      </c>
      <c r="D195" s="1" t="s">
        <v>31</v>
      </c>
      <c r="E195" s="1">
        <v>17.3</v>
      </c>
      <c r="F195" s="1" t="s">
        <v>364</v>
      </c>
      <c r="G195" s="1" t="s">
        <v>67</v>
      </c>
      <c r="H195" s="1" t="s">
        <v>18</v>
      </c>
      <c r="I195" s="1" t="s">
        <v>34</v>
      </c>
      <c r="J195" s="1" t="s">
        <v>63</v>
      </c>
      <c r="K195" s="1" t="s">
        <v>36</v>
      </c>
      <c r="L195" s="1" t="s">
        <v>149</v>
      </c>
      <c r="M195" s="1">
        <v>698</v>
      </c>
    </row>
    <row r="196" spans="1:13" ht="15.75" customHeight="1">
      <c r="A196" s="1">
        <v>198</v>
      </c>
      <c r="B196" s="1" t="s">
        <v>74</v>
      </c>
      <c r="C196" s="1" t="s">
        <v>110</v>
      </c>
      <c r="D196" s="1" t="s">
        <v>111</v>
      </c>
      <c r="E196" s="1">
        <v>13.3</v>
      </c>
      <c r="F196" s="1" t="s">
        <v>92</v>
      </c>
      <c r="G196" s="1" t="s">
        <v>62</v>
      </c>
      <c r="H196" s="1" t="s">
        <v>18</v>
      </c>
      <c r="I196" s="1" t="s">
        <v>89</v>
      </c>
      <c r="J196" s="1" t="s">
        <v>68</v>
      </c>
      <c r="K196" s="1" t="s">
        <v>53</v>
      </c>
      <c r="L196" s="1" t="s">
        <v>113</v>
      </c>
      <c r="M196" s="1">
        <v>839</v>
      </c>
    </row>
    <row r="197" spans="1:13" ht="15.75" customHeight="1">
      <c r="A197" s="1">
        <v>199</v>
      </c>
      <c r="B197" s="1" t="s">
        <v>29</v>
      </c>
      <c r="C197" s="1" t="s">
        <v>126</v>
      </c>
      <c r="D197" s="1" t="s">
        <v>31</v>
      </c>
      <c r="E197" s="1">
        <v>17.3</v>
      </c>
      <c r="F197" s="1" t="s">
        <v>66</v>
      </c>
      <c r="G197" s="1" t="s">
        <v>67</v>
      </c>
      <c r="H197" s="1" t="s">
        <v>18</v>
      </c>
      <c r="I197" s="1" t="s">
        <v>89</v>
      </c>
      <c r="J197" s="1" t="s">
        <v>127</v>
      </c>
      <c r="K197" s="1" t="s">
        <v>53</v>
      </c>
      <c r="L197" s="1" t="s">
        <v>106</v>
      </c>
      <c r="M197" s="1">
        <v>914</v>
      </c>
    </row>
    <row r="198" spans="1:13" ht="15.75" customHeight="1">
      <c r="A198" s="1">
        <v>200</v>
      </c>
      <c r="B198" s="1" t="s">
        <v>365</v>
      </c>
      <c r="C198" s="1" t="s">
        <v>366</v>
      </c>
      <c r="D198" s="1" t="s">
        <v>102</v>
      </c>
      <c r="E198" s="1">
        <v>17.3</v>
      </c>
      <c r="F198" s="1" t="s">
        <v>352</v>
      </c>
      <c r="G198" s="1" t="s">
        <v>367</v>
      </c>
      <c r="H198" s="1" t="s">
        <v>338</v>
      </c>
      <c r="I198" s="1" t="s">
        <v>359</v>
      </c>
      <c r="J198" s="1" t="s">
        <v>368</v>
      </c>
      <c r="K198" s="1" t="s">
        <v>53</v>
      </c>
      <c r="L198" s="1" t="s">
        <v>369</v>
      </c>
      <c r="M198" s="1">
        <v>6099</v>
      </c>
    </row>
    <row r="199" spans="1:13" ht="15.75" customHeight="1">
      <c r="A199" s="1">
        <v>201</v>
      </c>
      <c r="B199" s="1" t="s">
        <v>29</v>
      </c>
      <c r="C199" s="1" t="s">
        <v>181</v>
      </c>
      <c r="D199" s="1" t="s">
        <v>31</v>
      </c>
      <c r="E199" s="1">
        <v>13.3</v>
      </c>
      <c r="F199" s="1" t="s">
        <v>32</v>
      </c>
      <c r="G199" s="1" t="s">
        <v>67</v>
      </c>
      <c r="H199" s="1" t="s">
        <v>18</v>
      </c>
      <c r="I199" s="1" t="s">
        <v>41</v>
      </c>
      <c r="J199" s="1" t="s">
        <v>68</v>
      </c>
      <c r="K199" s="1" t="s">
        <v>53</v>
      </c>
      <c r="L199" s="1" t="s">
        <v>182</v>
      </c>
      <c r="M199" s="1">
        <v>959</v>
      </c>
    </row>
    <row r="200" spans="1:13" ht="15.75" customHeight="1">
      <c r="A200" s="1">
        <v>202</v>
      </c>
      <c r="B200" s="1" t="s">
        <v>29</v>
      </c>
      <c r="C200" s="1" t="s">
        <v>370</v>
      </c>
      <c r="D200" s="1" t="s">
        <v>102</v>
      </c>
      <c r="E200" s="1">
        <v>17.3</v>
      </c>
      <c r="F200" s="1" t="s">
        <v>66</v>
      </c>
      <c r="G200" s="1" t="s">
        <v>155</v>
      </c>
      <c r="H200" s="1" t="s">
        <v>40</v>
      </c>
      <c r="I200" s="1" t="s">
        <v>156</v>
      </c>
      <c r="J200" s="1" t="s">
        <v>105</v>
      </c>
      <c r="K200" s="1" t="s">
        <v>53</v>
      </c>
      <c r="L200" s="1" t="s">
        <v>371</v>
      </c>
      <c r="M200" s="1">
        <v>1379</v>
      </c>
    </row>
    <row r="201" spans="1:13" ht="15.75" customHeight="1">
      <c r="A201" s="1">
        <v>203</v>
      </c>
      <c r="B201" s="1" t="s">
        <v>29</v>
      </c>
      <c r="C201" s="1" t="s">
        <v>275</v>
      </c>
      <c r="D201" s="1" t="s">
        <v>31</v>
      </c>
      <c r="E201" s="1">
        <v>17.3</v>
      </c>
      <c r="F201" s="1" t="s">
        <v>32</v>
      </c>
      <c r="G201" s="1" t="s">
        <v>62</v>
      </c>
      <c r="H201" s="1" t="s">
        <v>18</v>
      </c>
      <c r="I201" s="1" t="s">
        <v>34</v>
      </c>
      <c r="J201" s="1" t="s">
        <v>151</v>
      </c>
      <c r="K201" s="1" t="s">
        <v>53</v>
      </c>
      <c r="L201" s="1" t="s">
        <v>106</v>
      </c>
      <c r="M201" s="1">
        <v>1045</v>
      </c>
    </row>
    <row r="202" spans="1:13" ht="15.75" customHeight="1">
      <c r="A202" s="1">
        <v>204</v>
      </c>
      <c r="B202" s="1" t="s">
        <v>74</v>
      </c>
      <c r="C202" s="1" t="s">
        <v>154</v>
      </c>
      <c r="D202" s="1" t="s">
        <v>102</v>
      </c>
      <c r="E202" s="1">
        <v>15.6</v>
      </c>
      <c r="F202" s="1" t="s">
        <v>372</v>
      </c>
      <c r="G202" s="1" t="s">
        <v>155</v>
      </c>
      <c r="H202" s="1" t="s">
        <v>40</v>
      </c>
      <c r="I202" s="1" t="s">
        <v>339</v>
      </c>
      <c r="J202" s="1" t="s">
        <v>157</v>
      </c>
      <c r="K202" s="1" t="s">
        <v>53</v>
      </c>
      <c r="L202" s="1" t="s">
        <v>158</v>
      </c>
      <c r="M202" s="1">
        <v>1845</v>
      </c>
    </row>
    <row r="203" spans="1:13" ht="15.75" customHeight="1">
      <c r="A203" s="1">
        <v>205</v>
      </c>
      <c r="B203" s="1" t="s">
        <v>86</v>
      </c>
      <c r="C203" s="1" t="s">
        <v>373</v>
      </c>
      <c r="D203" s="1" t="s">
        <v>31</v>
      </c>
      <c r="E203" s="1">
        <v>15.6</v>
      </c>
      <c r="F203" s="1" t="s">
        <v>48</v>
      </c>
      <c r="G203" s="1" t="s">
        <v>295</v>
      </c>
      <c r="H203" s="1" t="s">
        <v>50</v>
      </c>
      <c r="I203" s="1" t="s">
        <v>19</v>
      </c>
      <c r="J203" s="1" t="s">
        <v>71</v>
      </c>
      <c r="K203" s="1" t="s">
        <v>53</v>
      </c>
      <c r="L203" s="1" t="s">
        <v>54</v>
      </c>
      <c r="M203" s="1">
        <v>493</v>
      </c>
    </row>
    <row r="204" spans="1:13" ht="15.75" customHeight="1">
      <c r="A204" s="1">
        <v>206</v>
      </c>
      <c r="B204" s="1" t="s">
        <v>46</v>
      </c>
      <c r="C204" s="1" t="s">
        <v>374</v>
      </c>
      <c r="D204" s="1" t="s">
        <v>31</v>
      </c>
      <c r="E204" s="1">
        <v>15.6</v>
      </c>
      <c r="F204" s="1" t="s">
        <v>32</v>
      </c>
      <c r="G204" s="1" t="s">
        <v>83</v>
      </c>
      <c r="H204" s="1" t="s">
        <v>18</v>
      </c>
      <c r="I204" s="1" t="s">
        <v>89</v>
      </c>
      <c r="J204" s="1" t="s">
        <v>90</v>
      </c>
      <c r="K204" s="1" t="s">
        <v>53</v>
      </c>
      <c r="L204" s="1" t="s">
        <v>375</v>
      </c>
      <c r="M204" s="1">
        <v>742</v>
      </c>
    </row>
    <row r="205" spans="1:13" ht="15.75" customHeight="1">
      <c r="A205" s="1">
        <v>207</v>
      </c>
      <c r="B205" s="1" t="s">
        <v>86</v>
      </c>
      <c r="C205" s="1" t="s">
        <v>376</v>
      </c>
      <c r="D205" s="1" t="s">
        <v>102</v>
      </c>
      <c r="E205" s="1">
        <v>15.6</v>
      </c>
      <c r="F205" s="1" t="s">
        <v>66</v>
      </c>
      <c r="G205" s="1" t="s">
        <v>155</v>
      </c>
      <c r="H205" s="1" t="s">
        <v>40</v>
      </c>
      <c r="I205" s="1" t="s">
        <v>339</v>
      </c>
      <c r="J205" s="1" t="s">
        <v>157</v>
      </c>
      <c r="K205" s="1" t="s">
        <v>53</v>
      </c>
      <c r="L205" s="1" t="s">
        <v>171</v>
      </c>
      <c r="M205" s="1">
        <v>1749</v>
      </c>
    </row>
    <row r="206" spans="1:13" ht="15.75" customHeight="1">
      <c r="A206" s="1">
        <v>208</v>
      </c>
      <c r="B206" s="1" t="s">
        <v>74</v>
      </c>
      <c r="C206" s="1" t="s">
        <v>377</v>
      </c>
      <c r="D206" s="1" t="s">
        <v>378</v>
      </c>
      <c r="E206" s="1">
        <v>15.6</v>
      </c>
      <c r="F206" s="1" t="s">
        <v>379</v>
      </c>
      <c r="G206" s="1" t="s">
        <v>380</v>
      </c>
      <c r="H206" s="1" t="s">
        <v>40</v>
      </c>
      <c r="I206" s="1" t="s">
        <v>156</v>
      </c>
      <c r="J206" s="1" t="s">
        <v>381</v>
      </c>
      <c r="K206" s="1" t="s">
        <v>53</v>
      </c>
      <c r="L206" s="1" t="s">
        <v>149</v>
      </c>
      <c r="M206" s="1">
        <v>3055</v>
      </c>
    </row>
    <row r="207" spans="1:13" ht="15.75" customHeight="1">
      <c r="A207" s="1">
        <v>209</v>
      </c>
      <c r="B207" s="1" t="s">
        <v>86</v>
      </c>
      <c r="C207" s="1" t="s">
        <v>101</v>
      </c>
      <c r="D207" s="1" t="s">
        <v>102</v>
      </c>
      <c r="E207" s="1">
        <v>15.6</v>
      </c>
      <c r="F207" s="1" t="s">
        <v>32</v>
      </c>
      <c r="G207" s="1" t="s">
        <v>155</v>
      </c>
      <c r="H207" s="1" t="s">
        <v>40</v>
      </c>
      <c r="I207" s="1" t="s">
        <v>41</v>
      </c>
      <c r="J207" s="1" t="s">
        <v>157</v>
      </c>
      <c r="K207" s="1" t="s">
        <v>36</v>
      </c>
      <c r="L207" s="1" t="s">
        <v>183</v>
      </c>
      <c r="M207" s="1">
        <v>1398</v>
      </c>
    </row>
    <row r="208" spans="1:13" ht="15.75" customHeight="1">
      <c r="A208" s="1">
        <v>210</v>
      </c>
      <c r="B208" s="1" t="s">
        <v>74</v>
      </c>
      <c r="C208" s="1" t="s">
        <v>75</v>
      </c>
      <c r="D208" s="1" t="s">
        <v>31</v>
      </c>
      <c r="E208" s="1">
        <v>15.6</v>
      </c>
      <c r="F208" s="1" t="s">
        <v>382</v>
      </c>
      <c r="G208" s="1" t="s">
        <v>88</v>
      </c>
      <c r="H208" s="1" t="s">
        <v>246</v>
      </c>
      <c r="I208" s="1" t="s">
        <v>89</v>
      </c>
      <c r="J208" s="1" t="s">
        <v>35</v>
      </c>
      <c r="K208" s="1" t="s">
        <v>53</v>
      </c>
      <c r="L208" s="1" t="s">
        <v>116</v>
      </c>
      <c r="M208" s="1">
        <v>439</v>
      </c>
    </row>
    <row r="209" spans="1:13" ht="15.75" customHeight="1">
      <c r="A209" s="1">
        <v>211</v>
      </c>
      <c r="B209" s="1" t="s">
        <v>74</v>
      </c>
      <c r="C209" s="1" t="s">
        <v>91</v>
      </c>
      <c r="D209" s="1" t="s">
        <v>15</v>
      </c>
      <c r="E209" s="1">
        <v>13.3</v>
      </c>
      <c r="F209" s="1" t="s">
        <v>298</v>
      </c>
      <c r="G209" s="1" t="s">
        <v>62</v>
      </c>
      <c r="H209" s="1" t="s">
        <v>18</v>
      </c>
      <c r="I209" s="1" t="s">
        <v>34</v>
      </c>
      <c r="J209" s="1" t="s">
        <v>68</v>
      </c>
      <c r="K209" s="1" t="s">
        <v>53</v>
      </c>
      <c r="L209" s="1" t="s">
        <v>234</v>
      </c>
      <c r="M209" s="1">
        <v>1949</v>
      </c>
    </row>
    <row r="210" spans="1:13" ht="15.75" customHeight="1">
      <c r="A210" s="1">
        <v>212</v>
      </c>
      <c r="B210" s="1" t="s">
        <v>74</v>
      </c>
      <c r="C210" s="1" t="s">
        <v>91</v>
      </c>
      <c r="D210" s="1" t="s">
        <v>15</v>
      </c>
      <c r="E210" s="1">
        <v>13.3</v>
      </c>
      <c r="F210" s="1" t="s">
        <v>32</v>
      </c>
      <c r="G210" s="1" t="s">
        <v>62</v>
      </c>
      <c r="H210" s="1" t="s">
        <v>18</v>
      </c>
      <c r="I210" s="1" t="s">
        <v>34</v>
      </c>
      <c r="J210" s="1" t="s">
        <v>68</v>
      </c>
      <c r="K210" s="1" t="s">
        <v>53</v>
      </c>
      <c r="L210" s="1" t="s">
        <v>141</v>
      </c>
      <c r="M210" s="1">
        <v>1449</v>
      </c>
    </row>
    <row r="211" spans="1:13" ht="15.75" customHeight="1">
      <c r="A211" s="1">
        <v>213</v>
      </c>
      <c r="B211" s="1" t="s">
        <v>86</v>
      </c>
      <c r="C211" s="1" t="s">
        <v>220</v>
      </c>
      <c r="D211" s="1" t="s">
        <v>31</v>
      </c>
      <c r="E211" s="1">
        <v>15.6</v>
      </c>
      <c r="F211" s="1" t="s">
        <v>48</v>
      </c>
      <c r="G211" s="1" t="s">
        <v>33</v>
      </c>
      <c r="H211" s="1" t="s">
        <v>18</v>
      </c>
      <c r="I211" s="1" t="s">
        <v>34</v>
      </c>
      <c r="J211" s="1" t="s">
        <v>35</v>
      </c>
      <c r="K211" s="1" t="s">
        <v>53</v>
      </c>
      <c r="L211" s="1" t="s">
        <v>77</v>
      </c>
      <c r="M211" s="1">
        <v>597</v>
      </c>
    </row>
    <row r="212" spans="1:13" ht="15.75" customHeight="1">
      <c r="A212" s="1">
        <v>215</v>
      </c>
      <c r="B212" s="1" t="s">
        <v>46</v>
      </c>
      <c r="C212" s="1" t="s">
        <v>383</v>
      </c>
      <c r="D212" s="1" t="s">
        <v>31</v>
      </c>
      <c r="E212" s="1">
        <v>15.6</v>
      </c>
      <c r="F212" s="1" t="s">
        <v>32</v>
      </c>
      <c r="G212" s="1" t="s">
        <v>155</v>
      </c>
      <c r="H212" s="1" t="s">
        <v>18</v>
      </c>
      <c r="I212" s="1" t="s">
        <v>89</v>
      </c>
      <c r="J212" s="1" t="s">
        <v>105</v>
      </c>
      <c r="K212" s="1" t="s">
        <v>147</v>
      </c>
      <c r="L212" s="1" t="s">
        <v>183</v>
      </c>
      <c r="M212" s="1">
        <v>779</v>
      </c>
    </row>
    <row r="213" spans="1:13" ht="15.75" customHeight="1">
      <c r="A213" s="1">
        <v>216</v>
      </c>
      <c r="B213" s="1" t="s">
        <v>60</v>
      </c>
      <c r="C213" s="1" t="s">
        <v>384</v>
      </c>
      <c r="D213" s="1" t="s">
        <v>102</v>
      </c>
      <c r="E213" s="1">
        <v>17.3</v>
      </c>
      <c r="F213" s="1" t="s">
        <v>32</v>
      </c>
      <c r="G213" s="1" t="s">
        <v>155</v>
      </c>
      <c r="H213" s="1" t="s">
        <v>40</v>
      </c>
      <c r="I213" s="1" t="s">
        <v>156</v>
      </c>
      <c r="J213" s="1" t="s">
        <v>105</v>
      </c>
      <c r="K213" s="1" t="s">
        <v>53</v>
      </c>
      <c r="L213" s="1" t="s">
        <v>304</v>
      </c>
      <c r="M213" s="1">
        <v>1407</v>
      </c>
    </row>
    <row r="214" spans="1:13" ht="15.75" customHeight="1">
      <c r="A214" s="1">
        <v>217</v>
      </c>
      <c r="B214" s="1" t="s">
        <v>29</v>
      </c>
      <c r="C214" s="1" t="s">
        <v>385</v>
      </c>
      <c r="D214" s="1" t="s">
        <v>31</v>
      </c>
      <c r="E214" s="1">
        <v>15.6</v>
      </c>
      <c r="F214" s="1" t="s">
        <v>32</v>
      </c>
      <c r="G214" s="1" t="s">
        <v>70</v>
      </c>
      <c r="H214" s="1" t="s">
        <v>50</v>
      </c>
      <c r="I214" s="1" t="s">
        <v>51</v>
      </c>
      <c r="J214" s="1" t="s">
        <v>71</v>
      </c>
      <c r="K214" s="1" t="s">
        <v>36</v>
      </c>
      <c r="L214" s="1" t="s">
        <v>54</v>
      </c>
      <c r="M214" s="1">
        <v>349</v>
      </c>
    </row>
    <row r="215" spans="1:13" ht="15.75" customHeight="1">
      <c r="A215" s="1">
        <v>218</v>
      </c>
      <c r="B215" s="1" t="s">
        <v>86</v>
      </c>
      <c r="C215" s="1" t="s">
        <v>220</v>
      </c>
      <c r="D215" s="1" t="s">
        <v>31</v>
      </c>
      <c r="E215" s="1">
        <v>15.6</v>
      </c>
      <c r="F215" s="1" t="s">
        <v>32</v>
      </c>
      <c r="G215" s="1" t="s">
        <v>33</v>
      </c>
      <c r="H215" s="1" t="s">
        <v>18</v>
      </c>
      <c r="I215" s="1" t="s">
        <v>34</v>
      </c>
      <c r="J215" s="1" t="s">
        <v>35</v>
      </c>
      <c r="K215" s="1" t="s">
        <v>36</v>
      </c>
      <c r="L215" s="1" t="s">
        <v>77</v>
      </c>
      <c r="M215" s="1">
        <v>549</v>
      </c>
    </row>
    <row r="216" spans="1:13" ht="15.75" customHeight="1">
      <c r="A216" s="1">
        <v>219</v>
      </c>
      <c r="B216" s="1" t="s">
        <v>330</v>
      </c>
      <c r="C216" s="1" t="s">
        <v>331</v>
      </c>
      <c r="D216" s="1" t="s">
        <v>15</v>
      </c>
      <c r="E216" s="1">
        <v>13</v>
      </c>
      <c r="F216" s="1" t="s">
        <v>332</v>
      </c>
      <c r="G216" s="1" t="s">
        <v>83</v>
      </c>
      <c r="H216" s="1" t="s">
        <v>18</v>
      </c>
      <c r="I216" s="1" t="s">
        <v>41</v>
      </c>
      <c r="J216" s="1" t="s">
        <v>35</v>
      </c>
      <c r="K216" s="1" t="s">
        <v>53</v>
      </c>
      <c r="L216" s="1" t="s">
        <v>333</v>
      </c>
      <c r="M216" s="1">
        <v>1499</v>
      </c>
    </row>
    <row r="217" spans="1:13" ht="15.75" customHeight="1">
      <c r="A217" s="1">
        <v>220</v>
      </c>
      <c r="B217" s="1" t="s">
        <v>74</v>
      </c>
      <c r="C217" s="1" t="s">
        <v>215</v>
      </c>
      <c r="D217" s="1" t="s">
        <v>15</v>
      </c>
      <c r="E217" s="1">
        <v>13.3</v>
      </c>
      <c r="F217" s="1" t="s">
        <v>66</v>
      </c>
      <c r="G217" s="1" t="s">
        <v>62</v>
      </c>
      <c r="H217" s="1" t="s">
        <v>18</v>
      </c>
      <c r="I217" s="1" t="s">
        <v>34</v>
      </c>
      <c r="J217" s="1" t="s">
        <v>121</v>
      </c>
      <c r="K217" s="1" t="s">
        <v>53</v>
      </c>
      <c r="L217" s="1" t="s">
        <v>199</v>
      </c>
      <c r="M217" s="1">
        <v>931.88</v>
      </c>
    </row>
    <row r="218" spans="1:13" ht="15.75" customHeight="1">
      <c r="A218" s="1">
        <v>221</v>
      </c>
      <c r="B218" s="1" t="s">
        <v>86</v>
      </c>
      <c r="C218" s="1" t="s">
        <v>386</v>
      </c>
      <c r="D218" s="1" t="s">
        <v>31</v>
      </c>
      <c r="E218" s="1">
        <v>17.3</v>
      </c>
      <c r="F218" s="1" t="s">
        <v>364</v>
      </c>
      <c r="G218" s="1" t="s">
        <v>33</v>
      </c>
      <c r="H218" s="1" t="s">
        <v>18</v>
      </c>
      <c r="I218" s="1" t="s">
        <v>89</v>
      </c>
      <c r="J218" s="1" t="s">
        <v>231</v>
      </c>
      <c r="K218" s="1" t="s">
        <v>36</v>
      </c>
      <c r="L218" s="1" t="s">
        <v>149</v>
      </c>
      <c r="M218" s="1">
        <v>589</v>
      </c>
    </row>
    <row r="219" spans="1:13" ht="15.75" customHeight="1">
      <c r="A219" s="1">
        <v>222</v>
      </c>
      <c r="B219" s="1" t="s">
        <v>29</v>
      </c>
      <c r="C219" s="1" t="s">
        <v>266</v>
      </c>
      <c r="D219" s="1" t="s">
        <v>31</v>
      </c>
      <c r="E219" s="1">
        <v>14</v>
      </c>
      <c r="F219" s="1" t="s">
        <v>32</v>
      </c>
      <c r="G219" s="1" t="s">
        <v>62</v>
      </c>
      <c r="H219" s="1" t="s">
        <v>18</v>
      </c>
      <c r="I219" s="1" t="s">
        <v>34</v>
      </c>
      <c r="J219" s="1" t="s">
        <v>127</v>
      </c>
      <c r="K219" s="1" t="s">
        <v>53</v>
      </c>
      <c r="L219" s="1" t="s">
        <v>227</v>
      </c>
      <c r="M219" s="1">
        <v>1031</v>
      </c>
    </row>
    <row r="220" spans="1:13" ht="15.75" customHeight="1">
      <c r="A220" s="1">
        <v>223</v>
      </c>
      <c r="B220" s="1" t="s">
        <v>74</v>
      </c>
      <c r="C220" s="1" t="s">
        <v>387</v>
      </c>
      <c r="D220" s="1" t="s">
        <v>15</v>
      </c>
      <c r="E220" s="1">
        <v>14</v>
      </c>
      <c r="F220" s="1" t="s">
        <v>32</v>
      </c>
      <c r="G220" s="1" t="s">
        <v>67</v>
      </c>
      <c r="H220" s="1" t="s">
        <v>18</v>
      </c>
      <c r="I220" s="1" t="s">
        <v>34</v>
      </c>
      <c r="J220" s="1" t="s">
        <v>68</v>
      </c>
      <c r="K220" s="1" t="s">
        <v>53</v>
      </c>
      <c r="L220" s="1" t="s">
        <v>69</v>
      </c>
      <c r="M220" s="1">
        <v>1149</v>
      </c>
    </row>
    <row r="221" spans="1:13" ht="15.75" customHeight="1">
      <c r="A221" s="1">
        <v>224</v>
      </c>
      <c r="B221" s="1" t="s">
        <v>74</v>
      </c>
      <c r="C221" s="1" t="s">
        <v>110</v>
      </c>
      <c r="D221" s="1" t="s">
        <v>111</v>
      </c>
      <c r="E221" s="1">
        <v>13.3</v>
      </c>
      <c r="F221" s="1" t="s">
        <v>112</v>
      </c>
      <c r="G221" s="1" t="s">
        <v>62</v>
      </c>
      <c r="H221" s="1" t="s">
        <v>40</v>
      </c>
      <c r="I221" s="1" t="s">
        <v>41</v>
      </c>
      <c r="J221" s="1" t="s">
        <v>68</v>
      </c>
      <c r="K221" s="1" t="s">
        <v>53</v>
      </c>
      <c r="L221" s="1" t="s">
        <v>113</v>
      </c>
      <c r="M221" s="1">
        <v>1279</v>
      </c>
    </row>
    <row r="222" spans="1:13" ht="15.75" customHeight="1">
      <c r="A222" s="1">
        <v>225</v>
      </c>
      <c r="B222" s="1" t="s">
        <v>74</v>
      </c>
      <c r="C222" s="1" t="s">
        <v>184</v>
      </c>
      <c r="D222" s="1" t="s">
        <v>31</v>
      </c>
      <c r="E222" s="1">
        <v>15.6</v>
      </c>
      <c r="F222" s="1" t="s">
        <v>32</v>
      </c>
      <c r="G222" s="1" t="s">
        <v>67</v>
      </c>
      <c r="H222" s="1" t="s">
        <v>18</v>
      </c>
      <c r="I222" s="1" t="s">
        <v>34</v>
      </c>
      <c r="J222" s="1" t="s">
        <v>185</v>
      </c>
      <c r="K222" s="1" t="s">
        <v>147</v>
      </c>
      <c r="L222" s="1" t="s">
        <v>77</v>
      </c>
      <c r="M222" s="1">
        <v>677.35</v>
      </c>
    </row>
    <row r="223" spans="1:13" ht="15.75" customHeight="1">
      <c r="A223" s="1">
        <v>226</v>
      </c>
      <c r="B223" s="1" t="s">
        <v>86</v>
      </c>
      <c r="C223" s="1" t="s">
        <v>316</v>
      </c>
      <c r="D223" s="1" t="s">
        <v>111</v>
      </c>
      <c r="E223" s="1">
        <v>14</v>
      </c>
      <c r="F223" s="1" t="s">
        <v>66</v>
      </c>
      <c r="G223" s="1" t="s">
        <v>67</v>
      </c>
      <c r="H223" s="1" t="s">
        <v>18</v>
      </c>
      <c r="I223" s="1" t="s">
        <v>34</v>
      </c>
      <c r="J223" s="1" t="s">
        <v>68</v>
      </c>
      <c r="K223" s="1" t="s">
        <v>53</v>
      </c>
      <c r="L223" s="1" t="s">
        <v>317</v>
      </c>
      <c r="M223" s="1">
        <v>899</v>
      </c>
    </row>
    <row r="224" spans="1:13" ht="15.75" customHeight="1">
      <c r="A224" s="1">
        <v>227</v>
      </c>
      <c r="B224" s="1" t="s">
        <v>293</v>
      </c>
      <c r="C224" s="1" t="s">
        <v>388</v>
      </c>
      <c r="D224" s="1" t="s">
        <v>15</v>
      </c>
      <c r="E224" s="1">
        <v>13.3</v>
      </c>
      <c r="F224" s="1" t="s">
        <v>32</v>
      </c>
      <c r="G224" s="1" t="s">
        <v>389</v>
      </c>
      <c r="H224" s="1" t="s">
        <v>18</v>
      </c>
      <c r="I224" s="1" t="s">
        <v>34</v>
      </c>
      <c r="J224" s="1" t="s">
        <v>71</v>
      </c>
      <c r="K224" s="1" t="s">
        <v>53</v>
      </c>
      <c r="L224" s="1" t="s">
        <v>141</v>
      </c>
      <c r="M224" s="1">
        <v>1363</v>
      </c>
    </row>
    <row r="225" spans="1:13" ht="15.75" customHeight="1">
      <c r="A225" s="1">
        <v>228</v>
      </c>
      <c r="B225" s="1" t="s">
        <v>29</v>
      </c>
      <c r="C225" s="1" t="s">
        <v>150</v>
      </c>
      <c r="D225" s="1" t="s">
        <v>31</v>
      </c>
      <c r="E225" s="1">
        <v>15.6</v>
      </c>
      <c r="F225" s="1" t="s">
        <v>32</v>
      </c>
      <c r="G225" s="1" t="s">
        <v>67</v>
      </c>
      <c r="H225" s="1" t="s">
        <v>18</v>
      </c>
      <c r="I225" s="1" t="s">
        <v>89</v>
      </c>
      <c r="J225" s="1" t="s">
        <v>68</v>
      </c>
      <c r="K225" s="1" t="s">
        <v>53</v>
      </c>
      <c r="L225" s="1" t="s">
        <v>54</v>
      </c>
      <c r="M225" s="1">
        <v>794</v>
      </c>
    </row>
    <row r="226" spans="1:13" ht="15.75" customHeight="1">
      <c r="A226" s="1">
        <v>229</v>
      </c>
      <c r="B226" s="1" t="s">
        <v>74</v>
      </c>
      <c r="C226" s="1" t="s">
        <v>390</v>
      </c>
      <c r="D226" s="1" t="s">
        <v>102</v>
      </c>
      <c r="E226" s="1">
        <v>17.3</v>
      </c>
      <c r="F226" s="1" t="s">
        <v>66</v>
      </c>
      <c r="G226" s="1" t="s">
        <v>155</v>
      </c>
      <c r="H226" s="1" t="s">
        <v>40</v>
      </c>
      <c r="I226" s="1" t="s">
        <v>156</v>
      </c>
      <c r="J226" s="1" t="s">
        <v>157</v>
      </c>
      <c r="K226" s="1" t="s">
        <v>53</v>
      </c>
      <c r="L226" s="1" t="s">
        <v>391</v>
      </c>
      <c r="M226" s="1">
        <v>2456.34</v>
      </c>
    </row>
    <row r="227" spans="1:13" ht="15.75" customHeight="1">
      <c r="A227" s="1">
        <v>230</v>
      </c>
      <c r="B227" s="1" t="s">
        <v>46</v>
      </c>
      <c r="C227" s="1" t="s">
        <v>374</v>
      </c>
      <c r="D227" s="1" t="s">
        <v>31</v>
      </c>
      <c r="E227" s="1">
        <v>15.6</v>
      </c>
      <c r="F227" s="1" t="s">
        <v>32</v>
      </c>
      <c r="G227" s="1" t="s">
        <v>83</v>
      </c>
      <c r="H227" s="1" t="s">
        <v>18</v>
      </c>
      <c r="I227" s="1" t="s">
        <v>34</v>
      </c>
      <c r="J227" s="1" t="s">
        <v>90</v>
      </c>
      <c r="K227" s="1" t="s">
        <v>53</v>
      </c>
      <c r="L227" s="1" t="s">
        <v>77</v>
      </c>
      <c r="M227" s="1">
        <v>832</v>
      </c>
    </row>
    <row r="228" spans="1:13" ht="15.75" customHeight="1">
      <c r="A228" s="1">
        <v>231</v>
      </c>
      <c r="B228" s="1" t="s">
        <v>74</v>
      </c>
      <c r="C228" s="1" t="s">
        <v>279</v>
      </c>
      <c r="D228" s="1" t="s">
        <v>31</v>
      </c>
      <c r="E228" s="1">
        <v>15.6</v>
      </c>
      <c r="F228" s="1" t="s">
        <v>112</v>
      </c>
      <c r="G228" s="1" t="s">
        <v>83</v>
      </c>
      <c r="H228" s="1" t="s">
        <v>40</v>
      </c>
      <c r="I228" s="1" t="s">
        <v>89</v>
      </c>
      <c r="J228" s="1" t="s">
        <v>280</v>
      </c>
      <c r="K228" s="1" t="s">
        <v>53</v>
      </c>
      <c r="L228" s="1" t="s">
        <v>116</v>
      </c>
      <c r="M228" s="1">
        <v>859.01</v>
      </c>
    </row>
    <row r="229" spans="1:13" ht="15.75" customHeight="1">
      <c r="A229" s="1">
        <v>232</v>
      </c>
      <c r="B229" s="1" t="s">
        <v>60</v>
      </c>
      <c r="C229" s="1" t="s">
        <v>392</v>
      </c>
      <c r="D229" s="1" t="s">
        <v>31</v>
      </c>
      <c r="E229" s="1">
        <v>15.6</v>
      </c>
      <c r="F229" s="1" t="s">
        <v>32</v>
      </c>
      <c r="G229" s="1" t="s">
        <v>33</v>
      </c>
      <c r="H229" s="1" t="s">
        <v>18</v>
      </c>
      <c r="I229" s="1" t="s">
        <v>34</v>
      </c>
      <c r="J229" s="1" t="s">
        <v>393</v>
      </c>
      <c r="K229" s="1" t="s">
        <v>53</v>
      </c>
      <c r="L229" s="1" t="s">
        <v>153</v>
      </c>
      <c r="M229" s="1">
        <v>769</v>
      </c>
    </row>
    <row r="230" spans="1:13" ht="15.75" customHeight="1">
      <c r="A230" s="1">
        <v>233</v>
      </c>
      <c r="B230" s="1" t="s">
        <v>60</v>
      </c>
      <c r="C230" s="1" t="s">
        <v>394</v>
      </c>
      <c r="D230" s="1" t="s">
        <v>31</v>
      </c>
      <c r="E230" s="1">
        <v>17.3</v>
      </c>
      <c r="F230" s="1" t="s">
        <v>32</v>
      </c>
      <c r="G230" s="1" t="s">
        <v>33</v>
      </c>
      <c r="H230" s="1" t="s">
        <v>18</v>
      </c>
      <c r="I230" s="1" t="s">
        <v>395</v>
      </c>
      <c r="J230" s="1" t="s">
        <v>396</v>
      </c>
      <c r="K230" s="1" t="s">
        <v>53</v>
      </c>
      <c r="L230" s="1" t="s">
        <v>397</v>
      </c>
      <c r="M230" s="1">
        <v>891</v>
      </c>
    </row>
    <row r="231" spans="1:13" ht="15.75" customHeight="1">
      <c r="A231" s="1">
        <v>234</v>
      </c>
      <c r="B231" s="1" t="s">
        <v>29</v>
      </c>
      <c r="C231" s="1" t="s">
        <v>398</v>
      </c>
      <c r="D231" s="1" t="s">
        <v>31</v>
      </c>
      <c r="E231" s="1">
        <v>15.6</v>
      </c>
      <c r="F231" s="1" t="s">
        <v>32</v>
      </c>
      <c r="G231" s="1" t="s">
        <v>83</v>
      </c>
      <c r="H231" s="1" t="s">
        <v>18</v>
      </c>
      <c r="I231" s="1" t="s">
        <v>89</v>
      </c>
      <c r="J231" s="1" t="s">
        <v>399</v>
      </c>
      <c r="K231" s="1" t="s">
        <v>53</v>
      </c>
      <c r="L231" s="1" t="s">
        <v>207</v>
      </c>
      <c r="M231" s="1">
        <v>1269</v>
      </c>
    </row>
    <row r="232" spans="1:13" ht="15.75" customHeight="1">
      <c r="A232" s="1">
        <v>235</v>
      </c>
      <c r="B232" s="1" t="s">
        <v>60</v>
      </c>
      <c r="C232" s="1" t="s">
        <v>400</v>
      </c>
      <c r="D232" s="1" t="s">
        <v>31</v>
      </c>
      <c r="E232" s="1">
        <v>15.6</v>
      </c>
      <c r="F232" s="1" t="s">
        <v>48</v>
      </c>
      <c r="G232" s="1" t="s">
        <v>88</v>
      </c>
      <c r="H232" s="1" t="s">
        <v>50</v>
      </c>
      <c r="I232" s="1" t="s">
        <v>89</v>
      </c>
      <c r="J232" s="1" t="s">
        <v>35</v>
      </c>
      <c r="K232" s="1" t="s">
        <v>53</v>
      </c>
      <c r="L232" s="1" t="s">
        <v>401</v>
      </c>
      <c r="M232" s="1">
        <v>398.99</v>
      </c>
    </row>
    <row r="233" spans="1:13" ht="15.75" customHeight="1">
      <c r="A233" s="1">
        <v>236</v>
      </c>
      <c r="B233" s="1" t="s">
        <v>29</v>
      </c>
      <c r="C233" s="1" t="s">
        <v>402</v>
      </c>
      <c r="D233" s="1" t="s">
        <v>31</v>
      </c>
      <c r="E233" s="1">
        <v>15.6</v>
      </c>
      <c r="F233" s="1" t="s">
        <v>48</v>
      </c>
      <c r="G233" s="1" t="s">
        <v>403</v>
      </c>
      <c r="H233" s="1" t="s">
        <v>50</v>
      </c>
      <c r="I233" s="1" t="s">
        <v>51</v>
      </c>
      <c r="J233" s="1" t="s">
        <v>109</v>
      </c>
      <c r="K233" s="1" t="s">
        <v>53</v>
      </c>
      <c r="L233" s="1" t="s">
        <v>54</v>
      </c>
      <c r="M233" s="1">
        <v>330</v>
      </c>
    </row>
    <row r="234" spans="1:13" ht="15.75" customHeight="1">
      <c r="A234" s="1">
        <v>237</v>
      </c>
      <c r="B234" s="1" t="s">
        <v>86</v>
      </c>
      <c r="C234" s="1" t="s">
        <v>376</v>
      </c>
      <c r="D234" s="1" t="s">
        <v>102</v>
      </c>
      <c r="E234" s="1">
        <v>15.6</v>
      </c>
      <c r="F234" s="1" t="s">
        <v>66</v>
      </c>
      <c r="G234" s="1" t="s">
        <v>155</v>
      </c>
      <c r="H234" s="1" t="s">
        <v>40</v>
      </c>
      <c r="I234" s="1" t="s">
        <v>156</v>
      </c>
      <c r="J234" s="1" t="s">
        <v>157</v>
      </c>
      <c r="K234" s="1" t="s">
        <v>53</v>
      </c>
      <c r="L234" s="1" t="s">
        <v>171</v>
      </c>
      <c r="M234" s="1">
        <v>1499</v>
      </c>
    </row>
    <row r="235" spans="1:13" ht="15.75" customHeight="1">
      <c r="A235" s="1">
        <v>238</v>
      </c>
      <c r="B235" s="1" t="s">
        <v>74</v>
      </c>
      <c r="C235" s="1" t="s">
        <v>404</v>
      </c>
      <c r="D235" s="1" t="s">
        <v>31</v>
      </c>
      <c r="E235" s="1">
        <v>14</v>
      </c>
      <c r="F235" s="1" t="s">
        <v>32</v>
      </c>
      <c r="G235" s="1" t="s">
        <v>33</v>
      </c>
      <c r="H235" s="1" t="s">
        <v>18</v>
      </c>
      <c r="I235" s="1" t="s">
        <v>34</v>
      </c>
      <c r="J235" s="1" t="s">
        <v>35</v>
      </c>
      <c r="K235" s="1" t="s">
        <v>53</v>
      </c>
      <c r="L235" s="1" t="s">
        <v>69</v>
      </c>
      <c r="M235" s="1">
        <v>859</v>
      </c>
    </row>
    <row r="236" spans="1:13" ht="15.75" customHeight="1">
      <c r="A236" s="1">
        <v>239</v>
      </c>
      <c r="B236" s="1" t="s">
        <v>46</v>
      </c>
      <c r="C236" s="1" t="s">
        <v>405</v>
      </c>
      <c r="D236" s="1" t="s">
        <v>111</v>
      </c>
      <c r="E236" s="1">
        <v>13.3</v>
      </c>
      <c r="F236" s="1" t="s">
        <v>92</v>
      </c>
      <c r="G236" s="1" t="s">
        <v>295</v>
      </c>
      <c r="H236" s="1" t="s">
        <v>18</v>
      </c>
      <c r="I236" s="1" t="s">
        <v>34</v>
      </c>
      <c r="J236" s="1" t="s">
        <v>71</v>
      </c>
      <c r="K236" s="1" t="s">
        <v>53</v>
      </c>
      <c r="L236" s="1" t="s">
        <v>69</v>
      </c>
      <c r="M236" s="1">
        <v>689</v>
      </c>
    </row>
    <row r="237" spans="1:13" ht="15.75" customHeight="1">
      <c r="A237" s="1">
        <v>240</v>
      </c>
      <c r="B237" s="1" t="s">
        <v>74</v>
      </c>
      <c r="C237" s="1" t="s">
        <v>279</v>
      </c>
      <c r="D237" s="1" t="s">
        <v>31</v>
      </c>
      <c r="E237" s="1">
        <v>15.6</v>
      </c>
      <c r="F237" s="1" t="s">
        <v>32</v>
      </c>
      <c r="G237" s="1" t="s">
        <v>83</v>
      </c>
      <c r="H237" s="1" t="s">
        <v>40</v>
      </c>
      <c r="I237" s="1" t="s">
        <v>34</v>
      </c>
      <c r="J237" s="1" t="s">
        <v>280</v>
      </c>
      <c r="K237" s="1" t="s">
        <v>147</v>
      </c>
      <c r="L237" s="1" t="s">
        <v>281</v>
      </c>
      <c r="M237" s="1">
        <v>899</v>
      </c>
    </row>
    <row r="238" spans="1:13" ht="15.75" customHeight="1">
      <c r="A238" s="1">
        <v>241</v>
      </c>
      <c r="B238" s="1" t="s">
        <v>46</v>
      </c>
      <c r="C238" s="1" t="s">
        <v>305</v>
      </c>
      <c r="D238" s="1" t="s">
        <v>31</v>
      </c>
      <c r="E238" s="1">
        <v>15.6</v>
      </c>
      <c r="F238" s="1" t="s">
        <v>48</v>
      </c>
      <c r="G238" s="1" t="s">
        <v>70</v>
      </c>
      <c r="H238" s="1" t="s">
        <v>50</v>
      </c>
      <c r="I238" s="1" t="s">
        <v>89</v>
      </c>
      <c r="J238" s="1" t="s">
        <v>71</v>
      </c>
      <c r="K238" s="1" t="s">
        <v>147</v>
      </c>
      <c r="L238" s="1" t="s">
        <v>54</v>
      </c>
      <c r="M238" s="1">
        <v>390</v>
      </c>
    </row>
    <row r="239" spans="1:13" ht="15.75" customHeight="1">
      <c r="A239" s="1">
        <v>242</v>
      </c>
      <c r="B239" s="1" t="s">
        <v>60</v>
      </c>
      <c r="C239" s="1" t="s">
        <v>406</v>
      </c>
      <c r="D239" s="1" t="s">
        <v>31</v>
      </c>
      <c r="E239" s="1">
        <v>15.6</v>
      </c>
      <c r="F239" s="1" t="s">
        <v>32</v>
      </c>
      <c r="G239" s="1" t="s">
        <v>407</v>
      </c>
      <c r="H239" s="1" t="s">
        <v>50</v>
      </c>
      <c r="I239" s="1" t="s">
        <v>104</v>
      </c>
      <c r="J239" s="1" t="s">
        <v>76</v>
      </c>
      <c r="K239" s="1" t="s">
        <v>53</v>
      </c>
      <c r="L239" s="1" t="s">
        <v>77</v>
      </c>
      <c r="M239" s="1">
        <v>575</v>
      </c>
    </row>
    <row r="240" spans="1:13" ht="15.75" customHeight="1">
      <c r="A240" s="1">
        <v>243</v>
      </c>
      <c r="B240" s="1" t="s">
        <v>60</v>
      </c>
      <c r="C240" s="1" t="s">
        <v>408</v>
      </c>
      <c r="D240" s="1" t="s">
        <v>102</v>
      </c>
      <c r="E240" s="1">
        <v>17.3</v>
      </c>
      <c r="F240" s="1" t="s">
        <v>32</v>
      </c>
      <c r="G240" s="1" t="s">
        <v>367</v>
      </c>
      <c r="H240" s="1" t="s">
        <v>338</v>
      </c>
      <c r="I240" s="1" t="s">
        <v>339</v>
      </c>
      <c r="J240" s="1" t="s">
        <v>368</v>
      </c>
      <c r="K240" s="1" t="s">
        <v>53</v>
      </c>
      <c r="L240" s="1" t="s">
        <v>409</v>
      </c>
      <c r="M240" s="1">
        <v>3890</v>
      </c>
    </row>
    <row r="241" spans="1:13" ht="15.75" customHeight="1">
      <c r="A241" s="1">
        <v>244</v>
      </c>
      <c r="B241" s="1" t="s">
        <v>46</v>
      </c>
      <c r="C241" s="1" t="s">
        <v>410</v>
      </c>
      <c r="D241" s="1" t="s">
        <v>102</v>
      </c>
      <c r="E241" s="1">
        <v>15.6</v>
      </c>
      <c r="F241" s="1" t="s">
        <v>66</v>
      </c>
      <c r="G241" s="1" t="s">
        <v>103</v>
      </c>
      <c r="H241" s="1" t="s">
        <v>18</v>
      </c>
      <c r="I241" s="1" t="s">
        <v>34</v>
      </c>
      <c r="J241" s="1" t="s">
        <v>105</v>
      </c>
      <c r="K241" s="1" t="s">
        <v>53</v>
      </c>
      <c r="L241" s="1" t="s">
        <v>106</v>
      </c>
      <c r="M241" s="1">
        <v>846</v>
      </c>
    </row>
    <row r="242" spans="1:13" ht="15.75" customHeight="1">
      <c r="A242" s="1">
        <v>245</v>
      </c>
      <c r="B242" s="1" t="s">
        <v>86</v>
      </c>
      <c r="C242" s="1" t="s">
        <v>167</v>
      </c>
      <c r="D242" s="1" t="s">
        <v>31</v>
      </c>
      <c r="E242" s="1">
        <v>15.6</v>
      </c>
      <c r="F242" s="1" t="s">
        <v>48</v>
      </c>
      <c r="G242" s="1" t="s">
        <v>70</v>
      </c>
      <c r="H242" s="1" t="s">
        <v>18</v>
      </c>
      <c r="I242" s="1" t="s">
        <v>19</v>
      </c>
      <c r="J242" s="1" t="s">
        <v>71</v>
      </c>
      <c r="K242" s="1" t="s">
        <v>53</v>
      </c>
      <c r="L242" s="1" t="s">
        <v>77</v>
      </c>
      <c r="M242" s="1">
        <v>589</v>
      </c>
    </row>
    <row r="243" spans="1:13" ht="15.75" customHeight="1">
      <c r="A243" s="1">
        <v>246</v>
      </c>
      <c r="B243" s="1" t="s">
        <v>60</v>
      </c>
      <c r="C243" s="1" t="s">
        <v>411</v>
      </c>
      <c r="D243" s="1" t="s">
        <v>31</v>
      </c>
      <c r="E243" s="1">
        <v>17.3</v>
      </c>
      <c r="F243" s="1" t="s">
        <v>32</v>
      </c>
      <c r="G243" s="1" t="s">
        <v>62</v>
      </c>
      <c r="H243" s="1" t="s">
        <v>18</v>
      </c>
      <c r="I243" s="1" t="s">
        <v>104</v>
      </c>
      <c r="J243" s="1" t="s">
        <v>163</v>
      </c>
      <c r="K243" s="1" t="s">
        <v>53</v>
      </c>
      <c r="L243" s="1" t="s">
        <v>54</v>
      </c>
      <c r="M243" s="1">
        <v>1145</v>
      </c>
    </row>
    <row r="244" spans="1:13" ht="15.75" customHeight="1">
      <c r="A244" s="1">
        <v>247</v>
      </c>
      <c r="B244" s="1" t="s">
        <v>60</v>
      </c>
      <c r="C244" s="1" t="s">
        <v>412</v>
      </c>
      <c r="D244" s="1" t="s">
        <v>31</v>
      </c>
      <c r="E244" s="1">
        <v>17.3</v>
      </c>
      <c r="F244" s="1" t="s">
        <v>32</v>
      </c>
      <c r="G244" s="1" t="s">
        <v>83</v>
      </c>
      <c r="H244" s="1" t="s">
        <v>18</v>
      </c>
      <c r="I244" s="1" t="s">
        <v>104</v>
      </c>
      <c r="J244" s="1" t="s">
        <v>396</v>
      </c>
      <c r="K244" s="1" t="s">
        <v>36</v>
      </c>
      <c r="L244" s="1" t="s">
        <v>397</v>
      </c>
      <c r="M244" s="1">
        <v>889</v>
      </c>
    </row>
    <row r="245" spans="1:13" ht="15.75" customHeight="1">
      <c r="A245" s="1">
        <v>248</v>
      </c>
      <c r="B245" s="1" t="s">
        <v>74</v>
      </c>
      <c r="C245" s="1" t="s">
        <v>306</v>
      </c>
      <c r="D245" s="1" t="s">
        <v>102</v>
      </c>
      <c r="E245" s="1">
        <v>15.6</v>
      </c>
      <c r="F245" s="1" t="s">
        <v>32</v>
      </c>
      <c r="G245" s="1" t="s">
        <v>103</v>
      </c>
      <c r="H245" s="1" t="s">
        <v>18</v>
      </c>
      <c r="I245" s="1" t="s">
        <v>34</v>
      </c>
      <c r="J245" s="1" t="s">
        <v>105</v>
      </c>
      <c r="K245" s="1" t="s">
        <v>53</v>
      </c>
      <c r="L245" s="1" t="s">
        <v>307</v>
      </c>
      <c r="M245" s="1">
        <v>879</v>
      </c>
    </row>
    <row r="246" spans="1:13" ht="15.75" customHeight="1">
      <c r="A246" s="1">
        <v>249</v>
      </c>
      <c r="B246" s="1" t="s">
        <v>86</v>
      </c>
      <c r="C246" s="1" t="s">
        <v>413</v>
      </c>
      <c r="D246" s="1" t="s">
        <v>111</v>
      </c>
      <c r="E246" s="1">
        <v>13.9</v>
      </c>
      <c r="F246" s="1" t="s">
        <v>92</v>
      </c>
      <c r="G246" s="1" t="s">
        <v>83</v>
      </c>
      <c r="H246" s="1" t="s">
        <v>18</v>
      </c>
      <c r="I246" s="1" t="s">
        <v>34</v>
      </c>
      <c r="J246" s="1" t="s">
        <v>35</v>
      </c>
      <c r="K246" s="1" t="s">
        <v>53</v>
      </c>
      <c r="L246" s="1" t="s">
        <v>253</v>
      </c>
      <c r="M246" s="1">
        <v>1079</v>
      </c>
    </row>
    <row r="247" spans="1:13" ht="15.75" customHeight="1">
      <c r="A247" s="1">
        <v>250</v>
      </c>
      <c r="B247" s="1" t="s">
        <v>74</v>
      </c>
      <c r="C247" s="1" t="s">
        <v>120</v>
      </c>
      <c r="D247" s="1" t="s">
        <v>31</v>
      </c>
      <c r="E247" s="1">
        <v>15.6</v>
      </c>
      <c r="F247" s="1" t="s">
        <v>32</v>
      </c>
      <c r="G247" s="1" t="s">
        <v>62</v>
      </c>
      <c r="H247" s="1" t="s">
        <v>18</v>
      </c>
      <c r="I247" s="1" t="s">
        <v>414</v>
      </c>
      <c r="J247" s="1" t="s">
        <v>121</v>
      </c>
      <c r="K247" s="1" t="s">
        <v>53</v>
      </c>
      <c r="L247" s="1" t="s">
        <v>77</v>
      </c>
      <c r="M247" s="1">
        <v>985</v>
      </c>
    </row>
    <row r="248" spans="1:13" ht="15.75" customHeight="1">
      <c r="A248" s="1">
        <v>251</v>
      </c>
      <c r="B248" s="1" t="s">
        <v>29</v>
      </c>
      <c r="C248" s="1" t="s">
        <v>415</v>
      </c>
      <c r="D248" s="1" t="s">
        <v>31</v>
      </c>
      <c r="E248" s="1">
        <v>15.6</v>
      </c>
      <c r="F248" s="1" t="s">
        <v>382</v>
      </c>
      <c r="G248" s="1" t="s">
        <v>33</v>
      </c>
      <c r="H248" s="1" t="s">
        <v>18</v>
      </c>
      <c r="I248" s="1" t="s">
        <v>89</v>
      </c>
      <c r="J248" s="1" t="s">
        <v>35</v>
      </c>
      <c r="K248" s="1" t="s">
        <v>53</v>
      </c>
      <c r="L248" s="1" t="s">
        <v>59</v>
      </c>
      <c r="M248" s="1">
        <v>559</v>
      </c>
    </row>
    <row r="249" spans="1:13" ht="15.75" customHeight="1">
      <c r="A249" s="1">
        <v>252</v>
      </c>
      <c r="B249" s="1" t="s">
        <v>60</v>
      </c>
      <c r="C249" s="1" t="s">
        <v>416</v>
      </c>
      <c r="D249" s="1" t="s">
        <v>102</v>
      </c>
      <c r="E249" s="1">
        <v>17.3</v>
      </c>
      <c r="F249" s="1" t="s">
        <v>32</v>
      </c>
      <c r="G249" s="1" t="s">
        <v>367</v>
      </c>
      <c r="H249" s="1" t="s">
        <v>40</v>
      </c>
      <c r="I249" s="1" t="s">
        <v>34</v>
      </c>
      <c r="J249" s="1" t="s">
        <v>368</v>
      </c>
      <c r="K249" s="1" t="s">
        <v>53</v>
      </c>
      <c r="L249" s="1" t="s">
        <v>417</v>
      </c>
      <c r="M249" s="1">
        <v>2999</v>
      </c>
    </row>
    <row r="250" spans="1:13" ht="15.75" customHeight="1">
      <c r="A250" s="1">
        <v>253</v>
      </c>
      <c r="B250" s="1" t="s">
        <v>29</v>
      </c>
      <c r="C250" s="1" t="s">
        <v>181</v>
      </c>
      <c r="D250" s="1" t="s">
        <v>31</v>
      </c>
      <c r="E250" s="1">
        <v>13.3</v>
      </c>
      <c r="F250" s="1" t="s">
        <v>66</v>
      </c>
      <c r="G250" s="1" t="s">
        <v>67</v>
      </c>
      <c r="H250" s="1" t="s">
        <v>50</v>
      </c>
      <c r="I250" s="1" t="s">
        <v>51</v>
      </c>
      <c r="J250" s="1" t="s">
        <v>68</v>
      </c>
      <c r="K250" s="1" t="s">
        <v>53</v>
      </c>
      <c r="L250" s="1" t="s">
        <v>182</v>
      </c>
      <c r="M250" s="1">
        <v>675</v>
      </c>
    </row>
    <row r="251" spans="1:13" ht="15.75" customHeight="1">
      <c r="A251" s="1">
        <v>254</v>
      </c>
      <c r="B251" s="1" t="s">
        <v>13</v>
      </c>
      <c r="C251" s="1" t="s">
        <v>14</v>
      </c>
      <c r="D251" s="1" t="s">
        <v>15</v>
      </c>
      <c r="E251" s="1">
        <v>13.3</v>
      </c>
      <c r="F251" s="1" t="s">
        <v>16</v>
      </c>
      <c r="G251" s="1" t="s">
        <v>44</v>
      </c>
      <c r="H251" s="1" t="s">
        <v>18</v>
      </c>
      <c r="I251" s="1" t="s">
        <v>41</v>
      </c>
      <c r="J251" s="1" t="s">
        <v>45</v>
      </c>
      <c r="K251" s="1" t="s">
        <v>21</v>
      </c>
      <c r="L251" s="1" t="s">
        <v>22</v>
      </c>
      <c r="M251" s="1">
        <v>2040</v>
      </c>
    </row>
    <row r="252" spans="1:13" ht="15.75" customHeight="1">
      <c r="A252" s="1">
        <v>255</v>
      </c>
      <c r="B252" s="1" t="s">
        <v>74</v>
      </c>
      <c r="C252" s="1" t="s">
        <v>320</v>
      </c>
      <c r="D252" s="1" t="s">
        <v>111</v>
      </c>
      <c r="E252" s="1">
        <v>15.6</v>
      </c>
      <c r="F252" s="1" t="s">
        <v>92</v>
      </c>
      <c r="G252" s="1" t="s">
        <v>62</v>
      </c>
      <c r="H252" s="1" t="s">
        <v>18</v>
      </c>
      <c r="I252" s="1" t="s">
        <v>89</v>
      </c>
      <c r="J252" s="1" t="s">
        <v>68</v>
      </c>
      <c r="K252" s="1" t="s">
        <v>53</v>
      </c>
      <c r="L252" s="1" t="s">
        <v>418</v>
      </c>
      <c r="M252" s="1">
        <v>819</v>
      </c>
    </row>
    <row r="253" spans="1:13" ht="15.75" customHeight="1">
      <c r="A253" s="1">
        <v>256</v>
      </c>
      <c r="B253" s="1" t="s">
        <v>60</v>
      </c>
      <c r="C253" s="1" t="s">
        <v>419</v>
      </c>
      <c r="D253" s="1" t="s">
        <v>102</v>
      </c>
      <c r="E253" s="1">
        <v>17.3</v>
      </c>
      <c r="F253" s="1" t="s">
        <v>32</v>
      </c>
      <c r="G253" s="1" t="s">
        <v>155</v>
      </c>
      <c r="H253" s="1" t="s">
        <v>40</v>
      </c>
      <c r="I253" s="1" t="s">
        <v>156</v>
      </c>
      <c r="J253" s="1" t="s">
        <v>420</v>
      </c>
      <c r="K253" s="1" t="s">
        <v>53</v>
      </c>
      <c r="L253" s="1" t="s">
        <v>421</v>
      </c>
      <c r="M253" s="1">
        <v>1799</v>
      </c>
    </row>
    <row r="254" spans="1:13" ht="15.75" customHeight="1">
      <c r="A254" s="1">
        <v>257</v>
      </c>
      <c r="B254" s="1" t="s">
        <v>60</v>
      </c>
      <c r="C254" s="1" t="s">
        <v>422</v>
      </c>
      <c r="D254" s="1" t="s">
        <v>31</v>
      </c>
      <c r="E254" s="1">
        <v>15.6</v>
      </c>
      <c r="F254" s="1" t="s">
        <v>48</v>
      </c>
      <c r="G254" s="1" t="s">
        <v>49</v>
      </c>
      <c r="H254" s="1" t="s">
        <v>50</v>
      </c>
      <c r="I254" s="1" t="s">
        <v>89</v>
      </c>
      <c r="J254" s="1" t="s">
        <v>324</v>
      </c>
      <c r="K254" s="1" t="s">
        <v>53</v>
      </c>
      <c r="L254" s="1" t="s">
        <v>423</v>
      </c>
      <c r="M254" s="1">
        <v>469</v>
      </c>
    </row>
    <row r="255" spans="1:13" ht="15.75" customHeight="1">
      <c r="A255" s="1">
        <v>258</v>
      </c>
      <c r="B255" s="1" t="s">
        <v>86</v>
      </c>
      <c r="C255" s="1" t="s">
        <v>346</v>
      </c>
      <c r="D255" s="1" t="s">
        <v>111</v>
      </c>
      <c r="E255" s="1">
        <v>13.9</v>
      </c>
      <c r="F255" s="1" t="s">
        <v>92</v>
      </c>
      <c r="G255" s="1" t="s">
        <v>62</v>
      </c>
      <c r="H255" s="1" t="s">
        <v>18</v>
      </c>
      <c r="I255" s="1" t="s">
        <v>41</v>
      </c>
      <c r="J255" s="1" t="s">
        <v>68</v>
      </c>
      <c r="K255" s="1" t="s">
        <v>53</v>
      </c>
      <c r="L255" s="1" t="s">
        <v>22</v>
      </c>
      <c r="M255" s="1">
        <v>1849</v>
      </c>
    </row>
    <row r="256" spans="1:13" ht="15.75" customHeight="1">
      <c r="A256" s="1">
        <v>259</v>
      </c>
      <c r="B256" s="1" t="s">
        <v>46</v>
      </c>
      <c r="C256" s="1" t="s">
        <v>239</v>
      </c>
      <c r="D256" s="1" t="s">
        <v>31</v>
      </c>
      <c r="E256" s="1">
        <v>17.3</v>
      </c>
      <c r="F256" s="1" t="s">
        <v>66</v>
      </c>
      <c r="G256" s="1" t="s">
        <v>146</v>
      </c>
      <c r="H256" s="1" t="s">
        <v>50</v>
      </c>
      <c r="I256" s="1" t="s">
        <v>34</v>
      </c>
      <c r="J256" s="1" t="s">
        <v>224</v>
      </c>
      <c r="K256" s="1" t="s">
        <v>53</v>
      </c>
      <c r="L256" s="1" t="s">
        <v>209</v>
      </c>
      <c r="M256" s="1">
        <v>702</v>
      </c>
    </row>
    <row r="257" spans="1:13" ht="15.75" customHeight="1">
      <c r="A257" s="1">
        <v>260</v>
      </c>
      <c r="B257" s="1" t="s">
        <v>74</v>
      </c>
      <c r="C257" s="1" t="s">
        <v>424</v>
      </c>
      <c r="D257" s="1" t="s">
        <v>15</v>
      </c>
      <c r="E257" s="1">
        <v>13.3</v>
      </c>
      <c r="F257" s="1" t="s">
        <v>32</v>
      </c>
      <c r="G257" s="1" t="s">
        <v>67</v>
      </c>
      <c r="H257" s="1" t="s">
        <v>18</v>
      </c>
      <c r="I257" s="1" t="s">
        <v>34</v>
      </c>
      <c r="J257" s="1" t="s">
        <v>68</v>
      </c>
      <c r="K257" s="1" t="s">
        <v>53</v>
      </c>
      <c r="L257" s="1" t="s">
        <v>425</v>
      </c>
      <c r="M257" s="1">
        <v>949</v>
      </c>
    </row>
    <row r="258" spans="1:13" ht="15.75" customHeight="1">
      <c r="A258" s="1">
        <v>261</v>
      </c>
      <c r="B258" s="1" t="s">
        <v>29</v>
      </c>
      <c r="C258" s="1" t="s">
        <v>426</v>
      </c>
      <c r="D258" s="1" t="s">
        <v>31</v>
      </c>
      <c r="E258" s="1">
        <v>15.6</v>
      </c>
      <c r="F258" s="1" t="s">
        <v>48</v>
      </c>
      <c r="G258" s="1" t="s">
        <v>427</v>
      </c>
      <c r="H258" s="1" t="s">
        <v>18</v>
      </c>
      <c r="I258" s="1" t="s">
        <v>19</v>
      </c>
      <c r="J258" s="1" t="s">
        <v>180</v>
      </c>
      <c r="K258" s="1" t="s">
        <v>53</v>
      </c>
      <c r="L258" s="1" t="s">
        <v>115</v>
      </c>
      <c r="M258" s="1">
        <v>445.9</v>
      </c>
    </row>
    <row r="259" spans="1:13" ht="15.75" customHeight="1">
      <c r="A259" s="1">
        <v>262</v>
      </c>
      <c r="B259" s="1" t="s">
        <v>29</v>
      </c>
      <c r="C259" s="1" t="s">
        <v>428</v>
      </c>
      <c r="D259" s="1" t="s">
        <v>31</v>
      </c>
      <c r="E259" s="1">
        <v>17.3</v>
      </c>
      <c r="F259" s="1" t="s">
        <v>66</v>
      </c>
      <c r="G259" s="1" t="s">
        <v>62</v>
      </c>
      <c r="H259" s="1" t="s">
        <v>40</v>
      </c>
      <c r="I259" s="1" t="s">
        <v>89</v>
      </c>
      <c r="J259" s="1" t="s">
        <v>63</v>
      </c>
      <c r="K259" s="1" t="s">
        <v>53</v>
      </c>
      <c r="L259" s="1" t="s">
        <v>304</v>
      </c>
      <c r="M259" s="1">
        <v>1059</v>
      </c>
    </row>
    <row r="260" spans="1:13" ht="15.75" customHeight="1">
      <c r="A260" s="1">
        <v>263</v>
      </c>
      <c r="B260" s="1" t="s">
        <v>189</v>
      </c>
      <c r="C260" s="1" t="s">
        <v>429</v>
      </c>
      <c r="D260" s="1" t="s">
        <v>102</v>
      </c>
      <c r="E260" s="1">
        <v>17.3</v>
      </c>
      <c r="F260" s="1" t="s">
        <v>32</v>
      </c>
      <c r="G260" s="1" t="s">
        <v>155</v>
      </c>
      <c r="H260" s="1" t="s">
        <v>40</v>
      </c>
      <c r="I260" s="1" t="s">
        <v>339</v>
      </c>
      <c r="J260" s="1" t="s">
        <v>192</v>
      </c>
      <c r="K260" s="1" t="s">
        <v>53</v>
      </c>
      <c r="L260" s="1" t="s">
        <v>430</v>
      </c>
      <c r="M260" s="1">
        <v>2499</v>
      </c>
    </row>
    <row r="261" spans="1:13" ht="15.75" customHeight="1">
      <c r="A261" s="1">
        <v>264</v>
      </c>
      <c r="B261" s="1" t="s">
        <v>86</v>
      </c>
      <c r="C261" s="1" t="s">
        <v>431</v>
      </c>
      <c r="D261" s="1" t="s">
        <v>111</v>
      </c>
      <c r="E261" s="1">
        <v>15.6</v>
      </c>
      <c r="F261" s="1" t="s">
        <v>92</v>
      </c>
      <c r="G261" s="1" t="s">
        <v>155</v>
      </c>
      <c r="H261" s="1" t="s">
        <v>18</v>
      </c>
      <c r="I261" s="1" t="s">
        <v>41</v>
      </c>
      <c r="J261" s="1" t="s">
        <v>292</v>
      </c>
      <c r="K261" s="1" t="s">
        <v>53</v>
      </c>
      <c r="L261" s="1" t="s">
        <v>153</v>
      </c>
      <c r="M261" s="1">
        <v>1699</v>
      </c>
    </row>
    <row r="262" spans="1:13" ht="15.75" customHeight="1">
      <c r="A262" s="1">
        <v>265</v>
      </c>
      <c r="B262" s="1" t="s">
        <v>74</v>
      </c>
      <c r="C262" s="1" t="s">
        <v>148</v>
      </c>
      <c r="D262" s="1" t="s">
        <v>31</v>
      </c>
      <c r="E262" s="1">
        <v>17.3</v>
      </c>
      <c r="F262" s="1" t="s">
        <v>32</v>
      </c>
      <c r="G262" s="1" t="s">
        <v>62</v>
      </c>
      <c r="H262" s="1" t="s">
        <v>18</v>
      </c>
      <c r="I262" s="1" t="s">
        <v>104</v>
      </c>
      <c r="J262" s="1" t="s">
        <v>121</v>
      </c>
      <c r="K262" s="1" t="s">
        <v>53</v>
      </c>
      <c r="L262" s="1" t="s">
        <v>149</v>
      </c>
      <c r="M262" s="1">
        <v>1142</v>
      </c>
    </row>
    <row r="263" spans="1:13" ht="15.75" customHeight="1">
      <c r="A263" s="1">
        <v>266</v>
      </c>
      <c r="B263" s="1" t="s">
        <v>86</v>
      </c>
      <c r="C263" s="1" t="s">
        <v>167</v>
      </c>
      <c r="D263" s="1" t="s">
        <v>31</v>
      </c>
      <c r="E263" s="1">
        <v>15.6</v>
      </c>
      <c r="F263" s="1" t="s">
        <v>32</v>
      </c>
      <c r="G263" s="1" t="s">
        <v>70</v>
      </c>
      <c r="H263" s="1" t="s">
        <v>50</v>
      </c>
      <c r="I263" s="1" t="s">
        <v>34</v>
      </c>
      <c r="J263" s="1" t="s">
        <v>71</v>
      </c>
      <c r="K263" s="1" t="s">
        <v>36</v>
      </c>
      <c r="L263" s="1" t="s">
        <v>77</v>
      </c>
      <c r="M263" s="1">
        <v>444</v>
      </c>
    </row>
    <row r="264" spans="1:13" ht="15.75" customHeight="1">
      <c r="A264" s="1">
        <v>267</v>
      </c>
      <c r="B264" s="1" t="s">
        <v>29</v>
      </c>
      <c r="C264" s="1" t="s">
        <v>150</v>
      </c>
      <c r="D264" s="1" t="s">
        <v>31</v>
      </c>
      <c r="E264" s="1">
        <v>15.6</v>
      </c>
      <c r="F264" s="1" t="s">
        <v>66</v>
      </c>
      <c r="G264" s="1" t="s">
        <v>67</v>
      </c>
      <c r="H264" s="1" t="s">
        <v>50</v>
      </c>
      <c r="I264" s="1" t="s">
        <v>51</v>
      </c>
      <c r="J264" s="1" t="s">
        <v>35</v>
      </c>
      <c r="K264" s="1" t="s">
        <v>53</v>
      </c>
      <c r="L264" s="1" t="s">
        <v>54</v>
      </c>
      <c r="M264" s="1">
        <v>722</v>
      </c>
    </row>
    <row r="265" spans="1:13" ht="15.75" customHeight="1">
      <c r="A265" s="1">
        <v>268</v>
      </c>
      <c r="B265" s="1" t="s">
        <v>74</v>
      </c>
      <c r="C265" s="1" t="s">
        <v>432</v>
      </c>
      <c r="D265" s="1" t="s">
        <v>31</v>
      </c>
      <c r="E265" s="1">
        <v>15.6</v>
      </c>
      <c r="F265" s="1" t="s">
        <v>32</v>
      </c>
      <c r="G265" s="1" t="s">
        <v>33</v>
      </c>
      <c r="H265" s="1" t="s">
        <v>50</v>
      </c>
      <c r="I265" s="1" t="s">
        <v>89</v>
      </c>
      <c r="J265" s="1" t="s">
        <v>35</v>
      </c>
      <c r="K265" s="1" t="s">
        <v>53</v>
      </c>
      <c r="L265" s="1" t="s">
        <v>433</v>
      </c>
      <c r="M265" s="1">
        <v>657</v>
      </c>
    </row>
    <row r="266" spans="1:13" ht="15.75" customHeight="1">
      <c r="A266" s="1">
        <v>269</v>
      </c>
      <c r="B266" s="1" t="s">
        <v>74</v>
      </c>
      <c r="C266" s="1" t="s">
        <v>75</v>
      </c>
      <c r="D266" s="1" t="s">
        <v>31</v>
      </c>
      <c r="E266" s="1">
        <v>15.6</v>
      </c>
      <c r="F266" s="1" t="s">
        <v>32</v>
      </c>
      <c r="G266" s="1" t="s">
        <v>33</v>
      </c>
      <c r="H266" s="1" t="s">
        <v>18</v>
      </c>
      <c r="I266" s="1" t="s">
        <v>89</v>
      </c>
      <c r="J266" s="1" t="s">
        <v>76</v>
      </c>
      <c r="K266" s="1" t="s">
        <v>53</v>
      </c>
      <c r="L266" s="1" t="s">
        <v>434</v>
      </c>
      <c r="M266" s="1">
        <v>565</v>
      </c>
    </row>
    <row r="267" spans="1:13" ht="15.75" customHeight="1">
      <c r="A267" s="1">
        <v>270</v>
      </c>
      <c r="B267" s="1" t="s">
        <v>74</v>
      </c>
      <c r="C267" s="1" t="s">
        <v>320</v>
      </c>
      <c r="D267" s="1" t="s">
        <v>111</v>
      </c>
      <c r="E267" s="1">
        <v>15.6</v>
      </c>
      <c r="F267" s="1" t="s">
        <v>112</v>
      </c>
      <c r="G267" s="1" t="s">
        <v>67</v>
      </c>
      <c r="H267" s="1" t="s">
        <v>18</v>
      </c>
      <c r="I267" s="1" t="s">
        <v>34</v>
      </c>
      <c r="J267" s="1" t="s">
        <v>68</v>
      </c>
      <c r="K267" s="1" t="s">
        <v>53</v>
      </c>
      <c r="L267" s="1" t="s">
        <v>435</v>
      </c>
      <c r="M267" s="1">
        <v>799</v>
      </c>
    </row>
    <row r="268" spans="1:13" ht="15.75" customHeight="1">
      <c r="A268" s="1">
        <v>271</v>
      </c>
      <c r="B268" s="1" t="s">
        <v>60</v>
      </c>
      <c r="C268" s="1" t="s">
        <v>318</v>
      </c>
      <c r="D268" s="1" t="s">
        <v>111</v>
      </c>
      <c r="E268" s="1">
        <v>13.3</v>
      </c>
      <c r="F268" s="1" t="s">
        <v>112</v>
      </c>
      <c r="G268" s="1" t="s">
        <v>62</v>
      </c>
      <c r="H268" s="1" t="s">
        <v>18</v>
      </c>
      <c r="I268" s="1" t="s">
        <v>436</v>
      </c>
      <c r="J268" s="1" t="s">
        <v>68</v>
      </c>
      <c r="K268" s="1" t="s">
        <v>53</v>
      </c>
      <c r="L268" s="1" t="s">
        <v>319</v>
      </c>
      <c r="M268" s="1">
        <v>1499</v>
      </c>
    </row>
    <row r="269" spans="1:13" ht="15.75" customHeight="1">
      <c r="A269" s="1">
        <v>272</v>
      </c>
      <c r="B269" s="1" t="s">
        <v>86</v>
      </c>
      <c r="C269" s="1" t="s">
        <v>220</v>
      </c>
      <c r="D269" s="1" t="s">
        <v>31</v>
      </c>
      <c r="E269" s="1">
        <v>15.6</v>
      </c>
      <c r="F269" s="1" t="s">
        <v>32</v>
      </c>
      <c r="G269" s="1" t="s">
        <v>33</v>
      </c>
      <c r="H269" s="1" t="s">
        <v>50</v>
      </c>
      <c r="I269" s="1" t="s">
        <v>89</v>
      </c>
      <c r="J269" s="1" t="s">
        <v>35</v>
      </c>
      <c r="K269" s="1" t="s">
        <v>36</v>
      </c>
      <c r="L269" s="1" t="s">
        <v>77</v>
      </c>
      <c r="M269" s="1">
        <v>467</v>
      </c>
    </row>
    <row r="270" spans="1:13" ht="15.75" customHeight="1">
      <c r="A270" s="1">
        <v>273</v>
      </c>
      <c r="B270" s="1" t="s">
        <v>29</v>
      </c>
      <c r="C270" s="1" t="s">
        <v>275</v>
      </c>
      <c r="D270" s="1" t="s">
        <v>31</v>
      </c>
      <c r="E270" s="1">
        <v>17.3</v>
      </c>
      <c r="F270" s="1" t="s">
        <v>32</v>
      </c>
      <c r="G270" s="1" t="s">
        <v>62</v>
      </c>
      <c r="H270" s="1" t="s">
        <v>18</v>
      </c>
      <c r="I270" s="1" t="s">
        <v>89</v>
      </c>
      <c r="J270" s="1" t="s">
        <v>151</v>
      </c>
      <c r="K270" s="1" t="s">
        <v>53</v>
      </c>
      <c r="L270" s="1" t="s">
        <v>106</v>
      </c>
      <c r="M270" s="1">
        <v>1018</v>
      </c>
    </row>
    <row r="271" spans="1:13" ht="15.75" customHeight="1">
      <c r="A271" s="1">
        <v>274</v>
      </c>
      <c r="B271" s="1" t="s">
        <v>86</v>
      </c>
      <c r="C271" s="1" t="s">
        <v>437</v>
      </c>
      <c r="D271" s="1" t="s">
        <v>31</v>
      </c>
      <c r="E271" s="1">
        <v>15.6</v>
      </c>
      <c r="F271" s="1" t="s">
        <v>32</v>
      </c>
      <c r="G271" s="1" t="s">
        <v>62</v>
      </c>
      <c r="H271" s="1" t="s">
        <v>18</v>
      </c>
      <c r="I271" s="1" t="s">
        <v>34</v>
      </c>
      <c r="J271" s="1" t="s">
        <v>68</v>
      </c>
      <c r="K271" s="1" t="s">
        <v>53</v>
      </c>
      <c r="L271" s="1" t="s">
        <v>284</v>
      </c>
      <c r="M271" s="1">
        <v>880</v>
      </c>
    </row>
    <row r="272" spans="1:13" ht="15.75" customHeight="1">
      <c r="A272" s="1">
        <v>275</v>
      </c>
      <c r="B272" s="1" t="s">
        <v>13</v>
      </c>
      <c r="C272" s="1" t="s">
        <v>14</v>
      </c>
      <c r="D272" s="1" t="s">
        <v>15</v>
      </c>
      <c r="E272" s="1">
        <v>13.3</v>
      </c>
      <c r="F272" s="1" t="s">
        <v>16</v>
      </c>
      <c r="G272" s="1" t="s">
        <v>438</v>
      </c>
      <c r="H272" s="1" t="s">
        <v>18</v>
      </c>
      <c r="I272" s="1" t="s">
        <v>41</v>
      </c>
      <c r="J272" s="1" t="s">
        <v>439</v>
      </c>
      <c r="K272" s="1" t="s">
        <v>21</v>
      </c>
      <c r="L272" s="1" t="s">
        <v>22</v>
      </c>
      <c r="M272" s="1">
        <v>1958.9</v>
      </c>
    </row>
    <row r="273" spans="1:13" ht="15.75" customHeight="1">
      <c r="A273" s="1">
        <v>276</v>
      </c>
      <c r="B273" s="1" t="s">
        <v>60</v>
      </c>
      <c r="C273" s="1" t="s">
        <v>168</v>
      </c>
      <c r="D273" s="1" t="s">
        <v>102</v>
      </c>
      <c r="E273" s="1">
        <v>17.3</v>
      </c>
      <c r="F273" s="1" t="s">
        <v>32</v>
      </c>
      <c r="G273" s="1" t="s">
        <v>169</v>
      </c>
      <c r="H273" s="1" t="s">
        <v>40</v>
      </c>
      <c r="I273" s="1" t="s">
        <v>156</v>
      </c>
      <c r="J273" s="1" t="s">
        <v>170</v>
      </c>
      <c r="K273" s="1" t="s">
        <v>53</v>
      </c>
      <c r="L273" s="1" t="s">
        <v>171</v>
      </c>
      <c r="M273" s="1">
        <v>1549</v>
      </c>
    </row>
    <row r="274" spans="1:13" ht="15.75" customHeight="1">
      <c r="A274" s="1">
        <v>277</v>
      </c>
      <c r="B274" s="1" t="s">
        <v>74</v>
      </c>
      <c r="C274" s="1" t="s">
        <v>184</v>
      </c>
      <c r="D274" s="1" t="s">
        <v>31</v>
      </c>
      <c r="E274" s="1">
        <v>15.6</v>
      </c>
      <c r="F274" s="1" t="s">
        <v>32</v>
      </c>
      <c r="G274" s="1" t="s">
        <v>62</v>
      </c>
      <c r="H274" s="1" t="s">
        <v>18</v>
      </c>
      <c r="I274" s="1" t="s">
        <v>34</v>
      </c>
      <c r="J274" s="1" t="s">
        <v>185</v>
      </c>
      <c r="K274" s="1" t="s">
        <v>147</v>
      </c>
      <c r="L274" s="1" t="s">
        <v>440</v>
      </c>
      <c r="M274" s="1">
        <v>735.07</v>
      </c>
    </row>
    <row r="275" spans="1:13" ht="15.75" customHeight="1">
      <c r="A275" s="1">
        <v>278</v>
      </c>
      <c r="B275" s="1" t="s">
        <v>86</v>
      </c>
      <c r="C275" s="1" t="s">
        <v>441</v>
      </c>
      <c r="D275" s="1" t="s">
        <v>111</v>
      </c>
      <c r="E275" s="1">
        <v>14</v>
      </c>
      <c r="F275" s="1" t="s">
        <v>358</v>
      </c>
      <c r="G275" s="1" t="s">
        <v>442</v>
      </c>
      <c r="H275" s="1" t="s">
        <v>40</v>
      </c>
      <c r="I275" s="1" t="s">
        <v>41</v>
      </c>
      <c r="J275" s="1" t="s">
        <v>71</v>
      </c>
      <c r="K275" s="1" t="s">
        <v>53</v>
      </c>
      <c r="L275" s="1" t="s">
        <v>443</v>
      </c>
      <c r="M275" s="1">
        <v>2499</v>
      </c>
    </row>
    <row r="276" spans="1:13" ht="15.75" customHeight="1">
      <c r="A276" s="1">
        <v>279</v>
      </c>
      <c r="B276" s="1" t="s">
        <v>293</v>
      </c>
      <c r="C276" s="1" t="s">
        <v>294</v>
      </c>
      <c r="D276" s="1" t="s">
        <v>31</v>
      </c>
      <c r="E276" s="1">
        <v>15.6</v>
      </c>
      <c r="F276" s="1" t="s">
        <v>48</v>
      </c>
      <c r="G276" s="1" t="s">
        <v>389</v>
      </c>
      <c r="H276" s="1" t="s">
        <v>18</v>
      </c>
      <c r="I276" s="1" t="s">
        <v>51</v>
      </c>
      <c r="J276" s="1" t="s">
        <v>444</v>
      </c>
      <c r="K276" s="1" t="s">
        <v>53</v>
      </c>
      <c r="L276" s="1" t="s">
        <v>77</v>
      </c>
      <c r="M276" s="1">
        <v>812</v>
      </c>
    </row>
    <row r="277" spans="1:13" ht="15.75" customHeight="1">
      <c r="A277" s="1">
        <v>280</v>
      </c>
      <c r="B277" s="1" t="s">
        <v>74</v>
      </c>
      <c r="C277" s="1" t="s">
        <v>279</v>
      </c>
      <c r="D277" s="1" t="s">
        <v>31</v>
      </c>
      <c r="E277" s="1">
        <v>15.6</v>
      </c>
      <c r="F277" s="1" t="s">
        <v>48</v>
      </c>
      <c r="G277" s="1" t="s">
        <v>83</v>
      </c>
      <c r="H277" s="1" t="s">
        <v>162</v>
      </c>
      <c r="I277" s="1" t="s">
        <v>89</v>
      </c>
      <c r="J277" s="1" t="s">
        <v>35</v>
      </c>
      <c r="K277" s="1" t="s">
        <v>53</v>
      </c>
      <c r="L277" s="1" t="s">
        <v>116</v>
      </c>
      <c r="M277" s="1">
        <v>713.07</v>
      </c>
    </row>
    <row r="278" spans="1:13" ht="15.75" customHeight="1">
      <c r="A278" s="1">
        <v>281</v>
      </c>
      <c r="B278" s="1" t="s">
        <v>74</v>
      </c>
      <c r="C278" s="1" t="s">
        <v>148</v>
      </c>
      <c r="D278" s="1" t="s">
        <v>31</v>
      </c>
      <c r="E278" s="1">
        <v>17.3</v>
      </c>
      <c r="F278" s="1" t="s">
        <v>32</v>
      </c>
      <c r="G278" s="1" t="s">
        <v>62</v>
      </c>
      <c r="H278" s="1" t="s">
        <v>18</v>
      </c>
      <c r="I278" s="1" t="s">
        <v>104</v>
      </c>
      <c r="J278" s="1" t="s">
        <v>121</v>
      </c>
      <c r="K278" s="1" t="s">
        <v>147</v>
      </c>
      <c r="L278" s="1" t="s">
        <v>149</v>
      </c>
      <c r="M278" s="1">
        <v>1099</v>
      </c>
    </row>
    <row r="279" spans="1:13" ht="15.75" customHeight="1">
      <c r="A279" s="1">
        <v>282</v>
      </c>
      <c r="B279" s="1" t="s">
        <v>46</v>
      </c>
      <c r="C279" s="1" t="s">
        <v>160</v>
      </c>
      <c r="D279" s="1" t="s">
        <v>31</v>
      </c>
      <c r="E279" s="1">
        <v>15.6</v>
      </c>
      <c r="F279" s="1" t="s">
        <v>66</v>
      </c>
      <c r="G279" s="1" t="s">
        <v>62</v>
      </c>
      <c r="H279" s="1" t="s">
        <v>18</v>
      </c>
      <c r="I279" s="1" t="s">
        <v>89</v>
      </c>
      <c r="J279" s="1" t="s">
        <v>224</v>
      </c>
      <c r="K279" s="1" t="s">
        <v>53</v>
      </c>
      <c r="L279" s="1" t="s">
        <v>77</v>
      </c>
      <c r="M279" s="1">
        <v>745</v>
      </c>
    </row>
    <row r="280" spans="1:13" ht="15.75" customHeight="1">
      <c r="A280" s="1">
        <v>283</v>
      </c>
      <c r="B280" s="1" t="s">
        <v>86</v>
      </c>
      <c r="C280" s="1" t="s">
        <v>445</v>
      </c>
      <c r="D280" s="1" t="s">
        <v>31</v>
      </c>
      <c r="E280" s="1">
        <v>17.3</v>
      </c>
      <c r="F280" s="1" t="s">
        <v>364</v>
      </c>
      <c r="G280" s="1" t="s">
        <v>70</v>
      </c>
      <c r="H280" s="1" t="s">
        <v>50</v>
      </c>
      <c r="I280" s="1" t="s">
        <v>89</v>
      </c>
      <c r="J280" s="1" t="s">
        <v>71</v>
      </c>
      <c r="K280" s="1" t="s">
        <v>53</v>
      </c>
      <c r="L280" s="1" t="s">
        <v>149</v>
      </c>
      <c r="M280" s="1">
        <v>489</v>
      </c>
    </row>
    <row r="281" spans="1:13" ht="15.75" customHeight="1">
      <c r="A281" s="1">
        <v>284</v>
      </c>
      <c r="B281" s="1" t="s">
        <v>86</v>
      </c>
      <c r="C281" s="1" t="s">
        <v>363</v>
      </c>
      <c r="D281" s="1" t="s">
        <v>31</v>
      </c>
      <c r="E281" s="1">
        <v>17.3</v>
      </c>
      <c r="F281" s="1" t="s">
        <v>32</v>
      </c>
      <c r="G281" s="1" t="s">
        <v>62</v>
      </c>
      <c r="H281" s="1" t="s">
        <v>18</v>
      </c>
      <c r="I281" s="1" t="s">
        <v>221</v>
      </c>
      <c r="J281" s="1" t="s">
        <v>63</v>
      </c>
      <c r="K281" s="1" t="s">
        <v>36</v>
      </c>
      <c r="L281" s="1" t="s">
        <v>149</v>
      </c>
      <c r="M281" s="1">
        <v>849</v>
      </c>
    </row>
    <row r="282" spans="1:13" ht="15.75" customHeight="1">
      <c r="A282" s="1">
        <v>285</v>
      </c>
      <c r="B282" s="1" t="s">
        <v>86</v>
      </c>
      <c r="C282" s="1" t="s">
        <v>386</v>
      </c>
      <c r="D282" s="1" t="s">
        <v>31</v>
      </c>
      <c r="E282" s="1">
        <v>17.3</v>
      </c>
      <c r="F282" s="1" t="s">
        <v>364</v>
      </c>
      <c r="G282" s="1" t="s">
        <v>83</v>
      </c>
      <c r="H282" s="1" t="s">
        <v>246</v>
      </c>
      <c r="I282" s="1" t="s">
        <v>104</v>
      </c>
      <c r="J282" s="1" t="s">
        <v>90</v>
      </c>
      <c r="K282" s="1" t="s">
        <v>53</v>
      </c>
      <c r="L282" s="1" t="s">
        <v>149</v>
      </c>
      <c r="M282" s="1">
        <v>859</v>
      </c>
    </row>
    <row r="283" spans="1:13" ht="15.75" customHeight="1">
      <c r="A283" s="1">
        <v>286</v>
      </c>
      <c r="B283" s="1" t="s">
        <v>74</v>
      </c>
      <c r="C283" s="1" t="s">
        <v>75</v>
      </c>
      <c r="D283" s="1" t="s">
        <v>31</v>
      </c>
      <c r="E283" s="1">
        <v>15.6</v>
      </c>
      <c r="F283" s="1" t="s">
        <v>32</v>
      </c>
      <c r="G283" s="1" t="s">
        <v>446</v>
      </c>
      <c r="H283" s="1" t="s">
        <v>50</v>
      </c>
      <c r="I283" s="1" t="s">
        <v>89</v>
      </c>
      <c r="J283" s="1" t="s">
        <v>76</v>
      </c>
      <c r="K283" s="1" t="s">
        <v>147</v>
      </c>
      <c r="L283" s="1" t="s">
        <v>447</v>
      </c>
      <c r="M283" s="1">
        <v>428</v>
      </c>
    </row>
    <row r="284" spans="1:13" ht="15.75" customHeight="1">
      <c r="A284" s="1">
        <v>287</v>
      </c>
      <c r="B284" s="1" t="s">
        <v>86</v>
      </c>
      <c r="C284" s="1" t="s">
        <v>101</v>
      </c>
      <c r="D284" s="1" t="s">
        <v>102</v>
      </c>
      <c r="E284" s="1">
        <v>15.6</v>
      </c>
      <c r="F284" s="1" t="s">
        <v>66</v>
      </c>
      <c r="G284" s="1" t="s">
        <v>103</v>
      </c>
      <c r="H284" s="1" t="s">
        <v>18</v>
      </c>
      <c r="I284" s="1" t="s">
        <v>34</v>
      </c>
      <c r="J284" s="1" t="s">
        <v>105</v>
      </c>
      <c r="K284" s="1" t="s">
        <v>53</v>
      </c>
      <c r="L284" s="1" t="s">
        <v>106</v>
      </c>
      <c r="M284" s="1">
        <v>829</v>
      </c>
    </row>
    <row r="285" spans="1:13" ht="15.75" customHeight="1">
      <c r="A285" s="1">
        <v>288</v>
      </c>
      <c r="B285" s="1" t="s">
        <v>86</v>
      </c>
      <c r="C285" s="1" t="s">
        <v>448</v>
      </c>
      <c r="D285" s="1" t="s">
        <v>31</v>
      </c>
      <c r="E285" s="1">
        <v>15.6</v>
      </c>
      <c r="F285" s="1" t="s">
        <v>32</v>
      </c>
      <c r="G285" s="1" t="s">
        <v>33</v>
      </c>
      <c r="H285" s="1" t="s">
        <v>246</v>
      </c>
      <c r="I285" s="1" t="s">
        <v>34</v>
      </c>
      <c r="J285" s="1" t="s">
        <v>35</v>
      </c>
      <c r="K285" s="1" t="s">
        <v>53</v>
      </c>
      <c r="L285" s="1" t="s">
        <v>77</v>
      </c>
      <c r="M285" s="1">
        <v>579</v>
      </c>
    </row>
    <row r="286" spans="1:13" ht="15.75" customHeight="1">
      <c r="A286" s="1">
        <v>289</v>
      </c>
      <c r="B286" s="1" t="s">
        <v>46</v>
      </c>
      <c r="C286" s="1" t="s">
        <v>326</v>
      </c>
      <c r="D286" s="1" t="s">
        <v>31</v>
      </c>
      <c r="E286" s="1">
        <v>15.6</v>
      </c>
      <c r="F286" s="1" t="s">
        <v>66</v>
      </c>
      <c r="G286" s="1" t="s">
        <v>62</v>
      </c>
      <c r="H286" s="1" t="s">
        <v>18</v>
      </c>
      <c r="I286" s="1" t="s">
        <v>34</v>
      </c>
      <c r="J286" s="1" t="s">
        <v>63</v>
      </c>
      <c r="K286" s="1" t="s">
        <v>53</v>
      </c>
      <c r="L286" s="1" t="s">
        <v>209</v>
      </c>
      <c r="M286" s="1">
        <v>951</v>
      </c>
    </row>
    <row r="287" spans="1:13" ht="15.75" customHeight="1">
      <c r="A287" s="1">
        <v>290</v>
      </c>
      <c r="B287" s="1" t="s">
        <v>46</v>
      </c>
      <c r="C287" s="1" t="s">
        <v>449</v>
      </c>
      <c r="D287" s="1" t="s">
        <v>31</v>
      </c>
      <c r="E287" s="1">
        <v>15.6</v>
      </c>
      <c r="F287" s="1" t="s">
        <v>92</v>
      </c>
      <c r="G287" s="1" t="s">
        <v>83</v>
      </c>
      <c r="H287" s="1" t="s">
        <v>162</v>
      </c>
      <c r="I287" s="1" t="s">
        <v>89</v>
      </c>
      <c r="J287" s="1" t="s">
        <v>35</v>
      </c>
      <c r="K287" s="1" t="s">
        <v>53</v>
      </c>
      <c r="L287" s="1" t="s">
        <v>450</v>
      </c>
      <c r="M287" s="1">
        <v>659</v>
      </c>
    </row>
    <row r="288" spans="1:13" ht="15.75" customHeight="1">
      <c r="A288" s="1">
        <v>291</v>
      </c>
      <c r="B288" s="1" t="s">
        <v>86</v>
      </c>
      <c r="C288" s="1" t="s">
        <v>451</v>
      </c>
      <c r="D288" s="1" t="s">
        <v>31</v>
      </c>
      <c r="E288" s="1">
        <v>15.6</v>
      </c>
      <c r="F288" s="1" t="s">
        <v>66</v>
      </c>
      <c r="G288" s="1" t="s">
        <v>83</v>
      </c>
      <c r="H288" s="1" t="s">
        <v>18</v>
      </c>
      <c r="I288" s="1" t="s">
        <v>34</v>
      </c>
      <c r="J288" s="1" t="s">
        <v>452</v>
      </c>
      <c r="K288" s="1" t="s">
        <v>53</v>
      </c>
      <c r="L288" s="1" t="s">
        <v>350</v>
      </c>
      <c r="M288" s="1">
        <v>1097</v>
      </c>
    </row>
    <row r="289" spans="1:13" ht="15.75" customHeight="1">
      <c r="A289" s="1">
        <v>292</v>
      </c>
      <c r="B289" s="1" t="s">
        <v>60</v>
      </c>
      <c r="C289" s="1" t="s">
        <v>261</v>
      </c>
      <c r="D289" s="1" t="s">
        <v>15</v>
      </c>
      <c r="E289" s="1">
        <v>15.6</v>
      </c>
      <c r="F289" s="1" t="s">
        <v>32</v>
      </c>
      <c r="G289" s="1" t="s">
        <v>33</v>
      </c>
      <c r="H289" s="1" t="s">
        <v>18</v>
      </c>
      <c r="I289" s="1" t="s">
        <v>34</v>
      </c>
      <c r="J289" s="1" t="s">
        <v>90</v>
      </c>
      <c r="K289" s="1" t="s">
        <v>53</v>
      </c>
      <c r="L289" s="1" t="s">
        <v>196</v>
      </c>
      <c r="M289" s="1">
        <v>977</v>
      </c>
    </row>
    <row r="290" spans="1:13" ht="15.75" customHeight="1">
      <c r="A290" s="1">
        <v>293</v>
      </c>
      <c r="B290" s="1" t="s">
        <v>86</v>
      </c>
      <c r="C290" s="1" t="s">
        <v>101</v>
      </c>
      <c r="D290" s="1" t="s">
        <v>102</v>
      </c>
      <c r="E290" s="1">
        <v>15.6</v>
      </c>
      <c r="F290" s="1" t="s">
        <v>66</v>
      </c>
      <c r="G290" s="1" t="s">
        <v>155</v>
      </c>
      <c r="H290" s="1" t="s">
        <v>40</v>
      </c>
      <c r="I290" s="1" t="s">
        <v>156</v>
      </c>
      <c r="J290" s="1" t="s">
        <v>201</v>
      </c>
      <c r="K290" s="1" t="s">
        <v>53</v>
      </c>
      <c r="L290" s="1" t="s">
        <v>106</v>
      </c>
      <c r="M290" s="1">
        <v>1179</v>
      </c>
    </row>
    <row r="291" spans="1:13" ht="15.75" customHeight="1">
      <c r="A291" s="1">
        <v>294</v>
      </c>
      <c r="B291" s="1" t="s">
        <v>86</v>
      </c>
      <c r="C291" s="1" t="s">
        <v>87</v>
      </c>
      <c r="D291" s="1" t="s">
        <v>31</v>
      </c>
      <c r="E291" s="1">
        <v>15.6</v>
      </c>
      <c r="F291" s="1" t="s">
        <v>32</v>
      </c>
      <c r="G291" s="1" t="s">
        <v>83</v>
      </c>
      <c r="H291" s="1" t="s">
        <v>18</v>
      </c>
      <c r="I291" s="1" t="s">
        <v>89</v>
      </c>
      <c r="J291" s="1" t="s">
        <v>90</v>
      </c>
      <c r="K291" s="1" t="s">
        <v>36</v>
      </c>
      <c r="L291" s="1" t="s">
        <v>77</v>
      </c>
      <c r="M291" s="1">
        <v>659.01</v>
      </c>
    </row>
    <row r="292" spans="1:13" ht="15.75" customHeight="1">
      <c r="A292" s="1">
        <v>295</v>
      </c>
      <c r="B292" s="1" t="s">
        <v>46</v>
      </c>
      <c r="C292" s="1" t="s">
        <v>453</v>
      </c>
      <c r="D292" s="1" t="s">
        <v>31</v>
      </c>
      <c r="E292" s="1">
        <v>15.6</v>
      </c>
      <c r="F292" s="1" t="s">
        <v>48</v>
      </c>
      <c r="G292" s="1" t="s">
        <v>454</v>
      </c>
      <c r="H292" s="1" t="s">
        <v>97</v>
      </c>
      <c r="I292" s="1" t="s">
        <v>455</v>
      </c>
      <c r="J292" s="1" t="s">
        <v>132</v>
      </c>
      <c r="K292" s="1" t="s">
        <v>456</v>
      </c>
      <c r="L292" s="1" t="s">
        <v>457</v>
      </c>
      <c r="M292" s="1">
        <v>199</v>
      </c>
    </row>
    <row r="293" spans="1:13" ht="15.75" customHeight="1">
      <c r="A293" s="1">
        <v>296</v>
      </c>
      <c r="B293" s="1" t="s">
        <v>60</v>
      </c>
      <c r="C293" s="1" t="s">
        <v>458</v>
      </c>
      <c r="D293" s="1" t="s">
        <v>102</v>
      </c>
      <c r="E293" s="1">
        <v>17.3</v>
      </c>
      <c r="F293" s="1" t="s">
        <v>32</v>
      </c>
      <c r="G293" s="1" t="s">
        <v>155</v>
      </c>
      <c r="H293" s="1" t="s">
        <v>18</v>
      </c>
      <c r="I293" s="1" t="s">
        <v>89</v>
      </c>
      <c r="J293" s="1" t="s">
        <v>105</v>
      </c>
      <c r="K293" s="1" t="s">
        <v>53</v>
      </c>
      <c r="L293" s="1" t="s">
        <v>209</v>
      </c>
      <c r="M293" s="1">
        <v>1187</v>
      </c>
    </row>
    <row r="294" spans="1:13" ht="15.75" customHeight="1">
      <c r="A294" s="1">
        <v>297</v>
      </c>
      <c r="B294" s="1" t="s">
        <v>29</v>
      </c>
      <c r="C294" s="1" t="s">
        <v>459</v>
      </c>
      <c r="D294" s="1" t="s">
        <v>31</v>
      </c>
      <c r="E294" s="1">
        <v>17.3</v>
      </c>
      <c r="F294" s="1" t="s">
        <v>364</v>
      </c>
      <c r="G294" s="1" t="s">
        <v>70</v>
      </c>
      <c r="H294" s="1" t="s">
        <v>18</v>
      </c>
      <c r="I294" s="1" t="s">
        <v>89</v>
      </c>
      <c r="J294" s="1" t="s">
        <v>71</v>
      </c>
      <c r="K294" s="1" t="s">
        <v>53</v>
      </c>
      <c r="L294" s="1" t="s">
        <v>460</v>
      </c>
      <c r="M294" s="1">
        <v>489</v>
      </c>
    </row>
    <row r="295" spans="1:13" ht="15.75" customHeight="1">
      <c r="A295" s="1">
        <v>298</v>
      </c>
      <c r="B295" s="1" t="s">
        <v>74</v>
      </c>
      <c r="C295" s="1" t="s">
        <v>351</v>
      </c>
      <c r="D295" s="1" t="s">
        <v>31</v>
      </c>
      <c r="E295" s="1">
        <v>15.6</v>
      </c>
      <c r="F295" s="1" t="s">
        <v>32</v>
      </c>
      <c r="G295" s="1" t="s">
        <v>155</v>
      </c>
      <c r="H295" s="1" t="s">
        <v>18</v>
      </c>
      <c r="I295" s="1" t="s">
        <v>34</v>
      </c>
      <c r="J295" s="1" t="s">
        <v>105</v>
      </c>
      <c r="K295" s="1" t="s">
        <v>53</v>
      </c>
      <c r="L295" s="1" t="s">
        <v>153</v>
      </c>
      <c r="M295" s="1">
        <v>1829</v>
      </c>
    </row>
    <row r="296" spans="1:13" ht="15.75" customHeight="1">
      <c r="A296" s="1">
        <v>299</v>
      </c>
      <c r="B296" s="1" t="s">
        <v>86</v>
      </c>
      <c r="C296" s="1" t="s">
        <v>461</v>
      </c>
      <c r="D296" s="1" t="s">
        <v>31</v>
      </c>
      <c r="E296" s="1">
        <v>15.6</v>
      </c>
      <c r="F296" s="1" t="s">
        <v>32</v>
      </c>
      <c r="G296" s="1" t="s">
        <v>67</v>
      </c>
      <c r="H296" s="1" t="s">
        <v>18</v>
      </c>
      <c r="I296" s="1" t="s">
        <v>34</v>
      </c>
      <c r="J296" s="1" t="s">
        <v>68</v>
      </c>
      <c r="K296" s="1" t="s">
        <v>53</v>
      </c>
      <c r="L296" s="1" t="s">
        <v>284</v>
      </c>
      <c r="M296" s="1">
        <v>739</v>
      </c>
    </row>
    <row r="297" spans="1:13" ht="15.75" customHeight="1">
      <c r="A297" s="1">
        <v>300</v>
      </c>
      <c r="B297" s="1" t="s">
        <v>86</v>
      </c>
      <c r="C297" s="1" t="s">
        <v>376</v>
      </c>
      <c r="D297" s="1" t="s">
        <v>102</v>
      </c>
      <c r="E297" s="1">
        <v>15.6</v>
      </c>
      <c r="F297" s="1" t="s">
        <v>66</v>
      </c>
      <c r="G297" s="1" t="s">
        <v>155</v>
      </c>
      <c r="H297" s="1" t="s">
        <v>18</v>
      </c>
      <c r="I297" s="1" t="s">
        <v>89</v>
      </c>
      <c r="J297" s="1" t="s">
        <v>157</v>
      </c>
      <c r="K297" s="1" t="s">
        <v>53</v>
      </c>
      <c r="L297" s="1" t="s">
        <v>171</v>
      </c>
      <c r="M297" s="1">
        <v>1299</v>
      </c>
    </row>
    <row r="298" spans="1:13" ht="15.75" customHeight="1">
      <c r="A298" s="1">
        <v>301</v>
      </c>
      <c r="B298" s="1" t="s">
        <v>46</v>
      </c>
      <c r="C298" s="1" t="s">
        <v>462</v>
      </c>
      <c r="D298" s="1" t="s">
        <v>31</v>
      </c>
      <c r="E298" s="1">
        <v>15.6</v>
      </c>
      <c r="F298" s="1" t="s">
        <v>32</v>
      </c>
      <c r="G298" s="1" t="s">
        <v>155</v>
      </c>
      <c r="H298" s="1" t="s">
        <v>18</v>
      </c>
      <c r="I298" s="1" t="s">
        <v>34</v>
      </c>
      <c r="J298" s="1" t="s">
        <v>201</v>
      </c>
      <c r="K298" s="1" t="s">
        <v>147</v>
      </c>
      <c r="L298" s="1" t="s">
        <v>106</v>
      </c>
      <c r="M298" s="1">
        <v>979</v>
      </c>
    </row>
    <row r="299" spans="1:13" ht="15.75" customHeight="1">
      <c r="A299" s="1">
        <v>302</v>
      </c>
      <c r="B299" s="1" t="s">
        <v>74</v>
      </c>
      <c r="C299" s="1" t="s">
        <v>463</v>
      </c>
      <c r="D299" s="1" t="s">
        <v>378</v>
      </c>
      <c r="E299" s="1">
        <v>17.3</v>
      </c>
      <c r="F299" s="1" t="s">
        <v>32</v>
      </c>
      <c r="G299" s="1" t="s">
        <v>464</v>
      </c>
      <c r="H299" s="1" t="s">
        <v>40</v>
      </c>
      <c r="I299" s="1" t="s">
        <v>34</v>
      </c>
      <c r="J299" s="1" t="s">
        <v>381</v>
      </c>
      <c r="K299" s="1" t="s">
        <v>53</v>
      </c>
      <c r="L299" s="1" t="s">
        <v>465</v>
      </c>
      <c r="M299" s="1">
        <v>2884.86</v>
      </c>
    </row>
    <row r="300" spans="1:13" ht="15.75" customHeight="1">
      <c r="A300" s="1">
        <v>303</v>
      </c>
      <c r="B300" s="1" t="s">
        <v>86</v>
      </c>
      <c r="C300" s="1" t="s">
        <v>466</v>
      </c>
      <c r="D300" s="1" t="s">
        <v>31</v>
      </c>
      <c r="E300" s="1">
        <v>15.6</v>
      </c>
      <c r="F300" s="1" t="s">
        <v>32</v>
      </c>
      <c r="G300" s="1" t="s">
        <v>467</v>
      </c>
      <c r="H300" s="1" t="s">
        <v>246</v>
      </c>
      <c r="I300" s="1" t="s">
        <v>89</v>
      </c>
      <c r="J300" s="1" t="s">
        <v>468</v>
      </c>
      <c r="K300" s="1" t="s">
        <v>53</v>
      </c>
      <c r="L300" s="1" t="s">
        <v>183</v>
      </c>
      <c r="M300" s="1">
        <v>499</v>
      </c>
    </row>
    <row r="301" spans="1:13" ht="15.75" customHeight="1">
      <c r="A301" s="1">
        <v>304</v>
      </c>
      <c r="B301" s="1" t="s">
        <v>60</v>
      </c>
      <c r="C301" s="1" t="s">
        <v>469</v>
      </c>
      <c r="D301" s="1" t="s">
        <v>15</v>
      </c>
      <c r="E301" s="1">
        <v>15.6</v>
      </c>
      <c r="F301" s="1" t="s">
        <v>32</v>
      </c>
      <c r="G301" s="1" t="s">
        <v>83</v>
      </c>
      <c r="H301" s="1" t="s">
        <v>40</v>
      </c>
      <c r="I301" s="1" t="s">
        <v>41</v>
      </c>
      <c r="J301" s="1" t="s">
        <v>90</v>
      </c>
      <c r="K301" s="1" t="s">
        <v>53</v>
      </c>
      <c r="L301" s="1" t="s">
        <v>227</v>
      </c>
      <c r="M301" s="1">
        <v>1468</v>
      </c>
    </row>
    <row r="302" spans="1:13" ht="15.75" customHeight="1">
      <c r="A302" s="1">
        <v>305</v>
      </c>
      <c r="B302" s="1" t="s">
        <v>60</v>
      </c>
      <c r="C302" s="1" t="s">
        <v>470</v>
      </c>
      <c r="D302" s="1" t="s">
        <v>31</v>
      </c>
      <c r="E302" s="1">
        <v>14</v>
      </c>
      <c r="F302" s="1" t="s">
        <v>48</v>
      </c>
      <c r="G302" s="1" t="s">
        <v>88</v>
      </c>
      <c r="H302" s="1" t="s">
        <v>50</v>
      </c>
      <c r="I302" s="1" t="s">
        <v>19</v>
      </c>
      <c r="J302" s="1" t="s">
        <v>35</v>
      </c>
      <c r="K302" s="1" t="s">
        <v>53</v>
      </c>
      <c r="L302" s="1" t="s">
        <v>64</v>
      </c>
      <c r="M302" s="1">
        <v>509</v>
      </c>
    </row>
    <row r="303" spans="1:13" ht="15.75" customHeight="1">
      <c r="A303" s="1">
        <v>306</v>
      </c>
      <c r="B303" s="1" t="s">
        <v>60</v>
      </c>
      <c r="C303" s="1" t="s">
        <v>471</v>
      </c>
      <c r="D303" s="1" t="s">
        <v>102</v>
      </c>
      <c r="E303" s="1">
        <v>17.3</v>
      </c>
      <c r="F303" s="1" t="s">
        <v>32</v>
      </c>
      <c r="G303" s="1" t="s">
        <v>155</v>
      </c>
      <c r="H303" s="1" t="s">
        <v>40</v>
      </c>
      <c r="I303" s="1" t="s">
        <v>156</v>
      </c>
      <c r="J303" s="1" t="s">
        <v>192</v>
      </c>
      <c r="K303" s="1" t="s">
        <v>53</v>
      </c>
      <c r="L303" s="1" t="s">
        <v>304</v>
      </c>
      <c r="M303" s="1">
        <v>2122</v>
      </c>
    </row>
    <row r="304" spans="1:13" ht="15.75" customHeight="1">
      <c r="A304" s="1">
        <v>307</v>
      </c>
      <c r="B304" s="1" t="s">
        <v>86</v>
      </c>
      <c r="C304" s="1" t="s">
        <v>386</v>
      </c>
      <c r="D304" s="1" t="s">
        <v>31</v>
      </c>
      <c r="E304" s="1">
        <v>17.3</v>
      </c>
      <c r="F304" s="1" t="s">
        <v>364</v>
      </c>
      <c r="G304" s="1" t="s">
        <v>33</v>
      </c>
      <c r="H304" s="1" t="s">
        <v>246</v>
      </c>
      <c r="I304" s="1" t="s">
        <v>89</v>
      </c>
      <c r="J304" s="1" t="s">
        <v>472</v>
      </c>
      <c r="K304" s="1" t="s">
        <v>53</v>
      </c>
      <c r="L304" s="1" t="s">
        <v>149</v>
      </c>
      <c r="M304" s="1">
        <v>649</v>
      </c>
    </row>
    <row r="305" spans="1:13" ht="15.75" customHeight="1">
      <c r="A305" s="1">
        <v>308</v>
      </c>
      <c r="B305" s="1" t="s">
        <v>86</v>
      </c>
      <c r="C305" s="1" t="s">
        <v>220</v>
      </c>
      <c r="D305" s="1" t="s">
        <v>31</v>
      </c>
      <c r="E305" s="1">
        <v>15.6</v>
      </c>
      <c r="F305" s="1" t="s">
        <v>48</v>
      </c>
      <c r="G305" s="1" t="s">
        <v>33</v>
      </c>
      <c r="H305" s="1" t="s">
        <v>18</v>
      </c>
      <c r="I305" s="1" t="s">
        <v>221</v>
      </c>
      <c r="J305" s="1" t="s">
        <v>90</v>
      </c>
      <c r="K305" s="1" t="s">
        <v>36</v>
      </c>
      <c r="L305" s="1" t="s">
        <v>77</v>
      </c>
      <c r="M305" s="1">
        <v>549</v>
      </c>
    </row>
    <row r="306" spans="1:13" ht="15.75" customHeight="1">
      <c r="A306" s="1">
        <v>309</v>
      </c>
      <c r="B306" s="1" t="s">
        <v>60</v>
      </c>
      <c r="C306" s="1" t="s">
        <v>473</v>
      </c>
      <c r="D306" s="1" t="s">
        <v>102</v>
      </c>
      <c r="E306" s="1">
        <v>15.6</v>
      </c>
      <c r="F306" s="1" t="s">
        <v>32</v>
      </c>
      <c r="G306" s="1" t="s">
        <v>155</v>
      </c>
      <c r="H306" s="1" t="s">
        <v>18</v>
      </c>
      <c r="I306" s="1" t="s">
        <v>104</v>
      </c>
      <c r="J306" s="1" t="s">
        <v>201</v>
      </c>
      <c r="K306" s="1" t="s">
        <v>53</v>
      </c>
      <c r="L306" s="1" t="s">
        <v>106</v>
      </c>
      <c r="M306" s="1">
        <v>1265</v>
      </c>
    </row>
    <row r="307" spans="1:13" ht="15.75" customHeight="1">
      <c r="A307" s="1">
        <v>310</v>
      </c>
      <c r="B307" s="1" t="s">
        <v>86</v>
      </c>
      <c r="C307" s="1" t="s">
        <v>474</v>
      </c>
      <c r="D307" s="1" t="s">
        <v>31</v>
      </c>
      <c r="E307" s="1">
        <v>15.6</v>
      </c>
      <c r="F307" s="1" t="s">
        <v>48</v>
      </c>
      <c r="G307" s="1" t="s">
        <v>173</v>
      </c>
      <c r="H307" s="1" t="s">
        <v>50</v>
      </c>
      <c r="I307" s="1" t="s">
        <v>89</v>
      </c>
      <c r="J307" s="1" t="s">
        <v>329</v>
      </c>
      <c r="K307" s="1" t="s">
        <v>36</v>
      </c>
      <c r="L307" s="1" t="s">
        <v>77</v>
      </c>
      <c r="M307" s="1">
        <v>359.99</v>
      </c>
    </row>
    <row r="308" spans="1:13" ht="15.75" customHeight="1">
      <c r="A308" s="1">
        <v>311</v>
      </c>
      <c r="B308" s="1" t="s">
        <v>29</v>
      </c>
      <c r="C308" s="1" t="s">
        <v>475</v>
      </c>
      <c r="D308" s="1" t="s">
        <v>111</v>
      </c>
      <c r="E308" s="1">
        <v>13.3</v>
      </c>
      <c r="F308" s="1" t="s">
        <v>112</v>
      </c>
      <c r="G308" s="1" t="s">
        <v>476</v>
      </c>
      <c r="H308" s="1" t="s">
        <v>40</v>
      </c>
      <c r="I308" s="1" t="s">
        <v>34</v>
      </c>
      <c r="J308" s="1" t="s">
        <v>35</v>
      </c>
      <c r="K308" s="1" t="s">
        <v>53</v>
      </c>
      <c r="L308" s="1" t="s">
        <v>477</v>
      </c>
      <c r="M308" s="1">
        <v>1975</v>
      </c>
    </row>
    <row r="309" spans="1:13" ht="15.75" customHeight="1">
      <c r="A309" s="1">
        <v>312</v>
      </c>
      <c r="B309" s="1" t="s">
        <v>293</v>
      </c>
      <c r="C309" s="1" t="s">
        <v>294</v>
      </c>
      <c r="D309" s="1" t="s">
        <v>31</v>
      </c>
      <c r="E309" s="1">
        <v>15.6</v>
      </c>
      <c r="F309" s="1" t="s">
        <v>66</v>
      </c>
      <c r="G309" s="1" t="s">
        <v>389</v>
      </c>
      <c r="H309" s="1" t="s">
        <v>18</v>
      </c>
      <c r="I309" s="1" t="s">
        <v>34</v>
      </c>
      <c r="J309" s="1" t="s">
        <v>444</v>
      </c>
      <c r="K309" s="1" t="s">
        <v>53</v>
      </c>
      <c r="L309" s="1" t="s">
        <v>77</v>
      </c>
      <c r="M309" s="1">
        <v>1043</v>
      </c>
    </row>
    <row r="310" spans="1:13" ht="15.75" customHeight="1">
      <c r="A310" s="1">
        <v>313</v>
      </c>
      <c r="B310" s="1" t="s">
        <v>86</v>
      </c>
      <c r="C310" s="1" t="s">
        <v>87</v>
      </c>
      <c r="D310" s="1" t="s">
        <v>31</v>
      </c>
      <c r="E310" s="1">
        <v>15.6</v>
      </c>
      <c r="F310" s="1" t="s">
        <v>32</v>
      </c>
      <c r="G310" s="1" t="s">
        <v>33</v>
      </c>
      <c r="H310" s="1" t="s">
        <v>18</v>
      </c>
      <c r="I310" s="1" t="s">
        <v>104</v>
      </c>
      <c r="J310" s="1" t="s">
        <v>90</v>
      </c>
      <c r="K310" s="1" t="s">
        <v>53</v>
      </c>
      <c r="L310" s="1" t="s">
        <v>116</v>
      </c>
      <c r="M310" s="1">
        <v>819</v>
      </c>
    </row>
    <row r="311" spans="1:13" ht="15.75" customHeight="1">
      <c r="A311" s="1">
        <v>314</v>
      </c>
      <c r="B311" s="1" t="s">
        <v>29</v>
      </c>
      <c r="C311" s="1" t="s">
        <v>30</v>
      </c>
      <c r="D311" s="1" t="s">
        <v>31</v>
      </c>
      <c r="E311" s="1">
        <v>15.6</v>
      </c>
      <c r="F311" s="1" t="s">
        <v>32</v>
      </c>
      <c r="G311" s="1" t="s">
        <v>70</v>
      </c>
      <c r="H311" s="1" t="s">
        <v>50</v>
      </c>
      <c r="I311" s="1" t="s">
        <v>89</v>
      </c>
      <c r="J311" s="1" t="s">
        <v>71</v>
      </c>
      <c r="K311" s="1" t="s">
        <v>53</v>
      </c>
      <c r="L311" s="1" t="s">
        <v>37</v>
      </c>
      <c r="M311" s="1">
        <v>469</v>
      </c>
    </row>
    <row r="312" spans="1:13" ht="15.75" customHeight="1">
      <c r="A312" s="1">
        <v>315</v>
      </c>
      <c r="B312" s="1" t="s">
        <v>86</v>
      </c>
      <c r="C312" s="1" t="s">
        <v>478</v>
      </c>
      <c r="D312" s="1" t="s">
        <v>31</v>
      </c>
      <c r="E312" s="1">
        <v>13.3</v>
      </c>
      <c r="F312" s="1" t="s">
        <v>66</v>
      </c>
      <c r="G312" s="1" t="s">
        <v>33</v>
      </c>
      <c r="H312" s="1" t="s">
        <v>18</v>
      </c>
      <c r="I312" s="1" t="s">
        <v>34</v>
      </c>
      <c r="J312" s="1" t="s">
        <v>35</v>
      </c>
      <c r="K312" s="1" t="s">
        <v>53</v>
      </c>
      <c r="L312" s="1" t="s">
        <v>319</v>
      </c>
      <c r="M312" s="1">
        <v>999</v>
      </c>
    </row>
    <row r="313" spans="1:13" ht="15.75" customHeight="1">
      <c r="A313" s="1">
        <v>316</v>
      </c>
      <c r="B313" s="1" t="s">
        <v>74</v>
      </c>
      <c r="C313" s="1" t="s">
        <v>91</v>
      </c>
      <c r="D313" s="1" t="s">
        <v>15</v>
      </c>
      <c r="E313" s="1">
        <v>13.3</v>
      </c>
      <c r="F313" s="1" t="s">
        <v>298</v>
      </c>
      <c r="G313" s="1" t="s">
        <v>62</v>
      </c>
      <c r="H313" s="1" t="s">
        <v>40</v>
      </c>
      <c r="I313" s="1" t="s">
        <v>359</v>
      </c>
      <c r="J313" s="1" t="s">
        <v>68</v>
      </c>
      <c r="K313" s="1" t="s">
        <v>53</v>
      </c>
      <c r="L313" s="1" t="s">
        <v>234</v>
      </c>
      <c r="M313" s="1">
        <v>2499</v>
      </c>
    </row>
    <row r="314" spans="1:13" ht="15.75" customHeight="1">
      <c r="A314" s="1">
        <v>317</v>
      </c>
      <c r="B314" s="1" t="s">
        <v>189</v>
      </c>
      <c r="C314" s="1" t="s">
        <v>479</v>
      </c>
      <c r="D314" s="1" t="s">
        <v>102</v>
      </c>
      <c r="E314" s="1">
        <v>15.6</v>
      </c>
      <c r="F314" s="1" t="s">
        <v>66</v>
      </c>
      <c r="G314" s="1" t="s">
        <v>155</v>
      </c>
      <c r="H314" s="1" t="s">
        <v>40</v>
      </c>
      <c r="I314" s="1" t="s">
        <v>156</v>
      </c>
      <c r="J314" s="1" t="s">
        <v>192</v>
      </c>
      <c r="K314" s="1" t="s">
        <v>53</v>
      </c>
      <c r="L314" s="1" t="s">
        <v>149</v>
      </c>
      <c r="M314" s="1">
        <v>2099</v>
      </c>
    </row>
    <row r="315" spans="1:13" ht="15.75" customHeight="1">
      <c r="A315" s="1">
        <v>318</v>
      </c>
      <c r="B315" s="1" t="s">
        <v>46</v>
      </c>
      <c r="C315" s="1" t="s">
        <v>480</v>
      </c>
      <c r="D315" s="1" t="s">
        <v>31</v>
      </c>
      <c r="E315" s="1">
        <v>15.6</v>
      </c>
      <c r="F315" s="1" t="s">
        <v>32</v>
      </c>
      <c r="G315" s="1" t="s">
        <v>481</v>
      </c>
      <c r="H315" s="1" t="s">
        <v>18</v>
      </c>
      <c r="I315" s="1" t="s">
        <v>34</v>
      </c>
      <c r="J315" s="1" t="s">
        <v>52</v>
      </c>
      <c r="K315" s="1" t="s">
        <v>53</v>
      </c>
      <c r="L315" s="1" t="s">
        <v>375</v>
      </c>
      <c r="M315" s="1">
        <v>469</v>
      </c>
    </row>
    <row r="316" spans="1:13" ht="15.75" customHeight="1">
      <c r="A316" s="1">
        <v>319</v>
      </c>
      <c r="B316" s="1" t="s">
        <v>60</v>
      </c>
      <c r="C316" s="1" t="s">
        <v>482</v>
      </c>
      <c r="D316" s="1" t="s">
        <v>111</v>
      </c>
      <c r="E316" s="1">
        <v>11.6</v>
      </c>
      <c r="F316" s="1" t="s">
        <v>382</v>
      </c>
      <c r="G316" s="1" t="s">
        <v>143</v>
      </c>
      <c r="H316" s="1" t="s">
        <v>97</v>
      </c>
      <c r="I316" s="1" t="s">
        <v>98</v>
      </c>
      <c r="J316" s="1" t="s">
        <v>144</v>
      </c>
      <c r="K316" s="1" t="s">
        <v>53</v>
      </c>
      <c r="L316" s="1" t="s">
        <v>319</v>
      </c>
      <c r="M316" s="1">
        <v>275</v>
      </c>
    </row>
    <row r="317" spans="1:13" ht="15.75" customHeight="1">
      <c r="A317" s="1">
        <v>320</v>
      </c>
      <c r="B317" s="1" t="s">
        <v>74</v>
      </c>
      <c r="C317" s="1" t="s">
        <v>120</v>
      </c>
      <c r="D317" s="1" t="s">
        <v>31</v>
      </c>
      <c r="E317" s="1">
        <v>15.6</v>
      </c>
      <c r="F317" s="1" t="s">
        <v>32</v>
      </c>
      <c r="G317" s="1" t="s">
        <v>67</v>
      </c>
      <c r="H317" s="1" t="s">
        <v>18</v>
      </c>
      <c r="I317" s="1" t="s">
        <v>104</v>
      </c>
      <c r="J317" s="1" t="s">
        <v>121</v>
      </c>
      <c r="K317" s="1" t="s">
        <v>53</v>
      </c>
      <c r="L317" s="1" t="s">
        <v>483</v>
      </c>
      <c r="M317" s="1">
        <v>844</v>
      </c>
    </row>
    <row r="318" spans="1:13" ht="15.75" customHeight="1">
      <c r="A318" s="1">
        <v>321</v>
      </c>
      <c r="B318" s="1" t="s">
        <v>29</v>
      </c>
      <c r="C318" s="1" t="s">
        <v>268</v>
      </c>
      <c r="D318" s="1" t="s">
        <v>111</v>
      </c>
      <c r="E318" s="1">
        <v>13.3</v>
      </c>
      <c r="F318" s="1" t="s">
        <v>298</v>
      </c>
      <c r="G318" s="1" t="s">
        <v>62</v>
      </c>
      <c r="H318" s="1" t="s">
        <v>40</v>
      </c>
      <c r="I318" s="1" t="s">
        <v>359</v>
      </c>
      <c r="J318" s="1" t="s">
        <v>68</v>
      </c>
      <c r="K318" s="1" t="s">
        <v>53</v>
      </c>
      <c r="L318" s="1" t="s">
        <v>345</v>
      </c>
      <c r="M318" s="1">
        <v>2449</v>
      </c>
    </row>
    <row r="319" spans="1:13" ht="15.75" customHeight="1">
      <c r="A319" s="1">
        <v>322</v>
      </c>
      <c r="B319" s="1" t="s">
        <v>86</v>
      </c>
      <c r="C319" s="1" t="s">
        <v>484</v>
      </c>
      <c r="D319" s="1" t="s">
        <v>31</v>
      </c>
      <c r="E319" s="1">
        <v>13.3</v>
      </c>
      <c r="F319" s="1" t="s">
        <v>48</v>
      </c>
      <c r="G319" s="1" t="s">
        <v>485</v>
      </c>
      <c r="H319" s="1" t="s">
        <v>50</v>
      </c>
      <c r="I319" s="1" t="s">
        <v>486</v>
      </c>
      <c r="J319" s="1" t="s">
        <v>487</v>
      </c>
      <c r="K319" s="1" t="s">
        <v>456</v>
      </c>
      <c r="L319" s="1" t="s">
        <v>488</v>
      </c>
      <c r="M319" s="1">
        <v>459.9</v>
      </c>
    </row>
    <row r="320" spans="1:13" ht="15.75" customHeight="1">
      <c r="A320" s="1">
        <v>323</v>
      </c>
      <c r="B320" s="1" t="s">
        <v>29</v>
      </c>
      <c r="C320" s="1" t="s">
        <v>489</v>
      </c>
      <c r="D320" s="1" t="s">
        <v>31</v>
      </c>
      <c r="E320" s="1">
        <v>14</v>
      </c>
      <c r="F320" s="1" t="s">
        <v>32</v>
      </c>
      <c r="G320" s="1" t="s">
        <v>33</v>
      </c>
      <c r="H320" s="1" t="s">
        <v>18</v>
      </c>
      <c r="I320" s="1" t="s">
        <v>34</v>
      </c>
      <c r="J320" s="1" t="s">
        <v>35</v>
      </c>
      <c r="K320" s="1" t="s">
        <v>53</v>
      </c>
      <c r="L320" s="1" t="s">
        <v>350</v>
      </c>
      <c r="M320" s="1">
        <v>980</v>
      </c>
    </row>
    <row r="321" spans="1:13" ht="15.75" customHeight="1">
      <c r="A321" s="1">
        <v>324</v>
      </c>
      <c r="B321" s="1" t="s">
        <v>46</v>
      </c>
      <c r="C321" s="1" t="s">
        <v>490</v>
      </c>
      <c r="D321" s="1" t="s">
        <v>31</v>
      </c>
      <c r="E321" s="1">
        <v>11.6</v>
      </c>
      <c r="F321" s="1" t="s">
        <v>48</v>
      </c>
      <c r="G321" s="1" t="s">
        <v>491</v>
      </c>
      <c r="H321" s="1" t="s">
        <v>50</v>
      </c>
      <c r="I321" s="1" t="s">
        <v>26</v>
      </c>
      <c r="J321" s="1" t="s">
        <v>492</v>
      </c>
      <c r="K321" s="1" t="s">
        <v>53</v>
      </c>
      <c r="L321" s="1" t="s">
        <v>199</v>
      </c>
      <c r="M321" s="1">
        <v>485</v>
      </c>
    </row>
    <row r="322" spans="1:13" ht="15.75" customHeight="1">
      <c r="A322" s="1">
        <v>325</v>
      </c>
      <c r="B322" s="1" t="s">
        <v>29</v>
      </c>
      <c r="C322" s="1" t="s">
        <v>493</v>
      </c>
      <c r="D322" s="1" t="s">
        <v>31</v>
      </c>
      <c r="E322" s="1">
        <v>14</v>
      </c>
      <c r="F322" s="1" t="s">
        <v>32</v>
      </c>
      <c r="G322" s="1" t="s">
        <v>83</v>
      </c>
      <c r="H322" s="1" t="s">
        <v>18</v>
      </c>
      <c r="I322" s="1" t="s">
        <v>34</v>
      </c>
      <c r="J322" s="1" t="s">
        <v>35</v>
      </c>
      <c r="K322" s="1" t="s">
        <v>53</v>
      </c>
      <c r="L322" s="1" t="s">
        <v>314</v>
      </c>
      <c r="M322" s="1">
        <v>1292</v>
      </c>
    </row>
    <row r="323" spans="1:13" ht="15.75" customHeight="1">
      <c r="A323" s="1">
        <v>326</v>
      </c>
      <c r="B323" s="1" t="s">
        <v>86</v>
      </c>
      <c r="C323" s="1" t="s">
        <v>386</v>
      </c>
      <c r="D323" s="1" t="s">
        <v>31</v>
      </c>
      <c r="E323" s="1">
        <v>17.3</v>
      </c>
      <c r="F323" s="1" t="s">
        <v>364</v>
      </c>
      <c r="G323" s="1" t="s">
        <v>33</v>
      </c>
      <c r="H323" s="1" t="s">
        <v>50</v>
      </c>
      <c r="I323" s="1" t="s">
        <v>89</v>
      </c>
      <c r="J323" s="1" t="s">
        <v>174</v>
      </c>
      <c r="K323" s="1" t="s">
        <v>53</v>
      </c>
      <c r="L323" s="1" t="s">
        <v>494</v>
      </c>
      <c r="M323" s="1">
        <v>589</v>
      </c>
    </row>
    <row r="324" spans="1:13" ht="15.75" customHeight="1">
      <c r="A324" s="1">
        <v>327</v>
      </c>
      <c r="B324" s="1" t="s">
        <v>60</v>
      </c>
      <c r="C324" s="1" t="s">
        <v>495</v>
      </c>
      <c r="D324" s="1" t="s">
        <v>31</v>
      </c>
      <c r="E324" s="1">
        <v>14</v>
      </c>
      <c r="F324" s="1" t="s">
        <v>32</v>
      </c>
      <c r="G324" s="1" t="s">
        <v>83</v>
      </c>
      <c r="H324" s="1" t="s">
        <v>18</v>
      </c>
      <c r="I324" s="1" t="s">
        <v>34</v>
      </c>
      <c r="J324" s="1" t="s">
        <v>35</v>
      </c>
      <c r="K324" s="1" t="s">
        <v>53</v>
      </c>
      <c r="L324" s="1" t="s">
        <v>153</v>
      </c>
      <c r="M324" s="1">
        <v>1094</v>
      </c>
    </row>
    <row r="325" spans="1:13" ht="15.75" customHeight="1">
      <c r="A325" s="1">
        <v>329</v>
      </c>
      <c r="B325" s="1" t="s">
        <v>29</v>
      </c>
      <c r="C325" s="1" t="s">
        <v>150</v>
      </c>
      <c r="D325" s="1" t="s">
        <v>31</v>
      </c>
      <c r="E325" s="1">
        <v>15.6</v>
      </c>
      <c r="F325" s="1" t="s">
        <v>496</v>
      </c>
      <c r="G325" s="1" t="s">
        <v>62</v>
      </c>
      <c r="H325" s="1" t="s">
        <v>18</v>
      </c>
      <c r="I325" s="1" t="s">
        <v>89</v>
      </c>
      <c r="J325" s="1" t="s">
        <v>68</v>
      </c>
      <c r="K325" s="1" t="s">
        <v>53</v>
      </c>
      <c r="L325" s="1" t="s">
        <v>54</v>
      </c>
      <c r="M325" s="1">
        <v>902</v>
      </c>
    </row>
    <row r="326" spans="1:13" ht="15.75" customHeight="1">
      <c r="A326" s="1">
        <v>330</v>
      </c>
      <c r="B326" s="1" t="s">
        <v>46</v>
      </c>
      <c r="C326" s="1" t="s">
        <v>239</v>
      </c>
      <c r="D326" s="1" t="s">
        <v>31</v>
      </c>
      <c r="E326" s="1">
        <v>15.6</v>
      </c>
      <c r="F326" s="1" t="s">
        <v>48</v>
      </c>
      <c r="G326" s="1" t="s">
        <v>497</v>
      </c>
      <c r="H326" s="1" t="s">
        <v>18</v>
      </c>
      <c r="I326" s="1" t="s">
        <v>34</v>
      </c>
      <c r="J326" s="1" t="s">
        <v>498</v>
      </c>
      <c r="K326" s="1" t="s">
        <v>53</v>
      </c>
      <c r="L326" s="1" t="s">
        <v>77</v>
      </c>
      <c r="M326" s="1">
        <v>659</v>
      </c>
    </row>
    <row r="327" spans="1:13" ht="15.75" customHeight="1">
      <c r="A327" s="1">
        <v>331</v>
      </c>
      <c r="B327" s="1" t="s">
        <v>86</v>
      </c>
      <c r="C327" s="1" t="s">
        <v>142</v>
      </c>
      <c r="D327" s="1" t="s">
        <v>31</v>
      </c>
      <c r="E327" s="1">
        <v>14</v>
      </c>
      <c r="F327" s="1" t="s">
        <v>48</v>
      </c>
      <c r="G327" s="1" t="s">
        <v>143</v>
      </c>
      <c r="H327" s="1" t="s">
        <v>50</v>
      </c>
      <c r="I327" s="1" t="s">
        <v>98</v>
      </c>
      <c r="J327" s="1" t="s">
        <v>144</v>
      </c>
      <c r="K327" s="1" t="s">
        <v>53</v>
      </c>
      <c r="L327" s="1" t="s">
        <v>145</v>
      </c>
      <c r="M327" s="1">
        <v>292</v>
      </c>
    </row>
    <row r="328" spans="1:13" ht="15.75" customHeight="1">
      <c r="A328" s="1">
        <v>332</v>
      </c>
      <c r="B328" s="1" t="s">
        <v>46</v>
      </c>
      <c r="C328" s="1" t="s">
        <v>499</v>
      </c>
      <c r="D328" s="1" t="s">
        <v>31</v>
      </c>
      <c r="E328" s="1">
        <v>15.6</v>
      </c>
      <c r="F328" s="1" t="s">
        <v>48</v>
      </c>
      <c r="G328" s="1" t="s">
        <v>33</v>
      </c>
      <c r="H328" s="1" t="s">
        <v>246</v>
      </c>
      <c r="I328" s="1" t="s">
        <v>89</v>
      </c>
      <c r="J328" s="1" t="s">
        <v>35</v>
      </c>
      <c r="K328" s="1" t="s">
        <v>53</v>
      </c>
      <c r="L328" s="1" t="s">
        <v>375</v>
      </c>
      <c r="M328" s="1">
        <v>549</v>
      </c>
    </row>
    <row r="329" spans="1:13" ht="15.75" customHeight="1">
      <c r="A329" s="1">
        <v>333</v>
      </c>
      <c r="B329" s="1" t="s">
        <v>60</v>
      </c>
      <c r="C329" s="1" t="s">
        <v>261</v>
      </c>
      <c r="D329" s="1" t="s">
        <v>15</v>
      </c>
      <c r="E329" s="1">
        <v>15.6</v>
      </c>
      <c r="F329" s="1" t="s">
        <v>32</v>
      </c>
      <c r="G329" s="1" t="s">
        <v>83</v>
      </c>
      <c r="H329" s="1" t="s">
        <v>18</v>
      </c>
      <c r="I329" s="1" t="s">
        <v>34</v>
      </c>
      <c r="J329" s="1" t="s">
        <v>90</v>
      </c>
      <c r="K329" s="1" t="s">
        <v>53</v>
      </c>
      <c r="L329" s="1" t="s">
        <v>196</v>
      </c>
      <c r="M329" s="1">
        <v>1049.9000000000001</v>
      </c>
    </row>
    <row r="330" spans="1:13" ht="15.75" customHeight="1">
      <c r="A330" s="1">
        <v>334</v>
      </c>
      <c r="B330" s="1" t="s">
        <v>29</v>
      </c>
      <c r="C330" s="1" t="s">
        <v>500</v>
      </c>
      <c r="D330" s="1" t="s">
        <v>15</v>
      </c>
      <c r="E330" s="1">
        <v>12.5</v>
      </c>
      <c r="F330" s="1" t="s">
        <v>32</v>
      </c>
      <c r="G330" s="1" t="s">
        <v>83</v>
      </c>
      <c r="H330" s="1" t="s">
        <v>18</v>
      </c>
      <c r="I330" s="1" t="s">
        <v>34</v>
      </c>
      <c r="J330" s="1" t="s">
        <v>35</v>
      </c>
      <c r="K330" s="1" t="s">
        <v>53</v>
      </c>
      <c r="L330" s="1" t="s">
        <v>269</v>
      </c>
      <c r="M330" s="1">
        <v>1335</v>
      </c>
    </row>
    <row r="331" spans="1:13" ht="15.75" customHeight="1">
      <c r="A331" s="1">
        <v>335</v>
      </c>
      <c r="B331" s="1" t="s">
        <v>74</v>
      </c>
      <c r="C331" s="1" t="s">
        <v>351</v>
      </c>
      <c r="D331" s="1" t="s">
        <v>31</v>
      </c>
      <c r="E331" s="1">
        <v>15.6</v>
      </c>
      <c r="F331" s="1" t="s">
        <v>352</v>
      </c>
      <c r="G331" s="1" t="s">
        <v>155</v>
      </c>
      <c r="H331" s="1" t="s">
        <v>338</v>
      </c>
      <c r="I331" s="1" t="s">
        <v>359</v>
      </c>
      <c r="J331" s="1" t="s">
        <v>105</v>
      </c>
      <c r="K331" s="1" t="s">
        <v>53</v>
      </c>
      <c r="L331" s="1" t="s">
        <v>353</v>
      </c>
      <c r="M331" s="1">
        <v>2639</v>
      </c>
    </row>
    <row r="332" spans="1:13" ht="15.75" customHeight="1">
      <c r="A332" s="1">
        <v>336</v>
      </c>
      <c r="B332" s="1" t="s">
        <v>189</v>
      </c>
      <c r="C332" s="1" t="s">
        <v>501</v>
      </c>
      <c r="D332" s="1" t="s">
        <v>102</v>
      </c>
      <c r="E332" s="1">
        <v>17.3</v>
      </c>
      <c r="F332" s="1" t="s">
        <v>32</v>
      </c>
      <c r="G332" s="1" t="s">
        <v>155</v>
      </c>
      <c r="H332" s="1" t="s">
        <v>18</v>
      </c>
      <c r="I332" s="1" t="s">
        <v>156</v>
      </c>
      <c r="J332" s="1" t="s">
        <v>201</v>
      </c>
      <c r="K332" s="1" t="s">
        <v>53</v>
      </c>
      <c r="L332" s="1" t="s">
        <v>217</v>
      </c>
      <c r="M332" s="1">
        <v>1199</v>
      </c>
    </row>
    <row r="333" spans="1:13" ht="15.75" customHeight="1">
      <c r="A333" s="1">
        <v>337</v>
      </c>
      <c r="B333" s="1" t="s">
        <v>293</v>
      </c>
      <c r="C333" s="1" t="s">
        <v>294</v>
      </c>
      <c r="D333" s="1" t="s">
        <v>31</v>
      </c>
      <c r="E333" s="1">
        <v>15.6</v>
      </c>
      <c r="F333" s="1" t="s">
        <v>66</v>
      </c>
      <c r="G333" s="1" t="s">
        <v>33</v>
      </c>
      <c r="H333" s="1" t="s">
        <v>18</v>
      </c>
      <c r="I333" s="1" t="s">
        <v>34</v>
      </c>
      <c r="J333" s="1" t="s">
        <v>35</v>
      </c>
      <c r="K333" s="1" t="s">
        <v>53</v>
      </c>
      <c r="L333" s="1" t="s">
        <v>347</v>
      </c>
      <c r="M333" s="1">
        <v>943</v>
      </c>
    </row>
    <row r="334" spans="1:13" ht="15.75" customHeight="1">
      <c r="A334" s="1">
        <v>338</v>
      </c>
      <c r="B334" s="1" t="s">
        <v>60</v>
      </c>
      <c r="C334" s="1" t="s">
        <v>502</v>
      </c>
      <c r="D334" s="1" t="s">
        <v>31</v>
      </c>
      <c r="E334" s="1">
        <v>14</v>
      </c>
      <c r="F334" s="1" t="s">
        <v>32</v>
      </c>
      <c r="G334" s="1" t="s">
        <v>83</v>
      </c>
      <c r="H334" s="1" t="s">
        <v>18</v>
      </c>
      <c r="I334" s="1" t="s">
        <v>156</v>
      </c>
      <c r="J334" s="1" t="s">
        <v>35</v>
      </c>
      <c r="K334" s="1" t="s">
        <v>53</v>
      </c>
      <c r="L334" s="1" t="s">
        <v>153</v>
      </c>
      <c r="M334" s="1">
        <v>1334</v>
      </c>
    </row>
    <row r="335" spans="1:13" ht="15.75" customHeight="1">
      <c r="A335" s="1">
        <v>339</v>
      </c>
      <c r="B335" s="1" t="s">
        <v>86</v>
      </c>
      <c r="C335" s="1" t="s">
        <v>503</v>
      </c>
      <c r="D335" s="1" t="s">
        <v>31</v>
      </c>
      <c r="E335" s="1">
        <v>15.6</v>
      </c>
      <c r="F335" s="1" t="s">
        <v>32</v>
      </c>
      <c r="G335" s="1" t="s">
        <v>70</v>
      </c>
      <c r="H335" s="1" t="s">
        <v>50</v>
      </c>
      <c r="I335" s="1" t="s">
        <v>89</v>
      </c>
      <c r="J335" s="1" t="s">
        <v>71</v>
      </c>
      <c r="K335" s="1" t="s">
        <v>53</v>
      </c>
      <c r="L335" s="1" t="s">
        <v>257</v>
      </c>
      <c r="M335" s="1">
        <v>449</v>
      </c>
    </row>
    <row r="336" spans="1:13" ht="15.75" customHeight="1">
      <c r="A336" s="1">
        <v>340</v>
      </c>
      <c r="B336" s="1" t="s">
        <v>60</v>
      </c>
      <c r="C336" s="1" t="s">
        <v>504</v>
      </c>
      <c r="D336" s="1" t="s">
        <v>102</v>
      </c>
      <c r="E336" s="1">
        <v>15.6</v>
      </c>
      <c r="F336" s="1" t="s">
        <v>32</v>
      </c>
      <c r="G336" s="1" t="s">
        <v>155</v>
      </c>
      <c r="H336" s="1" t="s">
        <v>18</v>
      </c>
      <c r="I336" s="1" t="s">
        <v>34</v>
      </c>
      <c r="J336" s="1" t="s">
        <v>105</v>
      </c>
      <c r="K336" s="1" t="s">
        <v>53</v>
      </c>
      <c r="L336" s="1" t="s">
        <v>106</v>
      </c>
      <c r="M336" s="1">
        <v>999</v>
      </c>
    </row>
    <row r="337" spans="1:13" ht="15.75" customHeight="1">
      <c r="A337" s="1">
        <v>341</v>
      </c>
      <c r="B337" s="1" t="s">
        <v>29</v>
      </c>
      <c r="C337" s="1" t="s">
        <v>312</v>
      </c>
      <c r="D337" s="1" t="s">
        <v>31</v>
      </c>
      <c r="E337" s="1">
        <v>14</v>
      </c>
      <c r="F337" s="1" t="s">
        <v>32</v>
      </c>
      <c r="G337" s="1" t="s">
        <v>505</v>
      </c>
      <c r="H337" s="1" t="s">
        <v>18</v>
      </c>
      <c r="I337" s="1" t="s">
        <v>34</v>
      </c>
      <c r="J337" s="1" t="s">
        <v>35</v>
      </c>
      <c r="K337" s="1" t="s">
        <v>53</v>
      </c>
      <c r="L337" s="1" t="s">
        <v>314</v>
      </c>
      <c r="M337" s="1">
        <v>1268</v>
      </c>
    </row>
    <row r="338" spans="1:13" ht="15.75" customHeight="1">
      <c r="A338" s="1">
        <v>342</v>
      </c>
      <c r="B338" s="1" t="s">
        <v>74</v>
      </c>
      <c r="C338" s="1" t="s">
        <v>270</v>
      </c>
      <c r="D338" s="1" t="s">
        <v>15</v>
      </c>
      <c r="E338" s="1">
        <v>15.6</v>
      </c>
      <c r="F338" s="1" t="s">
        <v>66</v>
      </c>
      <c r="G338" s="1" t="s">
        <v>67</v>
      </c>
      <c r="H338" s="1" t="s">
        <v>18</v>
      </c>
      <c r="I338" s="1" t="s">
        <v>104</v>
      </c>
      <c r="J338" s="1" t="s">
        <v>90</v>
      </c>
      <c r="K338" s="1" t="s">
        <v>53</v>
      </c>
      <c r="L338" s="1" t="s">
        <v>207</v>
      </c>
      <c r="M338" s="1">
        <v>1049</v>
      </c>
    </row>
    <row r="339" spans="1:13" ht="15.75" customHeight="1">
      <c r="A339" s="1">
        <v>343</v>
      </c>
      <c r="B339" s="1" t="s">
        <v>29</v>
      </c>
      <c r="C339" s="1" t="s">
        <v>506</v>
      </c>
      <c r="D339" s="1" t="s">
        <v>31</v>
      </c>
      <c r="E339" s="1">
        <v>15.6</v>
      </c>
      <c r="F339" s="1" t="s">
        <v>32</v>
      </c>
      <c r="G339" s="1" t="s">
        <v>33</v>
      </c>
      <c r="H339" s="1" t="s">
        <v>18</v>
      </c>
      <c r="I339" s="1" t="s">
        <v>34</v>
      </c>
      <c r="J339" s="1" t="s">
        <v>35</v>
      </c>
      <c r="K339" s="1" t="s">
        <v>53</v>
      </c>
      <c r="L339" s="1" t="s">
        <v>507</v>
      </c>
      <c r="M339" s="1">
        <v>1144</v>
      </c>
    </row>
    <row r="340" spans="1:13" ht="15.75" customHeight="1">
      <c r="A340" s="1">
        <v>344</v>
      </c>
      <c r="B340" s="1" t="s">
        <v>60</v>
      </c>
      <c r="C340" s="1" t="s">
        <v>508</v>
      </c>
      <c r="D340" s="1" t="s">
        <v>31</v>
      </c>
      <c r="E340" s="1">
        <v>15.6</v>
      </c>
      <c r="F340" s="1" t="s">
        <v>48</v>
      </c>
      <c r="G340" s="1" t="s">
        <v>143</v>
      </c>
      <c r="H340" s="1" t="s">
        <v>50</v>
      </c>
      <c r="I340" s="1" t="s">
        <v>89</v>
      </c>
      <c r="J340" s="1" t="s">
        <v>144</v>
      </c>
      <c r="K340" s="1" t="s">
        <v>147</v>
      </c>
      <c r="L340" s="1" t="s">
        <v>153</v>
      </c>
      <c r="M340" s="1">
        <v>274.99</v>
      </c>
    </row>
    <row r="341" spans="1:13" ht="15.75" customHeight="1">
      <c r="A341" s="1">
        <v>345</v>
      </c>
      <c r="B341" s="1" t="s">
        <v>74</v>
      </c>
      <c r="C341" s="1" t="s">
        <v>270</v>
      </c>
      <c r="D341" s="1" t="s">
        <v>31</v>
      </c>
      <c r="E341" s="1">
        <v>15.6</v>
      </c>
      <c r="F341" s="1" t="s">
        <v>32</v>
      </c>
      <c r="G341" s="1" t="s">
        <v>67</v>
      </c>
      <c r="H341" s="1" t="s">
        <v>18</v>
      </c>
      <c r="I341" s="1" t="s">
        <v>34</v>
      </c>
      <c r="J341" s="1" t="s">
        <v>90</v>
      </c>
      <c r="K341" s="1" t="s">
        <v>53</v>
      </c>
      <c r="L341" s="1" t="s">
        <v>153</v>
      </c>
      <c r="M341" s="1">
        <v>1142.75</v>
      </c>
    </row>
    <row r="342" spans="1:13" ht="15.75" customHeight="1">
      <c r="A342" s="1">
        <v>346</v>
      </c>
      <c r="B342" s="1" t="s">
        <v>74</v>
      </c>
      <c r="C342" s="1" t="s">
        <v>509</v>
      </c>
      <c r="D342" s="1" t="s">
        <v>31</v>
      </c>
      <c r="E342" s="1">
        <v>15.6</v>
      </c>
      <c r="F342" s="1" t="s">
        <v>48</v>
      </c>
      <c r="G342" s="1" t="s">
        <v>204</v>
      </c>
      <c r="H342" s="1" t="s">
        <v>50</v>
      </c>
      <c r="I342" s="1" t="s">
        <v>51</v>
      </c>
      <c r="J342" s="1" t="s">
        <v>132</v>
      </c>
      <c r="K342" s="1" t="s">
        <v>147</v>
      </c>
      <c r="L342" s="1" t="s">
        <v>77</v>
      </c>
      <c r="M342" s="1">
        <v>274.89999999999998</v>
      </c>
    </row>
    <row r="343" spans="1:13" ht="15.75" customHeight="1">
      <c r="A343" s="1">
        <v>347</v>
      </c>
      <c r="B343" s="1" t="s">
        <v>86</v>
      </c>
      <c r="C343" s="1" t="s">
        <v>510</v>
      </c>
      <c r="D343" s="1" t="s">
        <v>31</v>
      </c>
      <c r="E343" s="1">
        <v>15.6</v>
      </c>
      <c r="F343" s="1" t="s">
        <v>32</v>
      </c>
      <c r="G343" s="1" t="s">
        <v>511</v>
      </c>
      <c r="H343" s="1" t="s">
        <v>162</v>
      </c>
      <c r="I343" s="1" t="s">
        <v>221</v>
      </c>
      <c r="J343" s="1" t="s">
        <v>121</v>
      </c>
      <c r="K343" s="1" t="s">
        <v>53</v>
      </c>
      <c r="L343" s="1" t="s">
        <v>77</v>
      </c>
      <c r="M343" s="1">
        <v>899</v>
      </c>
    </row>
    <row r="344" spans="1:13" ht="15.75" customHeight="1">
      <c r="A344" s="1">
        <v>348</v>
      </c>
      <c r="B344" s="1" t="s">
        <v>29</v>
      </c>
      <c r="C344" s="1" t="s">
        <v>150</v>
      </c>
      <c r="D344" s="1" t="s">
        <v>31</v>
      </c>
      <c r="E344" s="1">
        <v>15.6</v>
      </c>
      <c r="F344" s="1" t="s">
        <v>66</v>
      </c>
      <c r="G344" s="1" t="s">
        <v>88</v>
      </c>
      <c r="H344" s="1" t="s">
        <v>18</v>
      </c>
      <c r="I344" s="1" t="s">
        <v>89</v>
      </c>
      <c r="J344" s="1" t="s">
        <v>151</v>
      </c>
      <c r="K344" s="1" t="s">
        <v>53</v>
      </c>
      <c r="L344" s="1" t="s">
        <v>54</v>
      </c>
      <c r="M344" s="1">
        <v>716</v>
      </c>
    </row>
    <row r="345" spans="1:13" ht="15.75" customHeight="1">
      <c r="A345" s="1">
        <v>349</v>
      </c>
      <c r="B345" s="1" t="s">
        <v>86</v>
      </c>
      <c r="C345" s="1" t="s">
        <v>346</v>
      </c>
      <c r="D345" s="1" t="s">
        <v>111</v>
      </c>
      <c r="E345" s="1">
        <v>13.9</v>
      </c>
      <c r="F345" s="1" t="s">
        <v>298</v>
      </c>
      <c r="G345" s="1" t="s">
        <v>62</v>
      </c>
      <c r="H345" s="1" t="s">
        <v>40</v>
      </c>
      <c r="I345" s="1" t="s">
        <v>41</v>
      </c>
      <c r="J345" s="1" t="s">
        <v>68</v>
      </c>
      <c r="K345" s="1" t="s">
        <v>53</v>
      </c>
      <c r="L345" s="1" t="s">
        <v>199</v>
      </c>
      <c r="M345" s="1">
        <v>2099</v>
      </c>
    </row>
    <row r="346" spans="1:13" ht="15.75" customHeight="1">
      <c r="A346" s="1">
        <v>350</v>
      </c>
      <c r="B346" s="1" t="s">
        <v>74</v>
      </c>
      <c r="C346" s="1" t="s">
        <v>91</v>
      </c>
      <c r="D346" s="1" t="s">
        <v>15</v>
      </c>
      <c r="E346" s="1">
        <v>13.3</v>
      </c>
      <c r="F346" s="1" t="s">
        <v>32</v>
      </c>
      <c r="G346" s="1" t="s">
        <v>62</v>
      </c>
      <c r="H346" s="1" t="s">
        <v>18</v>
      </c>
      <c r="I346" s="1" t="s">
        <v>34</v>
      </c>
      <c r="J346" s="1" t="s">
        <v>68</v>
      </c>
      <c r="K346" s="1" t="s">
        <v>53</v>
      </c>
      <c r="L346" s="1" t="s">
        <v>141</v>
      </c>
      <c r="M346" s="1">
        <v>1579</v>
      </c>
    </row>
    <row r="347" spans="1:13" ht="15.75" customHeight="1">
      <c r="A347" s="1">
        <v>351</v>
      </c>
      <c r="B347" s="1" t="s">
        <v>86</v>
      </c>
      <c r="C347" s="1" t="s">
        <v>101</v>
      </c>
      <c r="D347" s="1" t="s">
        <v>102</v>
      </c>
      <c r="E347" s="1">
        <v>15.6</v>
      </c>
      <c r="F347" s="1" t="s">
        <v>66</v>
      </c>
      <c r="G347" s="1" t="s">
        <v>155</v>
      </c>
      <c r="H347" s="1" t="s">
        <v>40</v>
      </c>
      <c r="I347" s="1" t="s">
        <v>191</v>
      </c>
      <c r="J347" s="1" t="s">
        <v>201</v>
      </c>
      <c r="K347" s="1" t="s">
        <v>53</v>
      </c>
      <c r="L347" s="1" t="s">
        <v>183</v>
      </c>
      <c r="M347" s="1">
        <v>1129</v>
      </c>
    </row>
    <row r="348" spans="1:13" ht="15.75" customHeight="1">
      <c r="A348" s="1">
        <v>352</v>
      </c>
      <c r="B348" s="1" t="s">
        <v>29</v>
      </c>
      <c r="C348" s="1" t="s">
        <v>512</v>
      </c>
      <c r="D348" s="1" t="s">
        <v>31</v>
      </c>
      <c r="E348" s="1">
        <v>14</v>
      </c>
      <c r="F348" s="1" t="s">
        <v>48</v>
      </c>
      <c r="G348" s="1" t="s">
        <v>204</v>
      </c>
      <c r="H348" s="1" t="s">
        <v>97</v>
      </c>
      <c r="I348" s="1" t="s">
        <v>98</v>
      </c>
      <c r="J348" s="1" t="s">
        <v>99</v>
      </c>
      <c r="K348" s="1" t="s">
        <v>53</v>
      </c>
      <c r="L348" s="1" t="s">
        <v>145</v>
      </c>
      <c r="M348" s="1">
        <v>279</v>
      </c>
    </row>
    <row r="349" spans="1:13" ht="15.75" customHeight="1">
      <c r="A349" s="1">
        <v>353</v>
      </c>
      <c r="B349" s="1" t="s">
        <v>74</v>
      </c>
      <c r="C349" s="1" t="s">
        <v>122</v>
      </c>
      <c r="D349" s="1" t="s">
        <v>15</v>
      </c>
      <c r="E349" s="1">
        <v>15.6</v>
      </c>
      <c r="F349" s="1" t="s">
        <v>32</v>
      </c>
      <c r="G349" s="1" t="s">
        <v>123</v>
      </c>
      <c r="H349" s="1" t="s">
        <v>40</v>
      </c>
      <c r="I349" s="1" t="s">
        <v>513</v>
      </c>
      <c r="J349" s="1" t="s">
        <v>68</v>
      </c>
      <c r="K349" s="1" t="s">
        <v>53</v>
      </c>
      <c r="L349" s="1" t="s">
        <v>125</v>
      </c>
      <c r="M349" s="1">
        <v>1607.96</v>
      </c>
    </row>
    <row r="350" spans="1:13" ht="15.75" customHeight="1">
      <c r="A350" s="1">
        <v>354</v>
      </c>
      <c r="B350" s="1" t="s">
        <v>60</v>
      </c>
      <c r="C350" s="1" t="s">
        <v>482</v>
      </c>
      <c r="D350" s="1" t="s">
        <v>111</v>
      </c>
      <c r="E350" s="1">
        <v>11.6</v>
      </c>
      <c r="F350" s="1" t="s">
        <v>382</v>
      </c>
      <c r="G350" s="1" t="s">
        <v>143</v>
      </c>
      <c r="H350" s="1" t="s">
        <v>50</v>
      </c>
      <c r="I350" s="1" t="s">
        <v>98</v>
      </c>
      <c r="J350" s="1" t="s">
        <v>144</v>
      </c>
      <c r="K350" s="1" t="s">
        <v>53</v>
      </c>
      <c r="L350" s="1" t="s">
        <v>244</v>
      </c>
      <c r="M350" s="1">
        <v>375</v>
      </c>
    </row>
    <row r="351" spans="1:13" ht="15.75" customHeight="1">
      <c r="A351" s="1">
        <v>355</v>
      </c>
      <c r="B351" s="1" t="s">
        <v>74</v>
      </c>
      <c r="C351" s="1" t="s">
        <v>120</v>
      </c>
      <c r="D351" s="1" t="s">
        <v>15</v>
      </c>
      <c r="E351" s="1">
        <v>15.6</v>
      </c>
      <c r="F351" s="1" t="s">
        <v>32</v>
      </c>
      <c r="G351" s="1" t="s">
        <v>67</v>
      </c>
      <c r="H351" s="1" t="s">
        <v>18</v>
      </c>
      <c r="I351" s="1" t="s">
        <v>89</v>
      </c>
      <c r="J351" s="1" t="s">
        <v>121</v>
      </c>
      <c r="K351" s="1" t="s">
        <v>53</v>
      </c>
      <c r="L351" s="1" t="s">
        <v>207</v>
      </c>
      <c r="M351" s="1">
        <v>663</v>
      </c>
    </row>
    <row r="352" spans="1:13" ht="15.75" customHeight="1">
      <c r="A352" s="1">
        <v>356</v>
      </c>
      <c r="B352" s="1" t="s">
        <v>74</v>
      </c>
      <c r="C352" s="1" t="s">
        <v>351</v>
      </c>
      <c r="D352" s="1" t="s">
        <v>31</v>
      </c>
      <c r="E352" s="1">
        <v>15.6</v>
      </c>
      <c r="F352" s="1" t="s">
        <v>352</v>
      </c>
      <c r="G352" s="1" t="s">
        <v>155</v>
      </c>
      <c r="H352" s="1" t="s">
        <v>40</v>
      </c>
      <c r="I352" s="1" t="s">
        <v>41</v>
      </c>
      <c r="J352" s="1" t="s">
        <v>105</v>
      </c>
      <c r="K352" s="1" t="s">
        <v>53</v>
      </c>
      <c r="L352" s="1" t="s">
        <v>353</v>
      </c>
      <c r="M352" s="1">
        <v>2027.42</v>
      </c>
    </row>
    <row r="353" spans="1:13" ht="15.75" customHeight="1">
      <c r="A353" s="1">
        <v>357</v>
      </c>
      <c r="B353" s="1" t="s">
        <v>29</v>
      </c>
      <c r="C353" s="1" t="s">
        <v>506</v>
      </c>
      <c r="D353" s="1" t="s">
        <v>31</v>
      </c>
      <c r="E353" s="1">
        <v>15.6</v>
      </c>
      <c r="F353" s="1" t="s">
        <v>32</v>
      </c>
      <c r="G353" s="1" t="s">
        <v>83</v>
      </c>
      <c r="H353" s="1" t="s">
        <v>18</v>
      </c>
      <c r="I353" s="1" t="s">
        <v>34</v>
      </c>
      <c r="J353" s="1" t="s">
        <v>35</v>
      </c>
      <c r="K353" s="1" t="s">
        <v>53</v>
      </c>
      <c r="L353" s="1" t="s">
        <v>507</v>
      </c>
      <c r="M353" s="1">
        <v>1304</v>
      </c>
    </row>
    <row r="354" spans="1:13" ht="15.75" customHeight="1">
      <c r="A354" s="1">
        <v>358</v>
      </c>
      <c r="B354" s="1" t="s">
        <v>189</v>
      </c>
      <c r="C354" s="1" t="s">
        <v>514</v>
      </c>
      <c r="D354" s="1" t="s">
        <v>102</v>
      </c>
      <c r="E354" s="1">
        <v>17.3</v>
      </c>
      <c r="F354" s="1" t="s">
        <v>32</v>
      </c>
      <c r="G354" s="1" t="s">
        <v>155</v>
      </c>
      <c r="H354" s="1" t="s">
        <v>18</v>
      </c>
      <c r="I354" s="1" t="s">
        <v>104</v>
      </c>
      <c r="J354" s="1" t="s">
        <v>157</v>
      </c>
      <c r="K354" s="1" t="s">
        <v>53</v>
      </c>
      <c r="L354" s="1" t="s">
        <v>217</v>
      </c>
      <c r="M354" s="1">
        <v>1409</v>
      </c>
    </row>
    <row r="355" spans="1:13" ht="15.75" customHeight="1">
      <c r="A355" s="1">
        <v>359</v>
      </c>
      <c r="B355" s="1" t="s">
        <v>29</v>
      </c>
      <c r="C355" s="1" t="s">
        <v>515</v>
      </c>
      <c r="D355" s="1" t="s">
        <v>378</v>
      </c>
      <c r="E355" s="1">
        <v>15.6</v>
      </c>
      <c r="F355" s="1" t="s">
        <v>32</v>
      </c>
      <c r="G355" s="1" t="s">
        <v>155</v>
      </c>
      <c r="H355" s="1" t="s">
        <v>18</v>
      </c>
      <c r="I355" s="1" t="s">
        <v>34</v>
      </c>
      <c r="J355" s="1" t="s">
        <v>381</v>
      </c>
      <c r="K355" s="1" t="s">
        <v>53</v>
      </c>
      <c r="L355" s="1" t="s">
        <v>516</v>
      </c>
      <c r="M355" s="1">
        <v>1738.27</v>
      </c>
    </row>
    <row r="356" spans="1:13" ht="15.75" customHeight="1">
      <c r="A356" s="1">
        <v>360</v>
      </c>
      <c r="B356" s="1" t="s">
        <v>293</v>
      </c>
      <c r="C356" s="1" t="s">
        <v>517</v>
      </c>
      <c r="D356" s="1" t="s">
        <v>31</v>
      </c>
      <c r="E356" s="1">
        <v>15.6</v>
      </c>
      <c r="F356" s="1" t="s">
        <v>66</v>
      </c>
      <c r="G356" s="1" t="s">
        <v>389</v>
      </c>
      <c r="H356" s="1" t="s">
        <v>40</v>
      </c>
      <c r="I356" s="1" t="s">
        <v>41</v>
      </c>
      <c r="J356" s="1" t="s">
        <v>444</v>
      </c>
      <c r="K356" s="1" t="s">
        <v>53</v>
      </c>
      <c r="L356" s="1" t="s">
        <v>183</v>
      </c>
      <c r="M356" s="1">
        <v>1403</v>
      </c>
    </row>
    <row r="357" spans="1:13" ht="15.75" customHeight="1">
      <c r="A357" s="1">
        <v>361</v>
      </c>
      <c r="B357" s="1" t="s">
        <v>74</v>
      </c>
      <c r="C357" s="1" t="s">
        <v>120</v>
      </c>
      <c r="D357" s="1" t="s">
        <v>31</v>
      </c>
      <c r="E357" s="1">
        <v>15.6</v>
      </c>
      <c r="F357" s="1" t="s">
        <v>32</v>
      </c>
      <c r="G357" s="1" t="s">
        <v>62</v>
      </c>
      <c r="H357" s="1" t="s">
        <v>18</v>
      </c>
      <c r="I357" s="1" t="s">
        <v>414</v>
      </c>
      <c r="J357" s="1" t="s">
        <v>121</v>
      </c>
      <c r="K357" s="1" t="s">
        <v>53</v>
      </c>
      <c r="L357" s="1" t="s">
        <v>222</v>
      </c>
      <c r="M357" s="1">
        <v>970.9</v>
      </c>
    </row>
    <row r="358" spans="1:13" ht="15.75" customHeight="1">
      <c r="A358" s="1">
        <v>362</v>
      </c>
      <c r="B358" s="1" t="s">
        <v>86</v>
      </c>
      <c r="C358" s="1" t="s">
        <v>474</v>
      </c>
      <c r="D358" s="1" t="s">
        <v>31</v>
      </c>
      <c r="E358" s="1">
        <v>15.6</v>
      </c>
      <c r="F358" s="1" t="s">
        <v>48</v>
      </c>
      <c r="G358" s="1" t="s">
        <v>143</v>
      </c>
      <c r="H358" s="1" t="s">
        <v>50</v>
      </c>
      <c r="I358" s="1" t="s">
        <v>89</v>
      </c>
      <c r="J358" s="1" t="s">
        <v>144</v>
      </c>
      <c r="K358" s="1" t="s">
        <v>36</v>
      </c>
      <c r="L358" s="1" t="s">
        <v>77</v>
      </c>
      <c r="M358" s="1">
        <v>321.99</v>
      </c>
    </row>
    <row r="359" spans="1:13" ht="15.75" customHeight="1">
      <c r="A359" s="1">
        <v>363</v>
      </c>
      <c r="B359" s="1" t="s">
        <v>74</v>
      </c>
      <c r="C359" s="1" t="s">
        <v>154</v>
      </c>
      <c r="D359" s="1" t="s">
        <v>102</v>
      </c>
      <c r="E359" s="1">
        <v>15.6</v>
      </c>
      <c r="F359" s="1" t="s">
        <v>32</v>
      </c>
      <c r="G359" s="1" t="s">
        <v>103</v>
      </c>
      <c r="H359" s="1" t="s">
        <v>18</v>
      </c>
      <c r="I359" s="1" t="s">
        <v>89</v>
      </c>
      <c r="J359" s="1" t="s">
        <v>105</v>
      </c>
      <c r="K359" s="1" t="s">
        <v>53</v>
      </c>
      <c r="L359" s="1" t="s">
        <v>158</v>
      </c>
      <c r="M359" s="1">
        <v>999</v>
      </c>
    </row>
    <row r="360" spans="1:13" ht="15.75" customHeight="1">
      <c r="A360" s="1">
        <v>364</v>
      </c>
      <c r="B360" s="1" t="s">
        <v>74</v>
      </c>
      <c r="C360" s="1" t="s">
        <v>75</v>
      </c>
      <c r="D360" s="1" t="s">
        <v>31</v>
      </c>
      <c r="E360" s="1">
        <v>15.6</v>
      </c>
      <c r="F360" s="1" t="s">
        <v>382</v>
      </c>
      <c r="G360" s="1" t="s">
        <v>33</v>
      </c>
      <c r="H360" s="1" t="s">
        <v>18</v>
      </c>
      <c r="I360" s="1" t="s">
        <v>221</v>
      </c>
      <c r="J360" s="1" t="s">
        <v>35</v>
      </c>
      <c r="K360" s="1" t="s">
        <v>53</v>
      </c>
      <c r="L360" s="1" t="s">
        <v>281</v>
      </c>
      <c r="M360" s="1">
        <v>557.37</v>
      </c>
    </row>
    <row r="361" spans="1:13" ht="15.75" customHeight="1">
      <c r="A361" s="1">
        <v>365</v>
      </c>
      <c r="B361" s="1" t="s">
        <v>74</v>
      </c>
      <c r="C361" s="1" t="s">
        <v>518</v>
      </c>
      <c r="D361" s="1" t="s">
        <v>31</v>
      </c>
      <c r="E361" s="1">
        <v>14</v>
      </c>
      <c r="F361" s="1" t="s">
        <v>32</v>
      </c>
      <c r="G361" s="1" t="s">
        <v>505</v>
      </c>
      <c r="H361" s="1" t="s">
        <v>18</v>
      </c>
      <c r="I361" s="1" t="s">
        <v>34</v>
      </c>
      <c r="J361" s="1" t="s">
        <v>35</v>
      </c>
      <c r="K361" s="1" t="s">
        <v>53</v>
      </c>
      <c r="L361" s="1" t="s">
        <v>443</v>
      </c>
      <c r="M361" s="1">
        <v>1427</v>
      </c>
    </row>
    <row r="362" spans="1:13" ht="15.75" customHeight="1">
      <c r="A362" s="1">
        <v>366</v>
      </c>
      <c r="B362" s="1" t="s">
        <v>29</v>
      </c>
      <c r="C362" s="1" t="s">
        <v>30</v>
      </c>
      <c r="D362" s="1" t="s">
        <v>31</v>
      </c>
      <c r="E362" s="1">
        <v>15.6</v>
      </c>
      <c r="F362" s="1" t="s">
        <v>48</v>
      </c>
      <c r="G362" s="1" t="s">
        <v>70</v>
      </c>
      <c r="H362" s="1" t="s">
        <v>50</v>
      </c>
      <c r="I362" s="1" t="s">
        <v>51</v>
      </c>
      <c r="J362" s="1" t="s">
        <v>71</v>
      </c>
      <c r="K362" s="1" t="s">
        <v>53</v>
      </c>
      <c r="L362" s="1" t="s">
        <v>37</v>
      </c>
      <c r="M362" s="1">
        <v>439</v>
      </c>
    </row>
    <row r="363" spans="1:13" ht="15.75" customHeight="1">
      <c r="A363" s="1">
        <v>367</v>
      </c>
      <c r="B363" s="1" t="s">
        <v>60</v>
      </c>
      <c r="C363" s="1" t="s">
        <v>519</v>
      </c>
      <c r="D363" s="1" t="s">
        <v>31</v>
      </c>
      <c r="E363" s="1">
        <v>14</v>
      </c>
      <c r="F363" s="1" t="s">
        <v>32</v>
      </c>
      <c r="G363" s="1" t="s">
        <v>33</v>
      </c>
      <c r="H363" s="1" t="s">
        <v>18</v>
      </c>
      <c r="I363" s="1" t="s">
        <v>34</v>
      </c>
      <c r="J363" s="1" t="s">
        <v>35</v>
      </c>
      <c r="K363" s="1" t="s">
        <v>53</v>
      </c>
      <c r="L363" s="1" t="s">
        <v>153</v>
      </c>
      <c r="M363" s="1">
        <v>945</v>
      </c>
    </row>
    <row r="364" spans="1:13" ht="15.75" customHeight="1">
      <c r="A364" s="1">
        <v>368</v>
      </c>
      <c r="B364" s="1" t="s">
        <v>86</v>
      </c>
      <c r="C364" s="1" t="s">
        <v>386</v>
      </c>
      <c r="D364" s="1" t="s">
        <v>31</v>
      </c>
      <c r="E364" s="1">
        <v>17.3</v>
      </c>
      <c r="F364" s="1" t="s">
        <v>364</v>
      </c>
      <c r="G364" s="1" t="s">
        <v>33</v>
      </c>
      <c r="H364" s="1" t="s">
        <v>246</v>
      </c>
      <c r="I364" s="1" t="s">
        <v>104</v>
      </c>
      <c r="J364" s="1" t="s">
        <v>231</v>
      </c>
      <c r="K364" s="1" t="s">
        <v>53</v>
      </c>
      <c r="L364" s="1" t="s">
        <v>149</v>
      </c>
      <c r="M364" s="1">
        <v>719</v>
      </c>
    </row>
    <row r="365" spans="1:13" ht="15.75" customHeight="1">
      <c r="A365" s="1">
        <v>369</v>
      </c>
      <c r="B365" s="1" t="s">
        <v>29</v>
      </c>
      <c r="C365" s="1" t="s">
        <v>30</v>
      </c>
      <c r="D365" s="1" t="s">
        <v>31</v>
      </c>
      <c r="E365" s="1">
        <v>15.6</v>
      </c>
      <c r="F365" s="1" t="s">
        <v>32</v>
      </c>
      <c r="G365" s="1" t="s">
        <v>33</v>
      </c>
      <c r="H365" s="1" t="s">
        <v>18</v>
      </c>
      <c r="I365" s="1" t="s">
        <v>89</v>
      </c>
      <c r="J365" s="1" t="s">
        <v>35</v>
      </c>
      <c r="K365" s="1" t="s">
        <v>53</v>
      </c>
      <c r="L365" s="1" t="s">
        <v>37</v>
      </c>
      <c r="M365" s="1">
        <v>639</v>
      </c>
    </row>
    <row r="366" spans="1:13" ht="15.75" customHeight="1">
      <c r="A366" s="1">
        <v>370</v>
      </c>
      <c r="B366" s="1" t="s">
        <v>86</v>
      </c>
      <c r="C366" s="1" t="s">
        <v>167</v>
      </c>
      <c r="D366" s="1" t="s">
        <v>31</v>
      </c>
      <c r="E366" s="1">
        <v>15.6</v>
      </c>
      <c r="F366" s="1" t="s">
        <v>48</v>
      </c>
      <c r="G366" s="1" t="s">
        <v>70</v>
      </c>
      <c r="H366" s="1" t="s">
        <v>18</v>
      </c>
      <c r="I366" s="1" t="s">
        <v>34</v>
      </c>
      <c r="J366" s="1" t="s">
        <v>393</v>
      </c>
      <c r="K366" s="1" t="s">
        <v>36</v>
      </c>
      <c r="L366" s="1" t="s">
        <v>77</v>
      </c>
      <c r="M366" s="1">
        <v>499</v>
      </c>
    </row>
    <row r="367" spans="1:13" ht="15.75" customHeight="1">
      <c r="A367" s="1">
        <v>371</v>
      </c>
      <c r="B367" s="1" t="s">
        <v>29</v>
      </c>
      <c r="C367" s="1" t="s">
        <v>520</v>
      </c>
      <c r="D367" s="1" t="s">
        <v>31</v>
      </c>
      <c r="E367" s="1">
        <v>15.6</v>
      </c>
      <c r="F367" s="1" t="s">
        <v>48</v>
      </c>
      <c r="G367" s="1" t="s">
        <v>491</v>
      </c>
      <c r="H367" s="1" t="s">
        <v>18</v>
      </c>
      <c r="I367" s="1" t="s">
        <v>221</v>
      </c>
      <c r="J367" s="1" t="s">
        <v>492</v>
      </c>
      <c r="K367" s="1" t="s">
        <v>53</v>
      </c>
      <c r="L367" s="1" t="s">
        <v>59</v>
      </c>
      <c r="M367" s="1">
        <v>389</v>
      </c>
    </row>
    <row r="368" spans="1:13" ht="15.75" customHeight="1">
      <c r="A368" s="1">
        <v>372</v>
      </c>
      <c r="B368" s="1" t="s">
        <v>74</v>
      </c>
      <c r="C368" s="1" t="s">
        <v>148</v>
      </c>
      <c r="D368" s="1" t="s">
        <v>31</v>
      </c>
      <c r="E368" s="1">
        <v>17.3</v>
      </c>
      <c r="F368" s="1" t="s">
        <v>32</v>
      </c>
      <c r="G368" s="1" t="s">
        <v>67</v>
      </c>
      <c r="H368" s="1" t="s">
        <v>18</v>
      </c>
      <c r="I368" s="1" t="s">
        <v>104</v>
      </c>
      <c r="J368" s="1" t="s">
        <v>121</v>
      </c>
      <c r="K368" s="1" t="s">
        <v>53</v>
      </c>
      <c r="L368" s="1" t="s">
        <v>149</v>
      </c>
      <c r="M368" s="1">
        <v>1085</v>
      </c>
    </row>
    <row r="369" spans="1:13" ht="15.75" customHeight="1">
      <c r="A369" s="1">
        <v>373</v>
      </c>
      <c r="B369" s="1" t="s">
        <v>86</v>
      </c>
      <c r="C369" s="1" t="s">
        <v>101</v>
      </c>
      <c r="D369" s="1" t="s">
        <v>102</v>
      </c>
      <c r="E369" s="1">
        <v>15.6</v>
      </c>
      <c r="F369" s="1" t="s">
        <v>66</v>
      </c>
      <c r="G369" s="1" t="s">
        <v>103</v>
      </c>
      <c r="H369" s="1" t="s">
        <v>18</v>
      </c>
      <c r="I369" s="1" t="s">
        <v>104</v>
      </c>
      <c r="J369" s="1" t="s">
        <v>105</v>
      </c>
      <c r="K369" s="1" t="s">
        <v>36</v>
      </c>
      <c r="L369" s="1" t="s">
        <v>183</v>
      </c>
      <c r="M369" s="1">
        <v>809</v>
      </c>
    </row>
    <row r="370" spans="1:13" ht="15.75" customHeight="1">
      <c r="A370" s="1">
        <v>374</v>
      </c>
      <c r="B370" s="1" t="s">
        <v>74</v>
      </c>
      <c r="C370" s="1" t="s">
        <v>279</v>
      </c>
      <c r="D370" s="1" t="s">
        <v>31</v>
      </c>
      <c r="E370" s="1">
        <v>15.6</v>
      </c>
      <c r="F370" s="1" t="s">
        <v>32</v>
      </c>
      <c r="G370" s="1" t="s">
        <v>83</v>
      </c>
      <c r="H370" s="1" t="s">
        <v>18</v>
      </c>
      <c r="I370" s="1" t="s">
        <v>34</v>
      </c>
      <c r="J370" s="1" t="s">
        <v>280</v>
      </c>
      <c r="K370" s="1" t="s">
        <v>53</v>
      </c>
      <c r="L370" s="1" t="s">
        <v>483</v>
      </c>
      <c r="M370" s="1">
        <v>899</v>
      </c>
    </row>
    <row r="371" spans="1:13" ht="15.75" customHeight="1">
      <c r="A371" s="1">
        <v>375</v>
      </c>
      <c r="B371" s="1" t="s">
        <v>29</v>
      </c>
      <c r="C371" s="1" t="s">
        <v>521</v>
      </c>
      <c r="D371" s="1" t="s">
        <v>15</v>
      </c>
      <c r="E371" s="1">
        <v>14</v>
      </c>
      <c r="F371" s="1" t="s">
        <v>66</v>
      </c>
      <c r="G371" s="1" t="s">
        <v>83</v>
      </c>
      <c r="H371" s="1" t="s">
        <v>18</v>
      </c>
      <c r="I371" s="1" t="s">
        <v>34</v>
      </c>
      <c r="J371" s="1" t="s">
        <v>35</v>
      </c>
      <c r="K371" s="1" t="s">
        <v>53</v>
      </c>
      <c r="L371" s="1" t="s">
        <v>443</v>
      </c>
      <c r="M371" s="1">
        <v>1750</v>
      </c>
    </row>
    <row r="372" spans="1:13" ht="15.75" customHeight="1">
      <c r="A372" s="1">
        <v>376</v>
      </c>
      <c r="B372" s="1" t="s">
        <v>60</v>
      </c>
      <c r="C372" s="1" t="s">
        <v>318</v>
      </c>
      <c r="D372" s="1" t="s">
        <v>111</v>
      </c>
      <c r="E372" s="1">
        <v>15.6</v>
      </c>
      <c r="F372" s="1" t="s">
        <v>112</v>
      </c>
      <c r="G372" s="1" t="s">
        <v>83</v>
      </c>
      <c r="H372" s="1" t="s">
        <v>162</v>
      </c>
      <c r="I372" s="1" t="s">
        <v>522</v>
      </c>
      <c r="J372" s="1" t="s">
        <v>523</v>
      </c>
      <c r="K372" s="1" t="s">
        <v>53</v>
      </c>
      <c r="L372" s="1" t="s">
        <v>524</v>
      </c>
      <c r="M372" s="1">
        <v>1099</v>
      </c>
    </row>
    <row r="373" spans="1:13" ht="15.75" customHeight="1">
      <c r="A373" s="1">
        <v>377</v>
      </c>
      <c r="B373" s="1" t="s">
        <v>46</v>
      </c>
      <c r="C373" s="1" t="s">
        <v>47</v>
      </c>
      <c r="D373" s="1" t="s">
        <v>31</v>
      </c>
      <c r="E373" s="1">
        <v>15.6</v>
      </c>
      <c r="F373" s="1" t="s">
        <v>48</v>
      </c>
      <c r="G373" s="1" t="s">
        <v>49</v>
      </c>
      <c r="H373" s="1" t="s">
        <v>50</v>
      </c>
      <c r="I373" s="1" t="s">
        <v>19</v>
      </c>
      <c r="J373" s="1" t="s">
        <v>52</v>
      </c>
      <c r="K373" s="1" t="s">
        <v>53</v>
      </c>
      <c r="L373" s="1" t="s">
        <v>54</v>
      </c>
      <c r="M373" s="1">
        <v>426</v>
      </c>
    </row>
    <row r="374" spans="1:13" ht="15.75" customHeight="1">
      <c r="A374" s="1">
        <v>378</v>
      </c>
      <c r="B374" s="1" t="s">
        <v>60</v>
      </c>
      <c r="C374" s="1" t="s">
        <v>168</v>
      </c>
      <c r="D374" s="1" t="s">
        <v>102</v>
      </c>
      <c r="E374" s="1">
        <v>17.3</v>
      </c>
      <c r="F374" s="1" t="s">
        <v>66</v>
      </c>
      <c r="G374" s="1" t="s">
        <v>169</v>
      </c>
      <c r="H374" s="1" t="s">
        <v>40</v>
      </c>
      <c r="I374" s="1" t="s">
        <v>156</v>
      </c>
      <c r="J374" s="1" t="s">
        <v>170</v>
      </c>
      <c r="K374" s="1" t="s">
        <v>53</v>
      </c>
      <c r="L374" s="1" t="s">
        <v>525</v>
      </c>
      <c r="M374" s="1">
        <v>2199</v>
      </c>
    </row>
    <row r="375" spans="1:13" ht="15.75" customHeight="1">
      <c r="A375" s="1">
        <v>379</v>
      </c>
      <c r="B375" s="1" t="s">
        <v>86</v>
      </c>
      <c r="C375" s="1" t="s">
        <v>526</v>
      </c>
      <c r="D375" s="1" t="s">
        <v>31</v>
      </c>
      <c r="E375" s="1">
        <v>17.3</v>
      </c>
      <c r="F375" s="1" t="s">
        <v>364</v>
      </c>
      <c r="G375" s="1" t="s">
        <v>481</v>
      </c>
      <c r="H375" s="1" t="s">
        <v>50</v>
      </c>
      <c r="I375" s="1" t="s">
        <v>19</v>
      </c>
      <c r="J375" s="1" t="s">
        <v>52</v>
      </c>
      <c r="K375" s="1" t="s">
        <v>53</v>
      </c>
      <c r="L375" s="1" t="s">
        <v>516</v>
      </c>
      <c r="M375" s="1">
        <v>489</v>
      </c>
    </row>
    <row r="376" spans="1:13" ht="15.75" customHeight="1">
      <c r="A376" s="1">
        <v>380</v>
      </c>
      <c r="B376" s="1" t="s">
        <v>74</v>
      </c>
      <c r="C376" s="1" t="s">
        <v>110</v>
      </c>
      <c r="D376" s="1" t="s">
        <v>111</v>
      </c>
      <c r="E376" s="1">
        <v>13.3</v>
      </c>
      <c r="F376" s="1" t="s">
        <v>112</v>
      </c>
      <c r="G376" s="1" t="s">
        <v>62</v>
      </c>
      <c r="H376" s="1" t="s">
        <v>18</v>
      </c>
      <c r="I376" s="1" t="s">
        <v>34</v>
      </c>
      <c r="J376" s="1" t="s">
        <v>68</v>
      </c>
      <c r="K376" s="1" t="s">
        <v>53</v>
      </c>
      <c r="L376" s="1" t="s">
        <v>113</v>
      </c>
      <c r="M376" s="1">
        <v>869.01</v>
      </c>
    </row>
    <row r="377" spans="1:13" ht="15.75" customHeight="1">
      <c r="A377" s="1">
        <v>381</v>
      </c>
      <c r="B377" s="1" t="s">
        <v>29</v>
      </c>
      <c r="C377" s="1" t="s">
        <v>527</v>
      </c>
      <c r="D377" s="1" t="s">
        <v>31</v>
      </c>
      <c r="E377" s="1">
        <v>15.6</v>
      </c>
      <c r="F377" s="1" t="s">
        <v>32</v>
      </c>
      <c r="G377" s="1" t="s">
        <v>49</v>
      </c>
      <c r="H377" s="1" t="s">
        <v>50</v>
      </c>
      <c r="I377" s="1" t="s">
        <v>34</v>
      </c>
      <c r="J377" s="1" t="s">
        <v>52</v>
      </c>
      <c r="K377" s="1" t="s">
        <v>53</v>
      </c>
      <c r="L377" s="1" t="s">
        <v>115</v>
      </c>
      <c r="M377" s="1">
        <v>488.99</v>
      </c>
    </row>
    <row r="378" spans="1:13" ht="15.75" customHeight="1">
      <c r="A378" s="1">
        <v>382</v>
      </c>
      <c r="B378" s="1" t="s">
        <v>86</v>
      </c>
      <c r="C378" s="1" t="s">
        <v>528</v>
      </c>
      <c r="D378" s="1" t="s">
        <v>95</v>
      </c>
      <c r="E378" s="1">
        <v>11.6</v>
      </c>
      <c r="F378" s="1" t="s">
        <v>267</v>
      </c>
      <c r="G378" s="1" t="s">
        <v>529</v>
      </c>
      <c r="H378" s="1" t="s">
        <v>50</v>
      </c>
      <c r="I378" s="1" t="s">
        <v>19</v>
      </c>
      <c r="J378" s="1" t="s">
        <v>144</v>
      </c>
      <c r="K378" s="1" t="s">
        <v>53</v>
      </c>
      <c r="L378" s="1" t="s">
        <v>530</v>
      </c>
      <c r="M378" s="1">
        <v>553</v>
      </c>
    </row>
    <row r="379" spans="1:13" ht="15.75" customHeight="1">
      <c r="A379" s="1">
        <v>383</v>
      </c>
      <c r="B379" s="1" t="s">
        <v>74</v>
      </c>
      <c r="C379" s="1" t="s">
        <v>509</v>
      </c>
      <c r="D379" s="1" t="s">
        <v>31</v>
      </c>
      <c r="E379" s="1">
        <v>15.6</v>
      </c>
      <c r="F379" s="1" t="s">
        <v>48</v>
      </c>
      <c r="G379" s="1" t="s">
        <v>531</v>
      </c>
      <c r="H379" s="1" t="s">
        <v>50</v>
      </c>
      <c r="I379" s="1" t="s">
        <v>51</v>
      </c>
      <c r="J379" s="1" t="s">
        <v>99</v>
      </c>
      <c r="K379" s="1" t="s">
        <v>53</v>
      </c>
      <c r="L379" s="1" t="s">
        <v>202</v>
      </c>
      <c r="M379" s="1">
        <v>309</v>
      </c>
    </row>
    <row r="380" spans="1:13" ht="15.75" customHeight="1">
      <c r="A380" s="1">
        <v>384</v>
      </c>
      <c r="B380" s="1" t="s">
        <v>60</v>
      </c>
      <c r="C380" s="1" t="s">
        <v>532</v>
      </c>
      <c r="D380" s="1" t="s">
        <v>31</v>
      </c>
      <c r="E380" s="1">
        <v>14</v>
      </c>
      <c r="F380" s="1" t="s">
        <v>48</v>
      </c>
      <c r="G380" s="1" t="s">
        <v>143</v>
      </c>
      <c r="H380" s="1" t="s">
        <v>50</v>
      </c>
      <c r="I380" s="1" t="s">
        <v>98</v>
      </c>
      <c r="J380" s="1" t="s">
        <v>144</v>
      </c>
      <c r="K380" s="1" t="s">
        <v>53</v>
      </c>
      <c r="L380" s="1" t="s">
        <v>244</v>
      </c>
      <c r="M380" s="1">
        <v>286</v>
      </c>
    </row>
    <row r="381" spans="1:13" ht="15.75" customHeight="1">
      <c r="A381" s="1">
        <v>385</v>
      </c>
      <c r="B381" s="1" t="s">
        <v>46</v>
      </c>
      <c r="C381" s="1" t="s">
        <v>383</v>
      </c>
      <c r="D381" s="1" t="s">
        <v>31</v>
      </c>
      <c r="E381" s="1">
        <v>15.6</v>
      </c>
      <c r="F381" s="1" t="s">
        <v>32</v>
      </c>
      <c r="G381" s="1" t="s">
        <v>155</v>
      </c>
      <c r="H381" s="1" t="s">
        <v>18</v>
      </c>
      <c r="I381" s="1" t="s">
        <v>89</v>
      </c>
      <c r="J381" s="1" t="s">
        <v>105</v>
      </c>
      <c r="K381" s="1" t="s">
        <v>147</v>
      </c>
      <c r="L381" s="1" t="s">
        <v>183</v>
      </c>
      <c r="M381" s="1">
        <v>846</v>
      </c>
    </row>
    <row r="382" spans="1:13" ht="15.75" customHeight="1">
      <c r="A382" s="1">
        <v>386</v>
      </c>
      <c r="B382" s="1" t="s">
        <v>29</v>
      </c>
      <c r="C382" s="1" t="s">
        <v>533</v>
      </c>
      <c r="D382" s="1" t="s">
        <v>102</v>
      </c>
      <c r="E382" s="1">
        <v>17.3</v>
      </c>
      <c r="F382" s="1" t="s">
        <v>66</v>
      </c>
      <c r="G382" s="1" t="s">
        <v>155</v>
      </c>
      <c r="H382" s="1" t="s">
        <v>18</v>
      </c>
      <c r="I382" s="1" t="s">
        <v>104</v>
      </c>
      <c r="J382" s="1" t="s">
        <v>105</v>
      </c>
      <c r="K382" s="1" t="s">
        <v>53</v>
      </c>
      <c r="L382" s="1" t="s">
        <v>371</v>
      </c>
      <c r="M382" s="1">
        <v>1191</v>
      </c>
    </row>
    <row r="383" spans="1:13" ht="15.75" customHeight="1">
      <c r="A383" s="1">
        <v>387</v>
      </c>
      <c r="B383" s="1" t="s">
        <v>86</v>
      </c>
      <c r="C383" s="1" t="s">
        <v>534</v>
      </c>
      <c r="D383" s="1" t="s">
        <v>31</v>
      </c>
      <c r="E383" s="1">
        <v>15.6</v>
      </c>
      <c r="F383" s="1" t="s">
        <v>32</v>
      </c>
      <c r="G383" s="1" t="s">
        <v>70</v>
      </c>
      <c r="H383" s="1" t="s">
        <v>50</v>
      </c>
      <c r="I383" s="1" t="s">
        <v>19</v>
      </c>
      <c r="J383" s="1" t="s">
        <v>71</v>
      </c>
      <c r="K383" s="1" t="s">
        <v>36</v>
      </c>
      <c r="L383" s="1" t="s">
        <v>257</v>
      </c>
      <c r="M383" s="1">
        <v>403.5</v>
      </c>
    </row>
    <row r="384" spans="1:13" ht="15.75" customHeight="1">
      <c r="A384" s="1">
        <v>388</v>
      </c>
      <c r="B384" s="1" t="s">
        <v>60</v>
      </c>
      <c r="C384" s="1" t="s">
        <v>535</v>
      </c>
      <c r="D384" s="1" t="s">
        <v>102</v>
      </c>
      <c r="E384" s="1">
        <v>15.6</v>
      </c>
      <c r="F384" s="1" t="s">
        <v>66</v>
      </c>
      <c r="G384" s="1" t="s">
        <v>155</v>
      </c>
      <c r="H384" s="1" t="s">
        <v>18</v>
      </c>
      <c r="I384" s="1" t="s">
        <v>104</v>
      </c>
      <c r="J384" s="1" t="s">
        <v>157</v>
      </c>
      <c r="K384" s="1" t="s">
        <v>53</v>
      </c>
      <c r="L384" s="1" t="s">
        <v>116</v>
      </c>
      <c r="M384" s="1">
        <v>1655</v>
      </c>
    </row>
    <row r="385" spans="1:13" ht="15.75" customHeight="1">
      <c r="A385" s="1">
        <v>389</v>
      </c>
      <c r="B385" s="1" t="s">
        <v>86</v>
      </c>
      <c r="C385" s="1" t="s">
        <v>536</v>
      </c>
      <c r="D385" s="1" t="s">
        <v>31</v>
      </c>
      <c r="E385" s="1">
        <v>14</v>
      </c>
      <c r="F385" s="1" t="s">
        <v>66</v>
      </c>
      <c r="G385" s="1" t="s">
        <v>33</v>
      </c>
      <c r="H385" s="1" t="s">
        <v>18</v>
      </c>
      <c r="I385" s="1" t="s">
        <v>34</v>
      </c>
      <c r="J385" s="1" t="s">
        <v>90</v>
      </c>
      <c r="K385" s="1" t="s">
        <v>53</v>
      </c>
      <c r="L385" s="1" t="s">
        <v>244</v>
      </c>
      <c r="M385" s="1">
        <v>1099</v>
      </c>
    </row>
    <row r="386" spans="1:13" ht="15.75" customHeight="1">
      <c r="A386" s="1">
        <v>390</v>
      </c>
      <c r="B386" s="1" t="s">
        <v>60</v>
      </c>
      <c r="C386" s="1" t="s">
        <v>537</v>
      </c>
      <c r="D386" s="1" t="s">
        <v>15</v>
      </c>
      <c r="E386" s="1">
        <v>13.3</v>
      </c>
      <c r="F386" s="1" t="s">
        <v>112</v>
      </c>
      <c r="G386" s="1" t="s">
        <v>83</v>
      </c>
      <c r="H386" s="1" t="s">
        <v>40</v>
      </c>
      <c r="I386" s="1" t="s">
        <v>41</v>
      </c>
      <c r="J386" s="1" t="s">
        <v>35</v>
      </c>
      <c r="K386" s="1" t="s">
        <v>53</v>
      </c>
      <c r="L386" s="1" t="s">
        <v>319</v>
      </c>
      <c r="M386" s="1">
        <v>1748.9</v>
      </c>
    </row>
    <row r="387" spans="1:13" ht="15.75" customHeight="1">
      <c r="A387" s="1">
        <v>391</v>
      </c>
      <c r="B387" s="1" t="s">
        <v>86</v>
      </c>
      <c r="C387" s="1" t="s">
        <v>538</v>
      </c>
      <c r="D387" s="1" t="s">
        <v>15</v>
      </c>
      <c r="E387" s="1">
        <v>14</v>
      </c>
      <c r="F387" s="1" t="s">
        <v>539</v>
      </c>
      <c r="G387" s="1" t="s">
        <v>83</v>
      </c>
      <c r="H387" s="1" t="s">
        <v>18</v>
      </c>
      <c r="I387" s="1" t="s">
        <v>41</v>
      </c>
      <c r="J387" s="1" t="s">
        <v>35</v>
      </c>
      <c r="K387" s="1" t="s">
        <v>53</v>
      </c>
      <c r="L387" s="1" t="s">
        <v>540</v>
      </c>
      <c r="M387" s="1">
        <v>2282</v>
      </c>
    </row>
    <row r="388" spans="1:13" ht="15.75" customHeight="1">
      <c r="A388" s="1">
        <v>392</v>
      </c>
      <c r="B388" s="1" t="s">
        <v>86</v>
      </c>
      <c r="C388" s="1" t="s">
        <v>541</v>
      </c>
      <c r="D388" s="1" t="s">
        <v>31</v>
      </c>
      <c r="E388" s="1">
        <v>13.3</v>
      </c>
      <c r="F388" s="1" t="s">
        <v>66</v>
      </c>
      <c r="G388" s="1" t="s">
        <v>88</v>
      </c>
      <c r="H388" s="1" t="s">
        <v>50</v>
      </c>
      <c r="I388" s="1" t="s">
        <v>19</v>
      </c>
      <c r="J388" s="1" t="s">
        <v>35</v>
      </c>
      <c r="K388" s="1" t="s">
        <v>53</v>
      </c>
      <c r="L388" s="1" t="s">
        <v>244</v>
      </c>
      <c r="M388" s="1">
        <v>549</v>
      </c>
    </row>
    <row r="389" spans="1:13" ht="15.75" customHeight="1">
      <c r="A389" s="1">
        <v>393</v>
      </c>
      <c r="B389" s="1" t="s">
        <v>74</v>
      </c>
      <c r="C389" s="1" t="s">
        <v>542</v>
      </c>
      <c r="D389" s="1" t="s">
        <v>378</v>
      </c>
      <c r="E389" s="1">
        <v>15.6</v>
      </c>
      <c r="F389" s="1" t="s">
        <v>32</v>
      </c>
      <c r="G389" s="1" t="s">
        <v>543</v>
      </c>
      <c r="H389" s="1" t="s">
        <v>18</v>
      </c>
      <c r="I389" s="1" t="s">
        <v>51</v>
      </c>
      <c r="J389" s="1" t="s">
        <v>544</v>
      </c>
      <c r="K389" s="1" t="s">
        <v>53</v>
      </c>
      <c r="L389" s="1" t="s">
        <v>375</v>
      </c>
      <c r="M389" s="1">
        <v>1369</v>
      </c>
    </row>
    <row r="390" spans="1:13" ht="15.75" customHeight="1">
      <c r="A390" s="1">
        <v>394</v>
      </c>
      <c r="B390" s="1" t="s">
        <v>74</v>
      </c>
      <c r="C390" s="1" t="s">
        <v>545</v>
      </c>
      <c r="D390" s="1" t="s">
        <v>378</v>
      </c>
      <c r="E390" s="1">
        <v>15.6</v>
      </c>
      <c r="F390" s="1" t="s">
        <v>66</v>
      </c>
      <c r="G390" s="1" t="s">
        <v>546</v>
      </c>
      <c r="H390" s="1" t="s">
        <v>18</v>
      </c>
      <c r="I390" s="1" t="s">
        <v>34</v>
      </c>
      <c r="J390" s="1" t="s">
        <v>381</v>
      </c>
      <c r="K390" s="1" t="s">
        <v>53</v>
      </c>
      <c r="L390" s="1" t="s">
        <v>153</v>
      </c>
      <c r="M390" s="1">
        <v>2135</v>
      </c>
    </row>
    <row r="391" spans="1:13" ht="15.75" customHeight="1">
      <c r="A391" s="1">
        <v>395</v>
      </c>
      <c r="B391" s="1" t="s">
        <v>86</v>
      </c>
      <c r="C391" s="1" t="s">
        <v>441</v>
      </c>
      <c r="D391" s="1" t="s">
        <v>111</v>
      </c>
      <c r="E391" s="1">
        <v>14</v>
      </c>
      <c r="F391" s="1" t="s">
        <v>358</v>
      </c>
      <c r="G391" s="1" t="s">
        <v>83</v>
      </c>
      <c r="H391" s="1" t="s">
        <v>40</v>
      </c>
      <c r="I391" s="1" t="s">
        <v>41</v>
      </c>
      <c r="J391" s="1" t="s">
        <v>35</v>
      </c>
      <c r="K391" s="1" t="s">
        <v>53</v>
      </c>
      <c r="L391" s="1" t="s">
        <v>360</v>
      </c>
      <c r="M391" s="1">
        <v>2509</v>
      </c>
    </row>
    <row r="392" spans="1:13" ht="15.75" customHeight="1">
      <c r="A392" s="1">
        <v>396</v>
      </c>
      <c r="B392" s="1" t="s">
        <v>60</v>
      </c>
      <c r="C392" s="1" t="s">
        <v>547</v>
      </c>
      <c r="D392" s="1" t="s">
        <v>102</v>
      </c>
      <c r="E392" s="1">
        <v>17.3</v>
      </c>
      <c r="F392" s="1" t="s">
        <v>32</v>
      </c>
      <c r="G392" s="1" t="s">
        <v>155</v>
      </c>
      <c r="H392" s="1" t="s">
        <v>18</v>
      </c>
      <c r="I392" s="1" t="s">
        <v>89</v>
      </c>
      <c r="J392" s="1" t="s">
        <v>105</v>
      </c>
      <c r="K392" s="1" t="s">
        <v>53</v>
      </c>
      <c r="L392" s="1" t="s">
        <v>209</v>
      </c>
      <c r="M392" s="1">
        <v>1039</v>
      </c>
    </row>
    <row r="393" spans="1:13" ht="15.75" customHeight="1">
      <c r="A393" s="1">
        <v>397</v>
      </c>
      <c r="B393" s="1" t="s">
        <v>60</v>
      </c>
      <c r="C393" s="1" t="s">
        <v>548</v>
      </c>
      <c r="D393" s="1" t="s">
        <v>102</v>
      </c>
      <c r="E393" s="1">
        <v>17.3</v>
      </c>
      <c r="F393" s="1" t="s">
        <v>32</v>
      </c>
      <c r="G393" s="1" t="s">
        <v>155</v>
      </c>
      <c r="H393" s="1" t="s">
        <v>40</v>
      </c>
      <c r="I393" s="1" t="s">
        <v>156</v>
      </c>
      <c r="J393" s="1" t="s">
        <v>201</v>
      </c>
      <c r="K393" s="1" t="s">
        <v>53</v>
      </c>
      <c r="L393" s="1" t="s">
        <v>209</v>
      </c>
      <c r="M393" s="1">
        <v>1591</v>
      </c>
    </row>
    <row r="394" spans="1:13" ht="15.75" customHeight="1">
      <c r="A394" s="1">
        <v>399</v>
      </c>
      <c r="B394" s="1" t="s">
        <v>46</v>
      </c>
      <c r="C394" s="1" t="s">
        <v>239</v>
      </c>
      <c r="D394" s="1" t="s">
        <v>31</v>
      </c>
      <c r="E394" s="1">
        <v>15.6</v>
      </c>
      <c r="F394" s="1" t="s">
        <v>267</v>
      </c>
      <c r="G394" s="1" t="s">
        <v>67</v>
      </c>
      <c r="H394" s="1" t="s">
        <v>162</v>
      </c>
      <c r="I394" s="1" t="s">
        <v>89</v>
      </c>
      <c r="J394" s="1" t="s">
        <v>224</v>
      </c>
      <c r="K394" s="1" t="s">
        <v>53</v>
      </c>
      <c r="L394" s="1" t="s">
        <v>77</v>
      </c>
      <c r="M394" s="1">
        <v>693.99</v>
      </c>
    </row>
    <row r="395" spans="1:13" ht="15.75" customHeight="1">
      <c r="A395" s="1">
        <v>400</v>
      </c>
      <c r="B395" s="1" t="s">
        <v>189</v>
      </c>
      <c r="C395" s="1" t="s">
        <v>549</v>
      </c>
      <c r="D395" s="1" t="s">
        <v>102</v>
      </c>
      <c r="E395" s="1">
        <v>17.3</v>
      </c>
      <c r="F395" s="1" t="s">
        <v>32</v>
      </c>
      <c r="G395" s="1" t="s">
        <v>155</v>
      </c>
      <c r="H395" s="1" t="s">
        <v>18</v>
      </c>
      <c r="I395" s="1" t="s">
        <v>34</v>
      </c>
      <c r="J395" s="1" t="s">
        <v>201</v>
      </c>
      <c r="K395" s="1" t="s">
        <v>53</v>
      </c>
      <c r="L395" s="1" t="s">
        <v>217</v>
      </c>
      <c r="M395" s="1">
        <v>1349</v>
      </c>
    </row>
    <row r="396" spans="1:13" ht="15.75" customHeight="1">
      <c r="A396" s="1">
        <v>401</v>
      </c>
      <c r="B396" s="1" t="s">
        <v>74</v>
      </c>
      <c r="C396" s="1" t="s">
        <v>279</v>
      </c>
      <c r="D396" s="1" t="s">
        <v>31</v>
      </c>
      <c r="E396" s="1">
        <v>15.6</v>
      </c>
      <c r="F396" s="1" t="s">
        <v>32</v>
      </c>
      <c r="G396" s="1" t="s">
        <v>83</v>
      </c>
      <c r="H396" s="1" t="s">
        <v>18</v>
      </c>
      <c r="I396" s="1" t="s">
        <v>34</v>
      </c>
      <c r="J396" s="1" t="s">
        <v>280</v>
      </c>
      <c r="K396" s="1" t="s">
        <v>147</v>
      </c>
      <c r="L396" s="1" t="s">
        <v>483</v>
      </c>
      <c r="M396" s="1">
        <v>778.87</v>
      </c>
    </row>
    <row r="397" spans="1:13" ht="15.75" customHeight="1">
      <c r="A397" s="1">
        <v>402</v>
      </c>
      <c r="B397" s="1" t="s">
        <v>29</v>
      </c>
      <c r="C397" s="1" t="s">
        <v>550</v>
      </c>
      <c r="D397" s="1" t="s">
        <v>15</v>
      </c>
      <c r="E397" s="1">
        <v>15.6</v>
      </c>
      <c r="F397" s="1" t="s">
        <v>32</v>
      </c>
      <c r="G397" s="1" t="s">
        <v>49</v>
      </c>
      <c r="H397" s="1" t="s">
        <v>50</v>
      </c>
      <c r="I397" s="1" t="s">
        <v>34</v>
      </c>
      <c r="J397" s="1" t="s">
        <v>185</v>
      </c>
      <c r="K397" s="1" t="s">
        <v>53</v>
      </c>
      <c r="L397" s="1" t="s">
        <v>115</v>
      </c>
      <c r="M397" s="1">
        <v>499</v>
      </c>
    </row>
    <row r="398" spans="1:13" ht="15.75" customHeight="1">
      <c r="A398" s="1">
        <v>403</v>
      </c>
      <c r="B398" s="1" t="s">
        <v>86</v>
      </c>
      <c r="C398" s="1" t="s">
        <v>551</v>
      </c>
      <c r="D398" s="1" t="s">
        <v>31</v>
      </c>
      <c r="E398" s="1">
        <v>15.6</v>
      </c>
      <c r="F398" s="1" t="s">
        <v>66</v>
      </c>
      <c r="G398" s="1" t="s">
        <v>62</v>
      </c>
      <c r="H398" s="1" t="s">
        <v>18</v>
      </c>
      <c r="I398" s="1" t="s">
        <v>34</v>
      </c>
      <c r="J398" s="1" t="s">
        <v>290</v>
      </c>
      <c r="K398" s="1" t="s">
        <v>53</v>
      </c>
      <c r="L398" s="1" t="s">
        <v>54</v>
      </c>
      <c r="M398" s="1">
        <v>1229.56</v>
      </c>
    </row>
    <row r="399" spans="1:13" ht="15.75" customHeight="1">
      <c r="A399" s="1">
        <v>404</v>
      </c>
      <c r="B399" s="1" t="s">
        <v>86</v>
      </c>
      <c r="C399" s="1" t="s">
        <v>552</v>
      </c>
      <c r="D399" s="1" t="s">
        <v>31</v>
      </c>
      <c r="E399" s="1">
        <v>14</v>
      </c>
      <c r="F399" s="1" t="s">
        <v>66</v>
      </c>
      <c r="G399" s="1" t="s">
        <v>33</v>
      </c>
      <c r="H399" s="1" t="s">
        <v>18</v>
      </c>
      <c r="I399" s="1" t="s">
        <v>34</v>
      </c>
      <c r="J399" s="1" t="s">
        <v>35</v>
      </c>
      <c r="K399" s="1" t="s">
        <v>53</v>
      </c>
      <c r="L399" s="1" t="s">
        <v>207</v>
      </c>
      <c r="M399" s="1">
        <v>938</v>
      </c>
    </row>
    <row r="400" spans="1:13" ht="15.75" customHeight="1">
      <c r="A400" s="1">
        <v>405</v>
      </c>
      <c r="B400" s="1" t="s">
        <v>74</v>
      </c>
      <c r="C400" s="1" t="s">
        <v>553</v>
      </c>
      <c r="D400" s="1" t="s">
        <v>378</v>
      </c>
      <c r="E400" s="1">
        <v>15.6</v>
      </c>
      <c r="F400" s="1" t="s">
        <v>352</v>
      </c>
      <c r="G400" s="1" t="s">
        <v>155</v>
      </c>
      <c r="H400" s="1" t="s">
        <v>18</v>
      </c>
      <c r="I400" s="1" t="s">
        <v>34</v>
      </c>
      <c r="J400" s="1" t="s">
        <v>381</v>
      </c>
      <c r="K400" s="1" t="s">
        <v>53</v>
      </c>
      <c r="L400" s="1" t="s">
        <v>554</v>
      </c>
      <c r="M400" s="1">
        <v>2712</v>
      </c>
    </row>
    <row r="401" spans="1:13" ht="15.75" customHeight="1">
      <c r="A401" s="1">
        <v>406</v>
      </c>
      <c r="B401" s="1" t="s">
        <v>86</v>
      </c>
      <c r="C401" s="1" t="s">
        <v>538</v>
      </c>
      <c r="D401" s="1" t="s">
        <v>15</v>
      </c>
      <c r="E401" s="1">
        <v>14</v>
      </c>
      <c r="F401" s="1" t="s">
        <v>539</v>
      </c>
      <c r="G401" s="1" t="s">
        <v>83</v>
      </c>
      <c r="H401" s="1" t="s">
        <v>40</v>
      </c>
      <c r="I401" s="1" t="s">
        <v>359</v>
      </c>
      <c r="J401" s="1" t="s">
        <v>35</v>
      </c>
      <c r="K401" s="1" t="s">
        <v>53</v>
      </c>
      <c r="L401" s="1" t="s">
        <v>540</v>
      </c>
      <c r="M401" s="1">
        <v>2625</v>
      </c>
    </row>
    <row r="402" spans="1:13" ht="15.75" customHeight="1">
      <c r="A402" s="1">
        <v>407</v>
      </c>
      <c r="B402" s="1" t="s">
        <v>86</v>
      </c>
      <c r="C402" s="1" t="s">
        <v>474</v>
      </c>
      <c r="D402" s="1" t="s">
        <v>31</v>
      </c>
      <c r="E402" s="1">
        <v>15.6</v>
      </c>
      <c r="F402" s="1" t="s">
        <v>48</v>
      </c>
      <c r="G402" s="1" t="s">
        <v>143</v>
      </c>
      <c r="H402" s="1" t="s">
        <v>50</v>
      </c>
      <c r="I402" s="1" t="s">
        <v>89</v>
      </c>
      <c r="J402" s="1" t="s">
        <v>144</v>
      </c>
      <c r="K402" s="1" t="s">
        <v>53</v>
      </c>
      <c r="L402" s="1" t="s">
        <v>77</v>
      </c>
      <c r="M402" s="1">
        <v>306</v>
      </c>
    </row>
    <row r="403" spans="1:13" ht="15.75" customHeight="1">
      <c r="A403" s="1">
        <v>408</v>
      </c>
      <c r="B403" s="1" t="s">
        <v>60</v>
      </c>
      <c r="C403" s="1" t="s">
        <v>555</v>
      </c>
      <c r="D403" s="1" t="s">
        <v>102</v>
      </c>
      <c r="E403" s="1">
        <v>17.3</v>
      </c>
      <c r="F403" s="1" t="s">
        <v>32</v>
      </c>
      <c r="G403" s="1" t="s">
        <v>155</v>
      </c>
      <c r="H403" s="1" t="s">
        <v>40</v>
      </c>
      <c r="I403" s="1" t="s">
        <v>156</v>
      </c>
      <c r="J403" s="1" t="s">
        <v>105</v>
      </c>
      <c r="K403" s="1" t="s">
        <v>53</v>
      </c>
      <c r="L403" s="1" t="s">
        <v>304</v>
      </c>
      <c r="M403" s="1">
        <v>1529</v>
      </c>
    </row>
    <row r="404" spans="1:13" ht="15.75" customHeight="1">
      <c r="A404" s="1">
        <v>409</v>
      </c>
      <c r="B404" s="1" t="s">
        <v>86</v>
      </c>
      <c r="C404" s="1" t="s">
        <v>551</v>
      </c>
      <c r="D404" s="1" t="s">
        <v>31</v>
      </c>
      <c r="E404" s="1">
        <v>15.6</v>
      </c>
      <c r="F404" s="1" t="s">
        <v>66</v>
      </c>
      <c r="G404" s="1" t="s">
        <v>67</v>
      </c>
      <c r="H404" s="1" t="s">
        <v>18</v>
      </c>
      <c r="I404" s="1" t="s">
        <v>156</v>
      </c>
      <c r="J404" s="1" t="s">
        <v>290</v>
      </c>
      <c r="K404" s="1" t="s">
        <v>53</v>
      </c>
      <c r="L404" s="1" t="s">
        <v>54</v>
      </c>
      <c r="M404" s="1">
        <v>1144.5</v>
      </c>
    </row>
    <row r="405" spans="1:13" ht="15.75" customHeight="1">
      <c r="A405" s="1">
        <v>410</v>
      </c>
      <c r="B405" s="1" t="s">
        <v>46</v>
      </c>
      <c r="C405" s="1" t="s">
        <v>383</v>
      </c>
      <c r="D405" s="1" t="s">
        <v>31</v>
      </c>
      <c r="E405" s="1">
        <v>15.6</v>
      </c>
      <c r="F405" s="1" t="s">
        <v>32</v>
      </c>
      <c r="G405" s="1" t="s">
        <v>155</v>
      </c>
      <c r="H405" s="1" t="s">
        <v>18</v>
      </c>
      <c r="I405" s="1" t="s">
        <v>34</v>
      </c>
      <c r="J405" s="1" t="s">
        <v>105</v>
      </c>
      <c r="K405" s="1" t="s">
        <v>147</v>
      </c>
      <c r="L405" s="1" t="s">
        <v>106</v>
      </c>
      <c r="M405" s="1">
        <v>879</v>
      </c>
    </row>
    <row r="406" spans="1:13" ht="15.75" customHeight="1">
      <c r="A406" s="1">
        <v>411</v>
      </c>
      <c r="B406" s="1" t="s">
        <v>189</v>
      </c>
      <c r="C406" s="1" t="s">
        <v>556</v>
      </c>
      <c r="D406" s="1" t="s">
        <v>102</v>
      </c>
      <c r="E406" s="1">
        <v>17.3</v>
      </c>
      <c r="F406" s="1" t="s">
        <v>32</v>
      </c>
      <c r="G406" s="1" t="s">
        <v>155</v>
      </c>
      <c r="H406" s="1" t="s">
        <v>40</v>
      </c>
      <c r="I406" s="1" t="s">
        <v>156</v>
      </c>
      <c r="J406" s="1" t="s">
        <v>192</v>
      </c>
      <c r="K406" s="1" t="s">
        <v>53</v>
      </c>
      <c r="L406" s="1" t="s">
        <v>149</v>
      </c>
      <c r="M406" s="1">
        <v>2249</v>
      </c>
    </row>
    <row r="407" spans="1:13" ht="15.75" customHeight="1">
      <c r="A407" s="1">
        <v>412</v>
      </c>
      <c r="B407" s="1" t="s">
        <v>60</v>
      </c>
      <c r="C407" s="1" t="s">
        <v>557</v>
      </c>
      <c r="D407" s="1" t="s">
        <v>15</v>
      </c>
      <c r="E407" s="1">
        <v>14</v>
      </c>
      <c r="F407" s="1" t="s">
        <v>32</v>
      </c>
      <c r="G407" s="1" t="s">
        <v>83</v>
      </c>
      <c r="H407" s="1" t="s">
        <v>18</v>
      </c>
      <c r="I407" s="1" t="s">
        <v>41</v>
      </c>
      <c r="J407" s="1" t="s">
        <v>35</v>
      </c>
      <c r="K407" s="1" t="s">
        <v>53</v>
      </c>
      <c r="L407" s="1" t="s">
        <v>558</v>
      </c>
      <c r="M407" s="1">
        <v>1873</v>
      </c>
    </row>
    <row r="408" spans="1:13" ht="15.75" customHeight="1">
      <c r="A408" s="1">
        <v>413</v>
      </c>
      <c r="B408" s="1" t="s">
        <v>293</v>
      </c>
      <c r="C408" s="1" t="s">
        <v>559</v>
      </c>
      <c r="D408" s="1" t="s">
        <v>15</v>
      </c>
      <c r="E408" s="1">
        <v>13.3</v>
      </c>
      <c r="F408" s="1" t="s">
        <v>32</v>
      </c>
      <c r="G408" s="1" t="s">
        <v>389</v>
      </c>
      <c r="H408" s="1" t="s">
        <v>40</v>
      </c>
      <c r="I408" s="1" t="s">
        <v>41</v>
      </c>
      <c r="J408" s="1" t="s">
        <v>71</v>
      </c>
      <c r="K408" s="1" t="s">
        <v>53</v>
      </c>
      <c r="L408" s="1" t="s">
        <v>141</v>
      </c>
      <c r="M408" s="1">
        <v>1747</v>
      </c>
    </row>
    <row r="409" spans="1:13" ht="15.75" customHeight="1">
      <c r="A409" s="1">
        <v>414</v>
      </c>
      <c r="B409" s="1" t="s">
        <v>74</v>
      </c>
      <c r="C409" s="1" t="s">
        <v>518</v>
      </c>
      <c r="D409" s="1" t="s">
        <v>15</v>
      </c>
      <c r="E409" s="1">
        <v>14</v>
      </c>
      <c r="F409" s="1" t="s">
        <v>32</v>
      </c>
      <c r="G409" s="1" t="s">
        <v>476</v>
      </c>
      <c r="H409" s="1" t="s">
        <v>18</v>
      </c>
      <c r="I409" s="1" t="s">
        <v>41</v>
      </c>
      <c r="J409" s="1" t="s">
        <v>132</v>
      </c>
      <c r="K409" s="1" t="s">
        <v>53</v>
      </c>
      <c r="L409" s="1" t="s">
        <v>443</v>
      </c>
      <c r="M409" s="1">
        <v>1680</v>
      </c>
    </row>
    <row r="410" spans="1:13" ht="15.75" customHeight="1">
      <c r="A410" s="1">
        <v>415</v>
      </c>
      <c r="B410" s="1" t="s">
        <v>86</v>
      </c>
      <c r="C410" s="1" t="s">
        <v>167</v>
      </c>
      <c r="D410" s="1" t="s">
        <v>31</v>
      </c>
      <c r="E410" s="1">
        <v>15.6</v>
      </c>
      <c r="F410" s="1" t="s">
        <v>32</v>
      </c>
      <c r="G410" s="1" t="s">
        <v>70</v>
      </c>
      <c r="H410" s="1" t="s">
        <v>50</v>
      </c>
      <c r="I410" s="1" t="s">
        <v>51</v>
      </c>
      <c r="J410" s="1" t="s">
        <v>71</v>
      </c>
      <c r="K410" s="1" t="s">
        <v>53</v>
      </c>
      <c r="L410" s="1" t="s">
        <v>77</v>
      </c>
      <c r="M410" s="1">
        <v>409</v>
      </c>
    </row>
    <row r="411" spans="1:13" ht="15.75" customHeight="1">
      <c r="A411" s="1">
        <v>416</v>
      </c>
      <c r="B411" s="1" t="s">
        <v>86</v>
      </c>
      <c r="C411" s="1" t="s">
        <v>560</v>
      </c>
      <c r="D411" s="1" t="s">
        <v>31</v>
      </c>
      <c r="E411" s="1">
        <v>11.6</v>
      </c>
      <c r="F411" s="1" t="s">
        <v>48</v>
      </c>
      <c r="G411" s="1" t="s">
        <v>143</v>
      </c>
      <c r="H411" s="1" t="s">
        <v>97</v>
      </c>
      <c r="I411" s="1" t="s">
        <v>98</v>
      </c>
      <c r="J411" s="1" t="s">
        <v>144</v>
      </c>
      <c r="K411" s="1" t="s">
        <v>53</v>
      </c>
      <c r="L411" s="1" t="s">
        <v>561</v>
      </c>
      <c r="M411" s="1">
        <v>304.45</v>
      </c>
    </row>
    <row r="412" spans="1:13" ht="15.75" customHeight="1">
      <c r="A412" s="1">
        <v>417</v>
      </c>
      <c r="B412" s="1" t="s">
        <v>86</v>
      </c>
      <c r="C412" s="1" t="s">
        <v>562</v>
      </c>
      <c r="D412" s="1" t="s">
        <v>378</v>
      </c>
      <c r="E412" s="1">
        <v>15.6</v>
      </c>
      <c r="F412" s="1" t="s">
        <v>32</v>
      </c>
      <c r="G412" s="1" t="s">
        <v>155</v>
      </c>
      <c r="H412" s="1" t="s">
        <v>18</v>
      </c>
      <c r="I412" s="1" t="s">
        <v>41</v>
      </c>
      <c r="J412" s="1" t="s">
        <v>381</v>
      </c>
      <c r="K412" s="1" t="s">
        <v>53</v>
      </c>
      <c r="L412" s="1" t="s">
        <v>435</v>
      </c>
      <c r="M412" s="1">
        <v>1925</v>
      </c>
    </row>
    <row r="413" spans="1:13" ht="15.75" customHeight="1">
      <c r="A413" s="1">
        <v>418</v>
      </c>
      <c r="B413" s="1" t="s">
        <v>86</v>
      </c>
      <c r="C413" s="1" t="s">
        <v>563</v>
      </c>
      <c r="D413" s="1" t="s">
        <v>15</v>
      </c>
      <c r="E413" s="1">
        <v>14</v>
      </c>
      <c r="F413" s="1" t="s">
        <v>564</v>
      </c>
      <c r="G413" s="1" t="s">
        <v>155</v>
      </c>
      <c r="H413" s="1" t="s">
        <v>18</v>
      </c>
      <c r="I413" s="1" t="s">
        <v>41</v>
      </c>
      <c r="J413" s="1" t="s">
        <v>523</v>
      </c>
      <c r="K413" s="1" t="s">
        <v>53</v>
      </c>
      <c r="L413" s="1" t="s">
        <v>196</v>
      </c>
      <c r="M413" s="1">
        <v>1943</v>
      </c>
    </row>
    <row r="414" spans="1:13" ht="15.75" customHeight="1">
      <c r="A414" s="1">
        <v>419</v>
      </c>
      <c r="B414" s="1" t="s">
        <v>29</v>
      </c>
      <c r="C414" s="1" t="s">
        <v>565</v>
      </c>
      <c r="D414" s="1" t="s">
        <v>31</v>
      </c>
      <c r="E414" s="1">
        <v>15.6</v>
      </c>
      <c r="F414" s="1" t="s">
        <v>32</v>
      </c>
      <c r="G414" s="1" t="s">
        <v>70</v>
      </c>
      <c r="H414" s="1" t="s">
        <v>50</v>
      </c>
      <c r="I414" s="1" t="s">
        <v>89</v>
      </c>
      <c r="J414" s="1" t="s">
        <v>185</v>
      </c>
      <c r="K414" s="1" t="s">
        <v>53</v>
      </c>
      <c r="L414" s="1" t="s">
        <v>54</v>
      </c>
      <c r="M414" s="1">
        <v>469</v>
      </c>
    </row>
    <row r="415" spans="1:13" ht="15.75" customHeight="1">
      <c r="A415" s="1">
        <v>420</v>
      </c>
      <c r="B415" s="1" t="s">
        <v>46</v>
      </c>
      <c r="C415" s="1" t="s">
        <v>405</v>
      </c>
      <c r="D415" s="1" t="s">
        <v>111</v>
      </c>
      <c r="E415" s="1">
        <v>13.3</v>
      </c>
      <c r="F415" s="1" t="s">
        <v>92</v>
      </c>
      <c r="G415" s="1" t="s">
        <v>389</v>
      </c>
      <c r="H415" s="1" t="s">
        <v>18</v>
      </c>
      <c r="I415" s="1" t="s">
        <v>34</v>
      </c>
      <c r="J415" s="1" t="s">
        <v>71</v>
      </c>
      <c r="K415" s="1" t="s">
        <v>53</v>
      </c>
      <c r="L415" s="1" t="s">
        <v>69</v>
      </c>
      <c r="M415" s="1">
        <v>789.01</v>
      </c>
    </row>
    <row r="416" spans="1:13" ht="15.75" customHeight="1">
      <c r="A416" s="1">
        <v>421</v>
      </c>
      <c r="B416" s="1" t="s">
        <v>60</v>
      </c>
      <c r="C416" s="1" t="s">
        <v>318</v>
      </c>
      <c r="D416" s="1" t="s">
        <v>111</v>
      </c>
      <c r="E416" s="1">
        <v>13.3</v>
      </c>
      <c r="F416" s="1" t="s">
        <v>92</v>
      </c>
      <c r="G416" s="1" t="s">
        <v>33</v>
      </c>
      <c r="H416" s="1" t="s">
        <v>18</v>
      </c>
      <c r="I416" s="1" t="s">
        <v>34</v>
      </c>
      <c r="J416" s="1" t="s">
        <v>35</v>
      </c>
      <c r="K416" s="1" t="s">
        <v>53</v>
      </c>
      <c r="L416" s="1" t="s">
        <v>566</v>
      </c>
      <c r="M416" s="1">
        <v>928</v>
      </c>
    </row>
    <row r="417" spans="1:13" ht="15.75" customHeight="1">
      <c r="A417" s="1">
        <v>422</v>
      </c>
      <c r="B417" s="1" t="s">
        <v>74</v>
      </c>
      <c r="C417" s="1" t="s">
        <v>75</v>
      </c>
      <c r="D417" s="1" t="s">
        <v>31</v>
      </c>
      <c r="E417" s="1">
        <v>15.6</v>
      </c>
      <c r="F417" s="1" t="s">
        <v>32</v>
      </c>
      <c r="G417" s="1" t="s">
        <v>33</v>
      </c>
      <c r="H417" s="1" t="s">
        <v>50</v>
      </c>
      <c r="I417" s="1" t="s">
        <v>34</v>
      </c>
      <c r="J417" s="1" t="s">
        <v>76</v>
      </c>
      <c r="K417" s="1" t="s">
        <v>147</v>
      </c>
      <c r="L417" s="1" t="s">
        <v>116</v>
      </c>
      <c r="M417" s="1">
        <v>598.9</v>
      </c>
    </row>
    <row r="418" spans="1:13" ht="15.75" customHeight="1">
      <c r="A418" s="1">
        <v>423</v>
      </c>
      <c r="B418" s="1" t="s">
        <v>74</v>
      </c>
      <c r="C418" s="1" t="s">
        <v>567</v>
      </c>
      <c r="D418" s="1" t="s">
        <v>31</v>
      </c>
      <c r="E418" s="1">
        <v>13.3</v>
      </c>
      <c r="F418" s="1" t="s">
        <v>48</v>
      </c>
      <c r="G418" s="1" t="s">
        <v>70</v>
      </c>
      <c r="H418" s="1" t="s">
        <v>50</v>
      </c>
      <c r="I418" s="1" t="s">
        <v>19</v>
      </c>
      <c r="J418" s="1" t="s">
        <v>71</v>
      </c>
      <c r="K418" s="1" t="s">
        <v>53</v>
      </c>
      <c r="L418" s="1" t="s">
        <v>136</v>
      </c>
      <c r="M418" s="1">
        <v>689</v>
      </c>
    </row>
    <row r="419" spans="1:13" ht="15.75" customHeight="1">
      <c r="A419" s="1">
        <v>424</v>
      </c>
      <c r="B419" s="1" t="s">
        <v>29</v>
      </c>
      <c r="C419" s="1" t="s">
        <v>568</v>
      </c>
      <c r="D419" s="1" t="s">
        <v>15</v>
      </c>
      <c r="E419" s="1">
        <v>14</v>
      </c>
      <c r="F419" s="1" t="s">
        <v>32</v>
      </c>
      <c r="G419" s="1" t="s">
        <v>389</v>
      </c>
      <c r="H419" s="1" t="s">
        <v>18</v>
      </c>
      <c r="I419" s="1" t="s">
        <v>34</v>
      </c>
      <c r="J419" s="1" t="s">
        <v>71</v>
      </c>
      <c r="K419" s="1" t="s">
        <v>53</v>
      </c>
      <c r="L419" s="1" t="s">
        <v>569</v>
      </c>
      <c r="M419" s="1">
        <v>1500</v>
      </c>
    </row>
    <row r="420" spans="1:13" ht="15.75" customHeight="1">
      <c r="A420" s="1">
        <v>425</v>
      </c>
      <c r="B420" s="1" t="s">
        <v>74</v>
      </c>
      <c r="C420" s="1" t="s">
        <v>75</v>
      </c>
      <c r="D420" s="1" t="s">
        <v>31</v>
      </c>
      <c r="E420" s="1">
        <v>15.6</v>
      </c>
      <c r="F420" s="1" t="s">
        <v>48</v>
      </c>
      <c r="G420" s="1" t="s">
        <v>33</v>
      </c>
      <c r="H420" s="1" t="s">
        <v>18</v>
      </c>
      <c r="I420" s="1" t="s">
        <v>89</v>
      </c>
      <c r="J420" s="1" t="s">
        <v>35</v>
      </c>
      <c r="K420" s="1" t="s">
        <v>53</v>
      </c>
      <c r="L420" s="1" t="s">
        <v>440</v>
      </c>
      <c r="M420" s="1">
        <v>539.95000000000005</v>
      </c>
    </row>
    <row r="421" spans="1:13" ht="15.75" customHeight="1">
      <c r="A421" s="1">
        <v>426</v>
      </c>
      <c r="B421" s="1" t="s">
        <v>86</v>
      </c>
      <c r="C421" s="1" t="s">
        <v>289</v>
      </c>
      <c r="D421" s="1" t="s">
        <v>15</v>
      </c>
      <c r="E421" s="1">
        <v>14</v>
      </c>
      <c r="F421" s="1" t="s">
        <v>66</v>
      </c>
      <c r="G421" s="1" t="s">
        <v>62</v>
      </c>
      <c r="H421" s="1" t="s">
        <v>18</v>
      </c>
      <c r="I421" s="1" t="s">
        <v>34</v>
      </c>
      <c r="J421" s="1" t="s">
        <v>290</v>
      </c>
      <c r="K421" s="1" t="s">
        <v>53</v>
      </c>
      <c r="L421" s="1" t="s">
        <v>291</v>
      </c>
      <c r="M421" s="1">
        <v>1215.3800000000001</v>
      </c>
    </row>
    <row r="422" spans="1:13" ht="15.75" customHeight="1">
      <c r="A422" s="1">
        <v>427</v>
      </c>
      <c r="B422" s="1" t="s">
        <v>86</v>
      </c>
      <c r="C422" s="1" t="s">
        <v>431</v>
      </c>
      <c r="D422" s="1" t="s">
        <v>111</v>
      </c>
      <c r="E422" s="1">
        <v>15.6</v>
      </c>
      <c r="F422" s="1" t="s">
        <v>298</v>
      </c>
      <c r="G422" s="1" t="s">
        <v>155</v>
      </c>
      <c r="H422" s="1" t="s">
        <v>40</v>
      </c>
      <c r="I422" s="1" t="s">
        <v>41</v>
      </c>
      <c r="J422" s="1" t="s">
        <v>105</v>
      </c>
      <c r="K422" s="1" t="s">
        <v>53</v>
      </c>
      <c r="L422" s="1" t="s">
        <v>153</v>
      </c>
      <c r="M422" s="1">
        <v>1899</v>
      </c>
    </row>
    <row r="423" spans="1:13" ht="15.75" customHeight="1">
      <c r="A423" s="1">
        <v>428</v>
      </c>
      <c r="B423" s="1" t="s">
        <v>128</v>
      </c>
      <c r="C423" s="1" t="s">
        <v>570</v>
      </c>
      <c r="D423" s="1" t="s">
        <v>31</v>
      </c>
      <c r="E423" s="1">
        <v>12.3</v>
      </c>
      <c r="F423" s="1" t="s">
        <v>571</v>
      </c>
      <c r="G423" s="1" t="s">
        <v>529</v>
      </c>
      <c r="H423" s="1" t="s">
        <v>246</v>
      </c>
      <c r="I423" s="1" t="s">
        <v>131</v>
      </c>
      <c r="J423" s="1" t="s">
        <v>144</v>
      </c>
      <c r="K423" s="1" t="s">
        <v>53</v>
      </c>
      <c r="L423" s="1" t="s">
        <v>199</v>
      </c>
      <c r="M423" s="1">
        <v>449</v>
      </c>
    </row>
    <row r="424" spans="1:13" ht="15.75" customHeight="1">
      <c r="A424" s="1">
        <v>429</v>
      </c>
      <c r="B424" s="1" t="s">
        <v>29</v>
      </c>
      <c r="C424" s="1" t="s">
        <v>572</v>
      </c>
      <c r="D424" s="1" t="s">
        <v>31</v>
      </c>
      <c r="E424" s="1">
        <v>15.6</v>
      </c>
      <c r="F424" s="1" t="s">
        <v>32</v>
      </c>
      <c r="G424" s="1" t="s">
        <v>464</v>
      </c>
      <c r="H424" s="1" t="s">
        <v>18</v>
      </c>
      <c r="I424" s="1" t="s">
        <v>34</v>
      </c>
      <c r="J424" s="1" t="s">
        <v>452</v>
      </c>
      <c r="K424" s="1" t="s">
        <v>53</v>
      </c>
      <c r="L424" s="1" t="s">
        <v>573</v>
      </c>
      <c r="M424" s="1">
        <v>1427</v>
      </c>
    </row>
    <row r="425" spans="1:13" ht="15.75" customHeight="1">
      <c r="A425" s="1">
        <v>430</v>
      </c>
      <c r="B425" s="1" t="s">
        <v>60</v>
      </c>
      <c r="C425" s="1" t="s">
        <v>574</v>
      </c>
      <c r="D425" s="1" t="s">
        <v>31</v>
      </c>
      <c r="E425" s="1">
        <v>15.6</v>
      </c>
      <c r="F425" s="1" t="s">
        <v>32</v>
      </c>
      <c r="G425" s="1" t="s">
        <v>88</v>
      </c>
      <c r="H425" s="1" t="s">
        <v>18</v>
      </c>
      <c r="I425" s="1" t="s">
        <v>89</v>
      </c>
      <c r="J425" s="1" t="s">
        <v>90</v>
      </c>
      <c r="K425" s="1" t="s">
        <v>147</v>
      </c>
      <c r="L425" s="1" t="s">
        <v>116</v>
      </c>
      <c r="M425" s="1">
        <v>597</v>
      </c>
    </row>
    <row r="426" spans="1:13" ht="15.75" customHeight="1">
      <c r="A426" s="1">
        <v>431</v>
      </c>
      <c r="B426" s="1" t="s">
        <v>74</v>
      </c>
      <c r="C426" s="1" t="s">
        <v>390</v>
      </c>
      <c r="D426" s="1" t="s">
        <v>102</v>
      </c>
      <c r="E426" s="1">
        <v>17.3</v>
      </c>
      <c r="F426" s="1" t="s">
        <v>539</v>
      </c>
      <c r="G426" s="1" t="s">
        <v>367</v>
      </c>
      <c r="H426" s="1" t="s">
        <v>40</v>
      </c>
      <c r="I426" s="1" t="s">
        <v>156</v>
      </c>
      <c r="J426" s="1" t="s">
        <v>192</v>
      </c>
      <c r="K426" s="1" t="s">
        <v>53</v>
      </c>
      <c r="L426" s="1" t="s">
        <v>391</v>
      </c>
      <c r="M426" s="1">
        <v>2799</v>
      </c>
    </row>
    <row r="427" spans="1:13" ht="15.75" customHeight="1">
      <c r="A427" s="1">
        <v>432</v>
      </c>
      <c r="B427" s="1" t="s">
        <v>74</v>
      </c>
      <c r="C427" s="1" t="s">
        <v>154</v>
      </c>
      <c r="D427" s="1" t="s">
        <v>102</v>
      </c>
      <c r="E427" s="1">
        <v>15.6</v>
      </c>
      <c r="F427" s="1" t="s">
        <v>66</v>
      </c>
      <c r="G427" s="1" t="s">
        <v>155</v>
      </c>
      <c r="H427" s="1" t="s">
        <v>18</v>
      </c>
      <c r="I427" s="1" t="s">
        <v>104</v>
      </c>
      <c r="J427" s="1" t="s">
        <v>201</v>
      </c>
      <c r="K427" s="1" t="s">
        <v>53</v>
      </c>
      <c r="L427" s="1" t="s">
        <v>249</v>
      </c>
      <c r="M427" s="1">
        <v>1159</v>
      </c>
    </row>
    <row r="428" spans="1:13" ht="15.75" customHeight="1">
      <c r="A428" s="1">
        <v>433</v>
      </c>
      <c r="B428" s="1" t="s">
        <v>74</v>
      </c>
      <c r="C428" s="1" t="s">
        <v>120</v>
      </c>
      <c r="D428" s="1" t="s">
        <v>31</v>
      </c>
      <c r="E428" s="1">
        <v>15.6</v>
      </c>
      <c r="F428" s="1" t="s">
        <v>32</v>
      </c>
      <c r="G428" s="1" t="s">
        <v>62</v>
      </c>
      <c r="H428" s="1" t="s">
        <v>18</v>
      </c>
      <c r="I428" s="1" t="s">
        <v>191</v>
      </c>
      <c r="J428" s="1" t="s">
        <v>121</v>
      </c>
      <c r="K428" s="1" t="s">
        <v>53</v>
      </c>
      <c r="L428" s="1" t="s">
        <v>222</v>
      </c>
      <c r="M428" s="1">
        <v>1142.4000000000001</v>
      </c>
    </row>
    <row r="429" spans="1:13" ht="15.75" customHeight="1">
      <c r="A429" s="1">
        <v>434</v>
      </c>
      <c r="B429" s="1" t="s">
        <v>74</v>
      </c>
      <c r="C429" s="1" t="s">
        <v>575</v>
      </c>
      <c r="D429" s="1" t="s">
        <v>15</v>
      </c>
      <c r="E429" s="1">
        <v>14</v>
      </c>
      <c r="F429" s="1" t="s">
        <v>32</v>
      </c>
      <c r="G429" s="1" t="s">
        <v>476</v>
      </c>
      <c r="H429" s="1" t="s">
        <v>18</v>
      </c>
      <c r="I429" s="1" t="s">
        <v>34</v>
      </c>
      <c r="J429" s="1" t="s">
        <v>35</v>
      </c>
      <c r="K429" s="1" t="s">
        <v>147</v>
      </c>
      <c r="L429" s="1" t="s">
        <v>69</v>
      </c>
      <c r="M429" s="1">
        <v>1099</v>
      </c>
    </row>
    <row r="430" spans="1:13" ht="15.75" customHeight="1">
      <c r="A430" s="1">
        <v>435</v>
      </c>
      <c r="B430" s="1" t="s">
        <v>29</v>
      </c>
      <c r="C430" s="1" t="s">
        <v>576</v>
      </c>
      <c r="D430" s="1" t="s">
        <v>102</v>
      </c>
      <c r="E430" s="1">
        <v>17.3</v>
      </c>
      <c r="F430" s="1" t="s">
        <v>32</v>
      </c>
      <c r="G430" s="1" t="s">
        <v>155</v>
      </c>
      <c r="H430" s="1" t="s">
        <v>162</v>
      </c>
      <c r="I430" s="1" t="s">
        <v>156</v>
      </c>
      <c r="J430" s="1" t="s">
        <v>192</v>
      </c>
      <c r="K430" s="1" t="s">
        <v>53</v>
      </c>
      <c r="L430" s="1" t="s">
        <v>371</v>
      </c>
      <c r="M430" s="1">
        <v>1999</v>
      </c>
    </row>
    <row r="431" spans="1:13" ht="15.75" customHeight="1">
      <c r="A431" s="1">
        <v>436</v>
      </c>
      <c r="B431" s="1" t="s">
        <v>577</v>
      </c>
      <c r="C431" s="1" t="s">
        <v>578</v>
      </c>
      <c r="D431" s="1" t="s">
        <v>111</v>
      </c>
      <c r="E431" s="1">
        <v>11.6</v>
      </c>
      <c r="F431" s="1" t="s">
        <v>92</v>
      </c>
      <c r="G431" s="1" t="s">
        <v>143</v>
      </c>
      <c r="H431" s="1" t="s">
        <v>50</v>
      </c>
      <c r="I431" s="1" t="s">
        <v>205</v>
      </c>
      <c r="J431" s="1" t="s">
        <v>144</v>
      </c>
      <c r="K431" s="1" t="s">
        <v>53</v>
      </c>
      <c r="L431" s="1" t="s">
        <v>579</v>
      </c>
      <c r="M431" s="1">
        <v>299</v>
      </c>
    </row>
    <row r="432" spans="1:13" ht="15.75" customHeight="1">
      <c r="A432" s="1">
        <v>437</v>
      </c>
      <c r="B432" s="1" t="s">
        <v>580</v>
      </c>
      <c r="C432" s="1" t="s">
        <v>581</v>
      </c>
      <c r="D432" s="1" t="s">
        <v>95</v>
      </c>
      <c r="E432" s="1">
        <v>11.6</v>
      </c>
      <c r="F432" s="1" t="s">
        <v>48</v>
      </c>
      <c r="G432" s="1" t="s">
        <v>204</v>
      </c>
      <c r="H432" s="1" t="s">
        <v>50</v>
      </c>
      <c r="I432" s="1" t="s">
        <v>486</v>
      </c>
      <c r="J432" s="1" t="s">
        <v>99</v>
      </c>
      <c r="K432" s="1" t="s">
        <v>456</v>
      </c>
      <c r="L432" s="1" t="s">
        <v>561</v>
      </c>
      <c r="M432" s="1">
        <v>269</v>
      </c>
    </row>
    <row r="433" spans="1:13" ht="15.75" customHeight="1">
      <c r="A433" s="1">
        <v>438</v>
      </c>
      <c r="B433" s="1" t="s">
        <v>86</v>
      </c>
      <c r="C433" s="1" t="s">
        <v>582</v>
      </c>
      <c r="D433" s="1" t="s">
        <v>31</v>
      </c>
      <c r="E433" s="1">
        <v>13.3</v>
      </c>
      <c r="F433" s="1" t="s">
        <v>66</v>
      </c>
      <c r="G433" s="1" t="s">
        <v>83</v>
      </c>
      <c r="H433" s="1" t="s">
        <v>18</v>
      </c>
      <c r="I433" s="1" t="s">
        <v>34</v>
      </c>
      <c r="J433" s="1" t="s">
        <v>35</v>
      </c>
      <c r="K433" s="1" t="s">
        <v>53</v>
      </c>
      <c r="L433" s="1" t="s">
        <v>199</v>
      </c>
      <c r="M433" s="1">
        <v>1010</v>
      </c>
    </row>
    <row r="434" spans="1:13" ht="15.75" customHeight="1">
      <c r="A434" s="1">
        <v>439</v>
      </c>
      <c r="B434" s="1" t="s">
        <v>86</v>
      </c>
      <c r="C434" s="1" t="s">
        <v>583</v>
      </c>
      <c r="D434" s="1" t="s">
        <v>31</v>
      </c>
      <c r="E434" s="1">
        <v>14</v>
      </c>
      <c r="F434" s="1" t="s">
        <v>66</v>
      </c>
      <c r="G434" s="1" t="s">
        <v>146</v>
      </c>
      <c r="H434" s="1" t="s">
        <v>50</v>
      </c>
      <c r="I434" s="1" t="s">
        <v>19</v>
      </c>
      <c r="J434" s="1" t="s">
        <v>35</v>
      </c>
      <c r="K434" s="1" t="s">
        <v>53</v>
      </c>
      <c r="L434" s="1" t="s">
        <v>196</v>
      </c>
      <c r="M434" s="1">
        <v>599</v>
      </c>
    </row>
    <row r="435" spans="1:13" ht="15.75" customHeight="1">
      <c r="A435" s="1">
        <v>440</v>
      </c>
      <c r="B435" s="1" t="s">
        <v>86</v>
      </c>
      <c r="C435" s="1" t="s">
        <v>451</v>
      </c>
      <c r="D435" s="1" t="s">
        <v>378</v>
      </c>
      <c r="E435" s="1">
        <v>15.6</v>
      </c>
      <c r="F435" s="1" t="s">
        <v>372</v>
      </c>
      <c r="G435" s="1" t="s">
        <v>476</v>
      </c>
      <c r="H435" s="1" t="s">
        <v>40</v>
      </c>
      <c r="I435" s="1" t="s">
        <v>41</v>
      </c>
      <c r="J435" s="1" t="s">
        <v>90</v>
      </c>
      <c r="K435" s="1" t="s">
        <v>53</v>
      </c>
      <c r="L435" s="1" t="s">
        <v>116</v>
      </c>
      <c r="M435" s="1">
        <v>2445</v>
      </c>
    </row>
    <row r="436" spans="1:13" ht="15.75" customHeight="1">
      <c r="A436" s="1">
        <v>441</v>
      </c>
      <c r="B436" s="1" t="s">
        <v>86</v>
      </c>
      <c r="C436" s="1" t="s">
        <v>584</v>
      </c>
      <c r="D436" s="1" t="s">
        <v>31</v>
      </c>
      <c r="E436" s="1">
        <v>15.6</v>
      </c>
      <c r="F436" s="1" t="s">
        <v>32</v>
      </c>
      <c r="G436" s="1" t="s">
        <v>464</v>
      </c>
      <c r="H436" s="1" t="s">
        <v>40</v>
      </c>
      <c r="I436" s="1" t="s">
        <v>41</v>
      </c>
      <c r="J436" s="1" t="s">
        <v>585</v>
      </c>
      <c r="K436" s="1" t="s">
        <v>53</v>
      </c>
      <c r="L436" s="1" t="s">
        <v>106</v>
      </c>
      <c r="M436" s="1">
        <v>2449</v>
      </c>
    </row>
    <row r="437" spans="1:13" ht="15.75" customHeight="1">
      <c r="A437" s="1">
        <v>442</v>
      </c>
      <c r="B437" s="1" t="s">
        <v>60</v>
      </c>
      <c r="C437" s="1" t="s">
        <v>168</v>
      </c>
      <c r="D437" s="1" t="s">
        <v>102</v>
      </c>
      <c r="E437" s="1">
        <v>17.3</v>
      </c>
      <c r="F437" s="1" t="s">
        <v>32</v>
      </c>
      <c r="G437" s="1" t="s">
        <v>586</v>
      </c>
      <c r="H437" s="1" t="s">
        <v>18</v>
      </c>
      <c r="I437" s="1" t="s">
        <v>156</v>
      </c>
      <c r="J437" s="1" t="s">
        <v>170</v>
      </c>
      <c r="K437" s="1" t="s">
        <v>53</v>
      </c>
      <c r="L437" s="1" t="s">
        <v>171</v>
      </c>
      <c r="M437" s="1">
        <v>1695</v>
      </c>
    </row>
    <row r="438" spans="1:13" ht="15.75" customHeight="1">
      <c r="A438" s="1">
        <v>443</v>
      </c>
      <c r="B438" s="1" t="s">
        <v>29</v>
      </c>
      <c r="C438" s="1" t="s">
        <v>587</v>
      </c>
      <c r="D438" s="1" t="s">
        <v>31</v>
      </c>
      <c r="E438" s="1">
        <v>15.6</v>
      </c>
      <c r="F438" s="1" t="s">
        <v>48</v>
      </c>
      <c r="G438" s="1" t="s">
        <v>204</v>
      </c>
      <c r="H438" s="1" t="s">
        <v>50</v>
      </c>
      <c r="I438" s="1" t="s">
        <v>51</v>
      </c>
      <c r="J438" s="1" t="s">
        <v>99</v>
      </c>
      <c r="K438" s="1" t="s">
        <v>53</v>
      </c>
      <c r="L438" s="1" t="s">
        <v>54</v>
      </c>
      <c r="M438" s="1">
        <v>347</v>
      </c>
    </row>
    <row r="439" spans="1:13" ht="15.75" customHeight="1">
      <c r="A439" s="1">
        <v>444</v>
      </c>
      <c r="B439" s="1" t="s">
        <v>588</v>
      </c>
      <c r="C439" s="1" t="s">
        <v>589</v>
      </c>
      <c r="D439" s="1" t="s">
        <v>15</v>
      </c>
      <c r="E439" s="1">
        <v>12.3</v>
      </c>
      <c r="F439" s="1" t="s">
        <v>590</v>
      </c>
      <c r="G439" s="1" t="s">
        <v>591</v>
      </c>
      <c r="H439" s="1" t="s">
        <v>40</v>
      </c>
      <c r="I439" s="1" t="s">
        <v>41</v>
      </c>
      <c r="J439" s="1" t="s">
        <v>81</v>
      </c>
      <c r="K439" s="1" t="s">
        <v>456</v>
      </c>
      <c r="L439" s="1" t="s">
        <v>319</v>
      </c>
      <c r="M439" s="1">
        <v>2199</v>
      </c>
    </row>
    <row r="440" spans="1:13" ht="15.75" customHeight="1">
      <c r="A440" s="1">
        <v>445</v>
      </c>
      <c r="B440" s="1" t="s">
        <v>86</v>
      </c>
      <c r="C440" s="1" t="s">
        <v>592</v>
      </c>
      <c r="D440" s="1" t="s">
        <v>15</v>
      </c>
      <c r="E440" s="1">
        <v>14</v>
      </c>
      <c r="F440" s="1" t="s">
        <v>593</v>
      </c>
      <c r="G440" s="1" t="s">
        <v>83</v>
      </c>
      <c r="H440" s="1" t="s">
        <v>594</v>
      </c>
      <c r="I440" s="1" t="s">
        <v>41</v>
      </c>
      <c r="J440" s="1" t="s">
        <v>35</v>
      </c>
      <c r="K440" s="1" t="s">
        <v>53</v>
      </c>
      <c r="L440" s="1" t="s">
        <v>288</v>
      </c>
      <c r="M440" s="1">
        <v>2382</v>
      </c>
    </row>
    <row r="441" spans="1:13" ht="15.75" customHeight="1">
      <c r="A441" s="1">
        <v>446</v>
      </c>
      <c r="B441" s="1" t="s">
        <v>60</v>
      </c>
      <c r="C441" s="1" t="s">
        <v>188</v>
      </c>
      <c r="D441" s="1" t="s">
        <v>31</v>
      </c>
      <c r="E441" s="1">
        <v>15.6</v>
      </c>
      <c r="F441" s="1" t="s">
        <v>32</v>
      </c>
      <c r="G441" s="1" t="s">
        <v>33</v>
      </c>
      <c r="H441" s="1" t="s">
        <v>50</v>
      </c>
      <c r="I441" s="1" t="s">
        <v>34</v>
      </c>
      <c r="J441" s="1" t="s">
        <v>35</v>
      </c>
      <c r="K441" s="1" t="s">
        <v>147</v>
      </c>
      <c r="L441" s="1" t="s">
        <v>153</v>
      </c>
      <c r="M441" s="1">
        <v>559</v>
      </c>
    </row>
    <row r="442" spans="1:13" ht="15.75" customHeight="1">
      <c r="A442" s="1">
        <v>447</v>
      </c>
      <c r="B442" s="1" t="s">
        <v>86</v>
      </c>
      <c r="C442" s="1" t="s">
        <v>228</v>
      </c>
      <c r="D442" s="1" t="s">
        <v>31</v>
      </c>
      <c r="E442" s="1">
        <v>17.3</v>
      </c>
      <c r="F442" s="1" t="s">
        <v>364</v>
      </c>
      <c r="G442" s="1" t="s">
        <v>138</v>
      </c>
      <c r="H442" s="1" t="s">
        <v>18</v>
      </c>
      <c r="I442" s="1" t="s">
        <v>89</v>
      </c>
      <c r="J442" s="1" t="s">
        <v>595</v>
      </c>
      <c r="K442" s="1" t="s">
        <v>53</v>
      </c>
      <c r="L442" s="1" t="s">
        <v>149</v>
      </c>
      <c r="M442" s="1">
        <v>519</v>
      </c>
    </row>
    <row r="443" spans="1:13" ht="15.75" customHeight="1">
      <c r="A443" s="1">
        <v>448</v>
      </c>
      <c r="B443" s="1" t="s">
        <v>74</v>
      </c>
      <c r="C443" s="1" t="s">
        <v>120</v>
      </c>
      <c r="D443" s="1" t="s">
        <v>31</v>
      </c>
      <c r="E443" s="1">
        <v>15.6</v>
      </c>
      <c r="F443" s="1" t="s">
        <v>32</v>
      </c>
      <c r="G443" s="1" t="s">
        <v>67</v>
      </c>
      <c r="H443" s="1" t="s">
        <v>50</v>
      </c>
      <c r="I443" s="1" t="s">
        <v>34</v>
      </c>
      <c r="J443" s="1" t="s">
        <v>121</v>
      </c>
      <c r="K443" s="1" t="s">
        <v>53</v>
      </c>
      <c r="L443" s="1" t="s">
        <v>77</v>
      </c>
      <c r="M443" s="1">
        <v>749</v>
      </c>
    </row>
    <row r="444" spans="1:13" ht="15.75" customHeight="1">
      <c r="A444" s="1">
        <v>449</v>
      </c>
      <c r="B444" s="1" t="s">
        <v>86</v>
      </c>
      <c r="C444" s="1" t="s">
        <v>596</v>
      </c>
      <c r="D444" s="1" t="s">
        <v>15</v>
      </c>
      <c r="E444" s="1">
        <v>12.5</v>
      </c>
      <c r="F444" s="1" t="s">
        <v>66</v>
      </c>
      <c r="G444" s="1" t="s">
        <v>33</v>
      </c>
      <c r="H444" s="1" t="s">
        <v>18</v>
      </c>
      <c r="I444" s="1" t="s">
        <v>34</v>
      </c>
      <c r="J444" s="1" t="s">
        <v>35</v>
      </c>
      <c r="K444" s="1" t="s">
        <v>53</v>
      </c>
      <c r="L444" s="1" t="s">
        <v>443</v>
      </c>
      <c r="M444" s="1">
        <v>1429</v>
      </c>
    </row>
    <row r="445" spans="1:13" ht="15.75" customHeight="1">
      <c r="A445" s="1">
        <v>450</v>
      </c>
      <c r="B445" s="1" t="s">
        <v>86</v>
      </c>
      <c r="C445" s="1" t="s">
        <v>474</v>
      </c>
      <c r="D445" s="1" t="s">
        <v>31</v>
      </c>
      <c r="E445" s="1">
        <v>15.6</v>
      </c>
      <c r="F445" s="1" t="s">
        <v>32</v>
      </c>
      <c r="G445" s="1" t="s">
        <v>173</v>
      </c>
      <c r="H445" s="1" t="s">
        <v>50</v>
      </c>
      <c r="I445" s="1" t="s">
        <v>19</v>
      </c>
      <c r="J445" s="1" t="s">
        <v>329</v>
      </c>
      <c r="K445" s="1" t="s">
        <v>53</v>
      </c>
      <c r="L445" s="1" t="s">
        <v>77</v>
      </c>
      <c r="M445" s="1">
        <v>349</v>
      </c>
    </row>
    <row r="446" spans="1:13" ht="15.75" customHeight="1">
      <c r="A446" s="1">
        <v>451</v>
      </c>
      <c r="B446" s="1" t="s">
        <v>29</v>
      </c>
      <c r="C446" s="1" t="s">
        <v>597</v>
      </c>
      <c r="D446" s="1" t="s">
        <v>102</v>
      </c>
      <c r="E446" s="1">
        <v>15.6</v>
      </c>
      <c r="F446" s="1" t="s">
        <v>66</v>
      </c>
      <c r="G446" s="1" t="s">
        <v>155</v>
      </c>
      <c r="H446" s="1" t="s">
        <v>18</v>
      </c>
      <c r="I446" s="1" t="s">
        <v>104</v>
      </c>
      <c r="J446" s="1" t="s">
        <v>105</v>
      </c>
      <c r="K446" s="1" t="s">
        <v>53</v>
      </c>
      <c r="L446" s="1" t="s">
        <v>77</v>
      </c>
      <c r="M446" s="1">
        <v>1099</v>
      </c>
    </row>
    <row r="447" spans="1:13" ht="15.75" customHeight="1">
      <c r="A447" s="1">
        <v>452</v>
      </c>
      <c r="B447" s="1" t="s">
        <v>74</v>
      </c>
      <c r="C447" s="1" t="s">
        <v>575</v>
      </c>
      <c r="D447" s="1" t="s">
        <v>31</v>
      </c>
      <c r="E447" s="1">
        <v>14</v>
      </c>
      <c r="F447" s="1" t="s">
        <v>32</v>
      </c>
      <c r="G447" s="1" t="s">
        <v>598</v>
      </c>
      <c r="H447" s="1" t="s">
        <v>18</v>
      </c>
      <c r="I447" s="1" t="s">
        <v>34</v>
      </c>
      <c r="J447" s="1" t="s">
        <v>127</v>
      </c>
      <c r="K447" s="1" t="s">
        <v>53</v>
      </c>
      <c r="L447" s="1" t="s">
        <v>599</v>
      </c>
      <c r="M447" s="1">
        <v>1179</v>
      </c>
    </row>
    <row r="448" spans="1:13" ht="15.75" customHeight="1">
      <c r="A448" s="1">
        <v>453</v>
      </c>
      <c r="B448" s="1" t="s">
        <v>46</v>
      </c>
      <c r="C448" s="1" t="s">
        <v>600</v>
      </c>
      <c r="D448" s="1" t="s">
        <v>31</v>
      </c>
      <c r="E448" s="1">
        <v>15.6</v>
      </c>
      <c r="F448" s="1" t="s">
        <v>48</v>
      </c>
      <c r="G448" s="1" t="s">
        <v>33</v>
      </c>
      <c r="H448" s="1" t="s">
        <v>50</v>
      </c>
      <c r="I448" s="1" t="s">
        <v>51</v>
      </c>
      <c r="J448" s="1" t="s">
        <v>35</v>
      </c>
      <c r="K448" s="1" t="s">
        <v>147</v>
      </c>
      <c r="L448" s="1" t="s">
        <v>183</v>
      </c>
      <c r="M448" s="1">
        <v>441.8</v>
      </c>
    </row>
    <row r="449" spans="1:13" ht="15.75" customHeight="1">
      <c r="A449" s="1">
        <v>454</v>
      </c>
      <c r="B449" s="1" t="s">
        <v>74</v>
      </c>
      <c r="C449" s="1" t="s">
        <v>601</v>
      </c>
      <c r="D449" s="1" t="s">
        <v>378</v>
      </c>
      <c r="E449" s="1">
        <v>15.6</v>
      </c>
      <c r="F449" s="1" t="s">
        <v>32</v>
      </c>
      <c r="G449" s="1" t="s">
        <v>380</v>
      </c>
      <c r="H449" s="1" t="s">
        <v>18</v>
      </c>
      <c r="I449" s="1" t="s">
        <v>602</v>
      </c>
      <c r="J449" s="1" t="s">
        <v>603</v>
      </c>
      <c r="K449" s="1" t="s">
        <v>53</v>
      </c>
      <c r="L449" s="1" t="s">
        <v>375</v>
      </c>
      <c r="M449" s="1">
        <v>1993</v>
      </c>
    </row>
    <row r="450" spans="1:13" ht="15.75" customHeight="1">
      <c r="A450" s="1">
        <v>455</v>
      </c>
      <c r="B450" s="1" t="s">
        <v>189</v>
      </c>
      <c r="C450" s="1" t="s">
        <v>604</v>
      </c>
      <c r="D450" s="1" t="s">
        <v>102</v>
      </c>
      <c r="E450" s="1">
        <v>15.6</v>
      </c>
      <c r="F450" s="1" t="s">
        <v>32</v>
      </c>
      <c r="G450" s="1" t="s">
        <v>103</v>
      </c>
      <c r="H450" s="1" t="s">
        <v>18</v>
      </c>
      <c r="I450" s="1" t="s">
        <v>34</v>
      </c>
      <c r="J450" s="1" t="s">
        <v>105</v>
      </c>
      <c r="K450" s="1" t="s">
        <v>53</v>
      </c>
      <c r="L450" s="1" t="s">
        <v>77</v>
      </c>
      <c r="M450" s="1">
        <v>1027.74</v>
      </c>
    </row>
    <row r="451" spans="1:13" ht="15.75" customHeight="1">
      <c r="A451" s="1">
        <v>456</v>
      </c>
      <c r="B451" s="1" t="s">
        <v>210</v>
      </c>
      <c r="C451" s="1" t="s">
        <v>211</v>
      </c>
      <c r="D451" s="1" t="s">
        <v>15</v>
      </c>
      <c r="E451" s="1">
        <v>13.5</v>
      </c>
      <c r="F451" s="1" t="s">
        <v>212</v>
      </c>
      <c r="G451" s="1" t="s">
        <v>605</v>
      </c>
      <c r="H451" s="1" t="s">
        <v>40</v>
      </c>
      <c r="I451" s="1" t="s">
        <v>41</v>
      </c>
      <c r="J451" s="1" t="s">
        <v>20</v>
      </c>
      <c r="K451" s="1" t="s">
        <v>213</v>
      </c>
      <c r="L451" s="1" t="s">
        <v>242</v>
      </c>
      <c r="M451" s="1">
        <v>2589</v>
      </c>
    </row>
    <row r="452" spans="1:13" ht="15.75" customHeight="1">
      <c r="A452" s="1">
        <v>457</v>
      </c>
      <c r="B452" s="1" t="s">
        <v>29</v>
      </c>
      <c r="C452" s="1" t="s">
        <v>606</v>
      </c>
      <c r="D452" s="1" t="s">
        <v>31</v>
      </c>
      <c r="E452" s="1">
        <v>15.6</v>
      </c>
      <c r="F452" s="1" t="s">
        <v>48</v>
      </c>
      <c r="G452" s="1" t="s">
        <v>33</v>
      </c>
      <c r="H452" s="1" t="s">
        <v>18</v>
      </c>
      <c r="I452" s="1" t="s">
        <v>19</v>
      </c>
      <c r="J452" s="1" t="s">
        <v>35</v>
      </c>
      <c r="K452" s="1" t="s">
        <v>53</v>
      </c>
      <c r="L452" s="1" t="s">
        <v>115</v>
      </c>
      <c r="M452" s="1">
        <v>589</v>
      </c>
    </row>
    <row r="453" spans="1:13" ht="15.75" customHeight="1">
      <c r="A453" s="1">
        <v>458</v>
      </c>
      <c r="B453" s="1" t="s">
        <v>74</v>
      </c>
      <c r="C453" s="1" t="s">
        <v>601</v>
      </c>
      <c r="D453" s="1" t="s">
        <v>378</v>
      </c>
      <c r="E453" s="1">
        <v>15.6</v>
      </c>
      <c r="F453" s="1" t="s">
        <v>66</v>
      </c>
      <c r="G453" s="1" t="s">
        <v>546</v>
      </c>
      <c r="H453" s="1" t="s">
        <v>40</v>
      </c>
      <c r="I453" s="1" t="s">
        <v>34</v>
      </c>
      <c r="J453" s="1" t="s">
        <v>603</v>
      </c>
      <c r="K453" s="1" t="s">
        <v>53</v>
      </c>
      <c r="L453" s="1" t="s">
        <v>607</v>
      </c>
      <c r="M453" s="1">
        <v>1975</v>
      </c>
    </row>
    <row r="454" spans="1:13" ht="15.75" customHeight="1">
      <c r="A454" s="1">
        <v>459</v>
      </c>
      <c r="B454" s="1" t="s">
        <v>29</v>
      </c>
      <c r="C454" s="1" t="s">
        <v>572</v>
      </c>
      <c r="D454" s="1" t="s">
        <v>378</v>
      </c>
      <c r="E454" s="1">
        <v>15.6</v>
      </c>
      <c r="F454" s="1" t="s">
        <v>66</v>
      </c>
      <c r="G454" s="1" t="s">
        <v>464</v>
      </c>
      <c r="H454" s="1" t="s">
        <v>18</v>
      </c>
      <c r="I454" s="1" t="s">
        <v>41</v>
      </c>
      <c r="J454" s="1" t="s">
        <v>35</v>
      </c>
      <c r="K454" s="1" t="s">
        <v>53</v>
      </c>
      <c r="L454" s="1" t="s">
        <v>573</v>
      </c>
      <c r="M454" s="1">
        <v>1534</v>
      </c>
    </row>
    <row r="455" spans="1:13" ht="15.75" customHeight="1">
      <c r="A455" s="1">
        <v>460</v>
      </c>
      <c r="B455" s="1" t="s">
        <v>86</v>
      </c>
      <c r="C455" s="1" t="s">
        <v>608</v>
      </c>
      <c r="D455" s="1" t="s">
        <v>31</v>
      </c>
      <c r="E455" s="1">
        <v>14</v>
      </c>
      <c r="F455" s="1" t="s">
        <v>32</v>
      </c>
      <c r="G455" s="1" t="s">
        <v>33</v>
      </c>
      <c r="H455" s="1" t="s">
        <v>18</v>
      </c>
      <c r="I455" s="1" t="s">
        <v>34</v>
      </c>
      <c r="J455" s="1" t="s">
        <v>35</v>
      </c>
      <c r="K455" s="1" t="s">
        <v>53</v>
      </c>
      <c r="L455" s="1" t="s">
        <v>136</v>
      </c>
      <c r="M455" s="1">
        <v>1345</v>
      </c>
    </row>
    <row r="456" spans="1:13" ht="15.75" customHeight="1">
      <c r="A456" s="1">
        <v>461</v>
      </c>
      <c r="B456" s="1" t="s">
        <v>74</v>
      </c>
      <c r="C456" s="1" t="s">
        <v>120</v>
      </c>
      <c r="D456" s="1" t="s">
        <v>31</v>
      </c>
      <c r="E456" s="1">
        <v>15.6</v>
      </c>
      <c r="F456" s="1" t="s">
        <v>32</v>
      </c>
      <c r="G456" s="1" t="s">
        <v>62</v>
      </c>
      <c r="H456" s="1" t="s">
        <v>18</v>
      </c>
      <c r="I456" s="1" t="s">
        <v>104</v>
      </c>
      <c r="J456" s="1" t="s">
        <v>121</v>
      </c>
      <c r="K456" s="1" t="s">
        <v>53</v>
      </c>
      <c r="L456" s="1" t="s">
        <v>281</v>
      </c>
      <c r="M456" s="1">
        <v>979</v>
      </c>
    </row>
    <row r="457" spans="1:13" ht="15.75" customHeight="1">
      <c r="A457" s="1">
        <v>462</v>
      </c>
      <c r="B457" s="1" t="s">
        <v>74</v>
      </c>
      <c r="C457" s="1" t="s">
        <v>609</v>
      </c>
      <c r="D457" s="1" t="s">
        <v>111</v>
      </c>
      <c r="E457" s="1">
        <v>11.6</v>
      </c>
      <c r="F457" s="1" t="s">
        <v>382</v>
      </c>
      <c r="G457" s="1" t="s">
        <v>491</v>
      </c>
      <c r="H457" s="1" t="s">
        <v>50</v>
      </c>
      <c r="I457" s="1" t="s">
        <v>51</v>
      </c>
      <c r="J457" s="1" t="s">
        <v>492</v>
      </c>
      <c r="K457" s="1" t="s">
        <v>53</v>
      </c>
      <c r="L457" s="1" t="s">
        <v>610</v>
      </c>
      <c r="M457" s="1">
        <v>479</v>
      </c>
    </row>
    <row r="458" spans="1:13" ht="15.75" customHeight="1">
      <c r="A458" s="1">
        <v>463</v>
      </c>
      <c r="B458" s="1" t="s">
        <v>74</v>
      </c>
      <c r="C458" s="1" t="s">
        <v>390</v>
      </c>
      <c r="D458" s="1" t="s">
        <v>31</v>
      </c>
      <c r="E458" s="1">
        <v>17.3</v>
      </c>
      <c r="F458" s="1" t="s">
        <v>66</v>
      </c>
      <c r="G458" s="1" t="s">
        <v>611</v>
      </c>
      <c r="H458" s="1" t="s">
        <v>18</v>
      </c>
      <c r="I458" s="1" t="s">
        <v>89</v>
      </c>
      <c r="J458" s="1" t="s">
        <v>157</v>
      </c>
      <c r="K458" s="1" t="s">
        <v>53</v>
      </c>
      <c r="L458" s="1" t="s">
        <v>391</v>
      </c>
      <c r="M458" s="1">
        <v>2046</v>
      </c>
    </row>
    <row r="459" spans="1:13" ht="15.75" customHeight="1">
      <c r="A459" s="1">
        <v>464</v>
      </c>
      <c r="B459" s="1" t="s">
        <v>210</v>
      </c>
      <c r="C459" s="1" t="s">
        <v>211</v>
      </c>
      <c r="D459" s="1" t="s">
        <v>15</v>
      </c>
      <c r="E459" s="1">
        <v>13.5</v>
      </c>
      <c r="F459" s="1" t="s">
        <v>212</v>
      </c>
      <c r="G459" s="1" t="s">
        <v>612</v>
      </c>
      <c r="H459" s="1" t="s">
        <v>50</v>
      </c>
      <c r="I459" s="1" t="s">
        <v>19</v>
      </c>
      <c r="J459" s="1" t="s">
        <v>81</v>
      </c>
      <c r="K459" s="1" t="s">
        <v>213</v>
      </c>
      <c r="L459" s="1" t="s">
        <v>214</v>
      </c>
      <c r="M459" s="1">
        <v>989</v>
      </c>
    </row>
    <row r="460" spans="1:13" ht="15.75" customHeight="1">
      <c r="A460" s="1">
        <v>465</v>
      </c>
      <c r="B460" s="1" t="s">
        <v>210</v>
      </c>
      <c r="C460" s="1" t="s">
        <v>211</v>
      </c>
      <c r="D460" s="1" t="s">
        <v>15</v>
      </c>
      <c r="E460" s="1">
        <v>13.5</v>
      </c>
      <c r="F460" s="1" t="s">
        <v>212</v>
      </c>
      <c r="G460" s="1" t="s">
        <v>605</v>
      </c>
      <c r="H460" s="1" t="s">
        <v>18</v>
      </c>
      <c r="I460" s="1" t="s">
        <v>34</v>
      </c>
      <c r="J460" s="1" t="s">
        <v>20</v>
      </c>
      <c r="K460" s="1" t="s">
        <v>213</v>
      </c>
      <c r="L460" s="1" t="s">
        <v>242</v>
      </c>
      <c r="M460" s="1">
        <v>1799</v>
      </c>
    </row>
    <row r="461" spans="1:13" ht="15.75" customHeight="1">
      <c r="A461" s="1">
        <v>466</v>
      </c>
      <c r="B461" s="1" t="s">
        <v>29</v>
      </c>
      <c r="C461" s="1" t="s">
        <v>613</v>
      </c>
      <c r="D461" s="1" t="s">
        <v>31</v>
      </c>
      <c r="E461" s="1">
        <v>17.3</v>
      </c>
      <c r="F461" s="1" t="s">
        <v>364</v>
      </c>
      <c r="G461" s="1" t="s">
        <v>70</v>
      </c>
      <c r="H461" s="1" t="s">
        <v>18</v>
      </c>
      <c r="I461" s="1" t="s">
        <v>34</v>
      </c>
      <c r="J461" s="1" t="s">
        <v>71</v>
      </c>
      <c r="K461" s="1" t="s">
        <v>53</v>
      </c>
      <c r="L461" s="1" t="s">
        <v>106</v>
      </c>
      <c r="M461" s="1">
        <v>639.9</v>
      </c>
    </row>
    <row r="462" spans="1:13" ht="15.75" customHeight="1">
      <c r="A462" s="1">
        <v>467</v>
      </c>
      <c r="B462" s="1" t="s">
        <v>46</v>
      </c>
      <c r="C462" s="1" t="s">
        <v>374</v>
      </c>
      <c r="D462" s="1" t="s">
        <v>31</v>
      </c>
      <c r="E462" s="1">
        <v>15.6</v>
      </c>
      <c r="F462" s="1" t="s">
        <v>32</v>
      </c>
      <c r="G462" s="1" t="s">
        <v>70</v>
      </c>
      <c r="H462" s="1" t="s">
        <v>50</v>
      </c>
      <c r="I462" s="1" t="s">
        <v>89</v>
      </c>
      <c r="J462" s="1" t="s">
        <v>90</v>
      </c>
      <c r="K462" s="1" t="s">
        <v>53</v>
      </c>
      <c r="L462" s="1" t="s">
        <v>375</v>
      </c>
      <c r="M462" s="1">
        <v>544</v>
      </c>
    </row>
    <row r="463" spans="1:13" ht="15.75" customHeight="1">
      <c r="A463" s="1">
        <v>468</v>
      </c>
      <c r="B463" s="1" t="s">
        <v>46</v>
      </c>
      <c r="C463" s="1" t="s">
        <v>490</v>
      </c>
      <c r="D463" s="1" t="s">
        <v>95</v>
      </c>
      <c r="E463" s="1">
        <v>11.6</v>
      </c>
      <c r="F463" s="1" t="s">
        <v>48</v>
      </c>
      <c r="G463" s="1" t="s">
        <v>204</v>
      </c>
      <c r="H463" s="1" t="s">
        <v>50</v>
      </c>
      <c r="I463" s="1" t="s">
        <v>19</v>
      </c>
      <c r="J463" s="1" t="s">
        <v>99</v>
      </c>
      <c r="K463" s="1" t="s">
        <v>53</v>
      </c>
      <c r="L463" s="1" t="s">
        <v>199</v>
      </c>
      <c r="M463" s="1">
        <v>435</v>
      </c>
    </row>
    <row r="464" spans="1:13" ht="15.75" customHeight="1">
      <c r="A464" s="1">
        <v>469</v>
      </c>
      <c r="B464" s="1" t="s">
        <v>60</v>
      </c>
      <c r="C464" s="1" t="s">
        <v>614</v>
      </c>
      <c r="D464" s="1" t="s">
        <v>31</v>
      </c>
      <c r="E464" s="1">
        <v>15.6</v>
      </c>
      <c r="F464" s="1" t="s">
        <v>32</v>
      </c>
      <c r="G464" s="1" t="s">
        <v>33</v>
      </c>
      <c r="H464" s="1" t="s">
        <v>18</v>
      </c>
      <c r="I464" s="1" t="s">
        <v>89</v>
      </c>
      <c r="J464" s="1" t="s">
        <v>35</v>
      </c>
      <c r="K464" s="1" t="s">
        <v>53</v>
      </c>
      <c r="L464" s="1" t="s">
        <v>401</v>
      </c>
      <c r="M464" s="1">
        <v>749</v>
      </c>
    </row>
    <row r="465" spans="1:13" ht="15.75" customHeight="1">
      <c r="A465" s="1">
        <v>470</v>
      </c>
      <c r="B465" s="1" t="s">
        <v>86</v>
      </c>
      <c r="C465" s="1" t="s">
        <v>615</v>
      </c>
      <c r="D465" s="1" t="s">
        <v>31</v>
      </c>
      <c r="E465" s="1">
        <v>14</v>
      </c>
      <c r="F465" s="1" t="s">
        <v>66</v>
      </c>
      <c r="G465" s="1" t="s">
        <v>83</v>
      </c>
      <c r="H465" s="1" t="s">
        <v>18</v>
      </c>
      <c r="I465" s="1" t="s">
        <v>41</v>
      </c>
      <c r="J465" s="1" t="s">
        <v>616</v>
      </c>
      <c r="K465" s="1" t="s">
        <v>36</v>
      </c>
      <c r="L465" s="1" t="s">
        <v>244</v>
      </c>
      <c r="M465" s="1">
        <v>799</v>
      </c>
    </row>
    <row r="466" spans="1:13" ht="15.75" customHeight="1">
      <c r="A466" s="1">
        <v>471</v>
      </c>
      <c r="B466" s="1" t="s">
        <v>86</v>
      </c>
      <c r="C466" s="1" t="s">
        <v>584</v>
      </c>
      <c r="D466" s="1" t="s">
        <v>31</v>
      </c>
      <c r="E466" s="1">
        <v>15.6</v>
      </c>
      <c r="F466" s="1" t="s">
        <v>32</v>
      </c>
      <c r="G466" s="1" t="s">
        <v>464</v>
      </c>
      <c r="H466" s="1" t="s">
        <v>18</v>
      </c>
      <c r="I466" s="1" t="s">
        <v>34</v>
      </c>
      <c r="J466" s="1" t="s">
        <v>585</v>
      </c>
      <c r="K466" s="1" t="s">
        <v>53</v>
      </c>
      <c r="L466" s="1" t="s">
        <v>435</v>
      </c>
      <c r="M466" s="1">
        <v>2090</v>
      </c>
    </row>
    <row r="467" spans="1:13" ht="15.75" customHeight="1">
      <c r="A467" s="1">
        <v>472</v>
      </c>
      <c r="B467" s="1" t="s">
        <v>60</v>
      </c>
      <c r="C467" s="1" t="s">
        <v>617</v>
      </c>
      <c r="D467" s="1" t="s">
        <v>31</v>
      </c>
      <c r="E467" s="1">
        <v>15.6</v>
      </c>
      <c r="F467" s="1" t="s">
        <v>48</v>
      </c>
      <c r="G467" s="1" t="s">
        <v>173</v>
      </c>
      <c r="H467" s="1" t="s">
        <v>50</v>
      </c>
      <c r="I467" s="1" t="s">
        <v>51</v>
      </c>
      <c r="J467" s="1" t="s">
        <v>144</v>
      </c>
      <c r="K467" s="1" t="s">
        <v>53</v>
      </c>
      <c r="L467" s="1" t="s">
        <v>153</v>
      </c>
      <c r="M467" s="1">
        <v>304</v>
      </c>
    </row>
    <row r="468" spans="1:13" ht="15.75" customHeight="1">
      <c r="A468" s="1">
        <v>473</v>
      </c>
      <c r="B468" s="1" t="s">
        <v>46</v>
      </c>
      <c r="C468" s="1" t="s">
        <v>239</v>
      </c>
      <c r="D468" s="1" t="s">
        <v>31</v>
      </c>
      <c r="E468" s="1">
        <v>15.6</v>
      </c>
      <c r="F468" s="1" t="s">
        <v>48</v>
      </c>
      <c r="G468" s="1" t="s">
        <v>70</v>
      </c>
      <c r="H468" s="1" t="s">
        <v>50</v>
      </c>
      <c r="I468" s="1" t="s">
        <v>51</v>
      </c>
      <c r="J468" s="1" t="s">
        <v>231</v>
      </c>
      <c r="K468" s="1" t="s">
        <v>53</v>
      </c>
      <c r="L468" s="1" t="s">
        <v>77</v>
      </c>
      <c r="M468" s="1">
        <v>469</v>
      </c>
    </row>
    <row r="469" spans="1:13" ht="15.75" customHeight="1">
      <c r="A469" s="1">
        <v>474</v>
      </c>
      <c r="B469" s="1" t="s">
        <v>74</v>
      </c>
      <c r="C469" s="1" t="s">
        <v>120</v>
      </c>
      <c r="D469" s="1" t="s">
        <v>31</v>
      </c>
      <c r="E469" s="1">
        <v>15.6</v>
      </c>
      <c r="F469" s="1" t="s">
        <v>32</v>
      </c>
      <c r="G469" s="1" t="s">
        <v>67</v>
      </c>
      <c r="H469" s="1" t="s">
        <v>18</v>
      </c>
      <c r="I469" s="1" t="s">
        <v>221</v>
      </c>
      <c r="J469" s="1" t="s">
        <v>121</v>
      </c>
      <c r="K469" s="1" t="s">
        <v>53</v>
      </c>
      <c r="L469" s="1" t="s">
        <v>222</v>
      </c>
      <c r="M469" s="1">
        <v>759</v>
      </c>
    </row>
    <row r="470" spans="1:13" ht="15.75" customHeight="1">
      <c r="A470" s="1">
        <v>475</v>
      </c>
      <c r="B470" s="1" t="s">
        <v>29</v>
      </c>
      <c r="C470" s="1" t="s">
        <v>618</v>
      </c>
      <c r="D470" s="1" t="s">
        <v>102</v>
      </c>
      <c r="E470" s="1">
        <v>17.3</v>
      </c>
      <c r="F470" s="1" t="s">
        <v>66</v>
      </c>
      <c r="G470" s="1" t="s">
        <v>155</v>
      </c>
      <c r="H470" s="1" t="s">
        <v>162</v>
      </c>
      <c r="I470" s="1" t="s">
        <v>89</v>
      </c>
      <c r="J470" s="1" t="s">
        <v>157</v>
      </c>
      <c r="K470" s="1" t="s">
        <v>53</v>
      </c>
      <c r="L470" s="1" t="s">
        <v>619</v>
      </c>
      <c r="M470" s="1">
        <v>1699</v>
      </c>
    </row>
    <row r="471" spans="1:13" ht="15.75" customHeight="1">
      <c r="A471" s="1">
        <v>476</v>
      </c>
      <c r="B471" s="1" t="s">
        <v>86</v>
      </c>
      <c r="C471" s="1" t="s">
        <v>620</v>
      </c>
      <c r="D471" s="1" t="s">
        <v>15</v>
      </c>
      <c r="E471" s="1">
        <v>14</v>
      </c>
      <c r="F471" s="1" t="s">
        <v>621</v>
      </c>
      <c r="G471" s="1" t="s">
        <v>442</v>
      </c>
      <c r="H471" s="1" t="s">
        <v>162</v>
      </c>
      <c r="I471" s="1" t="s">
        <v>34</v>
      </c>
      <c r="J471" s="1" t="s">
        <v>71</v>
      </c>
      <c r="K471" s="1" t="s">
        <v>53</v>
      </c>
      <c r="L471" s="1" t="s">
        <v>199</v>
      </c>
      <c r="M471" s="1">
        <v>1858</v>
      </c>
    </row>
    <row r="472" spans="1:13" ht="15.75" customHeight="1">
      <c r="A472" s="1">
        <v>477</v>
      </c>
      <c r="B472" s="1" t="s">
        <v>29</v>
      </c>
      <c r="C472" s="1" t="s">
        <v>268</v>
      </c>
      <c r="D472" s="1" t="s">
        <v>111</v>
      </c>
      <c r="E472" s="1">
        <v>13.3</v>
      </c>
      <c r="F472" s="1" t="s">
        <v>298</v>
      </c>
      <c r="G472" s="1" t="s">
        <v>62</v>
      </c>
      <c r="H472" s="1" t="s">
        <v>18</v>
      </c>
      <c r="I472" s="1" t="s">
        <v>41</v>
      </c>
      <c r="J472" s="1" t="s">
        <v>68</v>
      </c>
      <c r="K472" s="1" t="s">
        <v>53</v>
      </c>
      <c r="L472" s="1" t="s">
        <v>345</v>
      </c>
      <c r="M472" s="1">
        <v>1999</v>
      </c>
    </row>
    <row r="473" spans="1:13" ht="15.75" customHeight="1">
      <c r="A473" s="1">
        <v>478</v>
      </c>
      <c r="B473" s="1" t="s">
        <v>29</v>
      </c>
      <c r="C473" s="1" t="s">
        <v>398</v>
      </c>
      <c r="D473" s="1" t="s">
        <v>31</v>
      </c>
      <c r="E473" s="1">
        <v>15.6</v>
      </c>
      <c r="F473" s="1" t="s">
        <v>32</v>
      </c>
      <c r="G473" s="1" t="s">
        <v>33</v>
      </c>
      <c r="H473" s="1" t="s">
        <v>18</v>
      </c>
      <c r="I473" s="1" t="s">
        <v>51</v>
      </c>
      <c r="J473" s="1" t="s">
        <v>399</v>
      </c>
      <c r="K473" s="1" t="s">
        <v>53</v>
      </c>
      <c r="L473" s="1" t="s">
        <v>207</v>
      </c>
      <c r="M473" s="1">
        <v>1154</v>
      </c>
    </row>
    <row r="474" spans="1:13" ht="15.75" customHeight="1">
      <c r="A474" s="1">
        <v>479</v>
      </c>
      <c r="B474" s="1" t="s">
        <v>588</v>
      </c>
      <c r="C474" s="1" t="s">
        <v>589</v>
      </c>
      <c r="D474" s="1" t="s">
        <v>15</v>
      </c>
      <c r="E474" s="1">
        <v>12.3</v>
      </c>
      <c r="F474" s="1" t="s">
        <v>590</v>
      </c>
      <c r="G474" s="1" t="s">
        <v>622</v>
      </c>
      <c r="H474" s="1" t="s">
        <v>18</v>
      </c>
      <c r="I474" s="1" t="s">
        <v>19</v>
      </c>
      <c r="J474" s="1" t="s">
        <v>81</v>
      </c>
      <c r="K474" s="1" t="s">
        <v>456</v>
      </c>
      <c r="L474" s="1" t="s">
        <v>319</v>
      </c>
      <c r="M474" s="1">
        <v>1275</v>
      </c>
    </row>
    <row r="475" spans="1:13" ht="15.75" customHeight="1">
      <c r="A475" s="1">
        <v>480</v>
      </c>
      <c r="B475" s="1" t="s">
        <v>74</v>
      </c>
      <c r="C475" s="1" t="s">
        <v>623</v>
      </c>
      <c r="D475" s="1" t="s">
        <v>15</v>
      </c>
      <c r="E475" s="1">
        <v>13.3</v>
      </c>
      <c r="F475" s="1" t="s">
        <v>112</v>
      </c>
      <c r="G475" s="1" t="s">
        <v>67</v>
      </c>
      <c r="H475" s="1" t="s">
        <v>18</v>
      </c>
      <c r="I475" s="1" t="s">
        <v>34</v>
      </c>
      <c r="J475" s="1" t="s">
        <v>68</v>
      </c>
      <c r="K475" s="1" t="s">
        <v>53</v>
      </c>
      <c r="L475" s="1" t="s">
        <v>360</v>
      </c>
      <c r="M475" s="1">
        <v>1841.85</v>
      </c>
    </row>
    <row r="476" spans="1:13" ht="15.75" customHeight="1">
      <c r="A476" s="1">
        <v>481</v>
      </c>
      <c r="B476" s="1" t="s">
        <v>60</v>
      </c>
      <c r="C476" s="1" t="s">
        <v>200</v>
      </c>
      <c r="D476" s="1" t="s">
        <v>31</v>
      </c>
      <c r="E476" s="1">
        <v>15.6</v>
      </c>
      <c r="F476" s="1" t="s">
        <v>372</v>
      </c>
      <c r="G476" s="1" t="s">
        <v>624</v>
      </c>
      <c r="H476" s="1" t="s">
        <v>162</v>
      </c>
      <c r="I476" s="1" t="s">
        <v>104</v>
      </c>
      <c r="J476" s="1" t="s">
        <v>625</v>
      </c>
      <c r="K476" s="1" t="s">
        <v>53</v>
      </c>
      <c r="L476" s="1" t="s">
        <v>353</v>
      </c>
      <c r="M476" s="1">
        <v>1299</v>
      </c>
    </row>
    <row r="477" spans="1:13" ht="15.75" customHeight="1">
      <c r="A477" s="1">
        <v>482</v>
      </c>
      <c r="B477" s="1" t="s">
        <v>74</v>
      </c>
      <c r="C477" s="1" t="s">
        <v>626</v>
      </c>
      <c r="D477" s="1" t="s">
        <v>31</v>
      </c>
      <c r="E477" s="1">
        <v>14</v>
      </c>
      <c r="F477" s="1" t="s">
        <v>48</v>
      </c>
      <c r="G477" s="1" t="s">
        <v>627</v>
      </c>
      <c r="H477" s="1" t="s">
        <v>18</v>
      </c>
      <c r="I477" s="1" t="s">
        <v>19</v>
      </c>
      <c r="J477" s="1" t="s">
        <v>71</v>
      </c>
      <c r="K477" s="1" t="s">
        <v>53</v>
      </c>
      <c r="L477" s="1" t="s">
        <v>628</v>
      </c>
      <c r="M477" s="1">
        <v>740</v>
      </c>
    </row>
    <row r="478" spans="1:13" ht="15.75" customHeight="1">
      <c r="A478" s="1">
        <v>483</v>
      </c>
      <c r="B478" s="1" t="s">
        <v>74</v>
      </c>
      <c r="C478" s="1" t="s">
        <v>553</v>
      </c>
      <c r="D478" s="1" t="s">
        <v>378</v>
      </c>
      <c r="E478" s="1">
        <v>15.6</v>
      </c>
      <c r="F478" s="1" t="s">
        <v>32</v>
      </c>
      <c r="G478" s="1" t="s">
        <v>155</v>
      </c>
      <c r="H478" s="1" t="s">
        <v>18</v>
      </c>
      <c r="I478" s="1" t="s">
        <v>34</v>
      </c>
      <c r="J478" s="1" t="s">
        <v>381</v>
      </c>
      <c r="K478" s="1" t="s">
        <v>53</v>
      </c>
      <c r="L478" s="1" t="s">
        <v>554</v>
      </c>
      <c r="M478" s="1">
        <v>2408</v>
      </c>
    </row>
    <row r="479" spans="1:13" ht="15.75" customHeight="1">
      <c r="A479" s="1">
        <v>484</v>
      </c>
      <c r="B479" s="1" t="s">
        <v>86</v>
      </c>
      <c r="C479" s="1" t="s">
        <v>260</v>
      </c>
      <c r="D479" s="1" t="s">
        <v>31</v>
      </c>
      <c r="E479" s="1">
        <v>14</v>
      </c>
      <c r="F479" s="1" t="s">
        <v>32</v>
      </c>
      <c r="G479" s="1" t="s">
        <v>33</v>
      </c>
      <c r="H479" s="1" t="s">
        <v>18</v>
      </c>
      <c r="I479" s="1" t="s">
        <v>629</v>
      </c>
      <c r="J479" s="1" t="s">
        <v>35</v>
      </c>
      <c r="K479" s="1" t="s">
        <v>53</v>
      </c>
      <c r="L479" s="1" t="s">
        <v>196</v>
      </c>
      <c r="M479" s="1">
        <v>1364</v>
      </c>
    </row>
    <row r="480" spans="1:13" ht="15.75" customHeight="1">
      <c r="A480" s="1">
        <v>485</v>
      </c>
      <c r="B480" s="1" t="s">
        <v>74</v>
      </c>
      <c r="C480" s="1" t="s">
        <v>184</v>
      </c>
      <c r="D480" s="1" t="s">
        <v>31</v>
      </c>
      <c r="E480" s="1">
        <v>15.6</v>
      </c>
      <c r="F480" s="1" t="s">
        <v>32</v>
      </c>
      <c r="G480" s="1" t="s">
        <v>67</v>
      </c>
      <c r="H480" s="1" t="s">
        <v>18</v>
      </c>
      <c r="I480" s="1" t="s">
        <v>89</v>
      </c>
      <c r="J480" s="1" t="s">
        <v>185</v>
      </c>
      <c r="K480" s="1" t="s">
        <v>53</v>
      </c>
      <c r="L480" s="1" t="s">
        <v>77</v>
      </c>
      <c r="M480" s="1">
        <v>675</v>
      </c>
    </row>
    <row r="481" spans="1:13" ht="15.75" customHeight="1">
      <c r="A481" s="1">
        <v>486</v>
      </c>
      <c r="B481" s="1" t="s">
        <v>293</v>
      </c>
      <c r="C481" s="1" t="s">
        <v>630</v>
      </c>
      <c r="D481" s="1" t="s">
        <v>31</v>
      </c>
      <c r="E481" s="1">
        <v>13.3</v>
      </c>
      <c r="F481" s="1" t="s">
        <v>66</v>
      </c>
      <c r="G481" s="1" t="s">
        <v>33</v>
      </c>
      <c r="H481" s="1" t="s">
        <v>18</v>
      </c>
      <c r="I481" s="1" t="s">
        <v>34</v>
      </c>
      <c r="J481" s="1" t="s">
        <v>35</v>
      </c>
      <c r="K481" s="1" t="s">
        <v>53</v>
      </c>
      <c r="L481" s="1" t="s">
        <v>333</v>
      </c>
      <c r="M481" s="1">
        <v>1672</v>
      </c>
    </row>
    <row r="482" spans="1:13" ht="15.75" customHeight="1">
      <c r="A482" s="1">
        <v>487</v>
      </c>
      <c r="B482" s="1" t="s">
        <v>74</v>
      </c>
      <c r="C482" s="1" t="s">
        <v>270</v>
      </c>
      <c r="D482" s="1" t="s">
        <v>31</v>
      </c>
      <c r="E482" s="1">
        <v>15.6</v>
      </c>
      <c r="F482" s="1" t="s">
        <v>66</v>
      </c>
      <c r="G482" s="1" t="s">
        <v>62</v>
      </c>
      <c r="H482" s="1" t="s">
        <v>18</v>
      </c>
      <c r="I482" s="1" t="s">
        <v>41</v>
      </c>
      <c r="J482" s="1" t="s">
        <v>90</v>
      </c>
      <c r="K482" s="1" t="s">
        <v>53</v>
      </c>
      <c r="L482" s="1" t="s">
        <v>271</v>
      </c>
      <c r="M482" s="1">
        <v>1262</v>
      </c>
    </row>
    <row r="483" spans="1:13" ht="15.75" customHeight="1">
      <c r="A483" s="1">
        <v>488</v>
      </c>
      <c r="B483" s="1" t="s">
        <v>74</v>
      </c>
      <c r="C483" s="1" t="s">
        <v>432</v>
      </c>
      <c r="D483" s="1" t="s">
        <v>31</v>
      </c>
      <c r="E483" s="1">
        <v>15.6</v>
      </c>
      <c r="F483" s="1" t="s">
        <v>48</v>
      </c>
      <c r="G483" s="1" t="s">
        <v>88</v>
      </c>
      <c r="H483" s="1" t="s">
        <v>50</v>
      </c>
      <c r="I483" s="1" t="s">
        <v>89</v>
      </c>
      <c r="J483" s="1" t="s">
        <v>35</v>
      </c>
      <c r="K483" s="1" t="s">
        <v>53</v>
      </c>
      <c r="L483" s="1" t="s">
        <v>433</v>
      </c>
      <c r="M483" s="1">
        <v>586.6</v>
      </c>
    </row>
    <row r="484" spans="1:13" ht="15.75" customHeight="1">
      <c r="A484" s="1">
        <v>489</v>
      </c>
      <c r="B484" s="1" t="s">
        <v>29</v>
      </c>
      <c r="C484" s="1" t="s">
        <v>181</v>
      </c>
      <c r="D484" s="1" t="s">
        <v>31</v>
      </c>
      <c r="E484" s="1">
        <v>13.3</v>
      </c>
      <c r="F484" s="1" t="s">
        <v>66</v>
      </c>
      <c r="G484" s="1" t="s">
        <v>67</v>
      </c>
      <c r="H484" s="1" t="s">
        <v>50</v>
      </c>
      <c r="I484" s="1" t="s">
        <v>19</v>
      </c>
      <c r="J484" s="1" t="s">
        <v>68</v>
      </c>
      <c r="K484" s="1" t="s">
        <v>53</v>
      </c>
      <c r="L484" s="1" t="s">
        <v>182</v>
      </c>
      <c r="M484" s="1">
        <v>726</v>
      </c>
    </row>
    <row r="485" spans="1:13" ht="15.75" customHeight="1">
      <c r="A485" s="1">
        <v>490</v>
      </c>
      <c r="B485" s="1" t="s">
        <v>128</v>
      </c>
      <c r="C485" s="1" t="s">
        <v>631</v>
      </c>
      <c r="D485" s="1" t="s">
        <v>31</v>
      </c>
      <c r="E485" s="1">
        <v>15.6</v>
      </c>
      <c r="F485" s="1" t="s">
        <v>32</v>
      </c>
      <c r="G485" s="1" t="s">
        <v>96</v>
      </c>
      <c r="H485" s="1" t="s">
        <v>50</v>
      </c>
      <c r="I485" s="1" t="s">
        <v>131</v>
      </c>
      <c r="J485" s="1" t="s">
        <v>132</v>
      </c>
      <c r="K485" s="1" t="s">
        <v>53</v>
      </c>
      <c r="L485" s="1" t="s">
        <v>133</v>
      </c>
      <c r="M485" s="1">
        <v>248.9</v>
      </c>
    </row>
    <row r="486" spans="1:13" ht="15.75" customHeight="1">
      <c r="A486" s="1">
        <v>491</v>
      </c>
      <c r="B486" s="1" t="s">
        <v>86</v>
      </c>
      <c r="C486" s="1" t="s">
        <v>632</v>
      </c>
      <c r="D486" s="1" t="s">
        <v>31</v>
      </c>
      <c r="E486" s="1">
        <v>15.6</v>
      </c>
      <c r="F486" s="1" t="s">
        <v>48</v>
      </c>
      <c r="G486" s="1" t="s">
        <v>446</v>
      </c>
      <c r="H486" s="1" t="s">
        <v>50</v>
      </c>
      <c r="I486" s="1" t="s">
        <v>19</v>
      </c>
      <c r="J486" s="1" t="s">
        <v>71</v>
      </c>
      <c r="K486" s="1" t="s">
        <v>53</v>
      </c>
      <c r="L486" s="1" t="s">
        <v>116</v>
      </c>
      <c r="M486" s="1">
        <v>565</v>
      </c>
    </row>
    <row r="487" spans="1:13" ht="15.75" customHeight="1">
      <c r="A487" s="1">
        <v>492</v>
      </c>
      <c r="B487" s="1" t="s">
        <v>86</v>
      </c>
      <c r="C487" s="1" t="s">
        <v>289</v>
      </c>
      <c r="D487" s="1" t="s">
        <v>31</v>
      </c>
      <c r="E487" s="1">
        <v>14</v>
      </c>
      <c r="F487" s="1" t="s">
        <v>66</v>
      </c>
      <c r="G487" s="1" t="s">
        <v>67</v>
      </c>
      <c r="H487" s="1" t="s">
        <v>18</v>
      </c>
      <c r="I487" s="1" t="s">
        <v>34</v>
      </c>
      <c r="J487" s="1" t="s">
        <v>68</v>
      </c>
      <c r="K487" s="1" t="s">
        <v>53</v>
      </c>
      <c r="L487" s="1" t="s">
        <v>291</v>
      </c>
      <c r="M487" s="1">
        <v>1049</v>
      </c>
    </row>
    <row r="488" spans="1:13" ht="15.75" customHeight="1">
      <c r="A488" s="1">
        <v>493</v>
      </c>
      <c r="B488" s="1" t="s">
        <v>74</v>
      </c>
      <c r="C488" s="1" t="s">
        <v>601</v>
      </c>
      <c r="D488" s="1" t="s">
        <v>378</v>
      </c>
      <c r="E488" s="1">
        <v>15.6</v>
      </c>
      <c r="F488" s="1" t="s">
        <v>66</v>
      </c>
      <c r="G488" s="1" t="s">
        <v>546</v>
      </c>
      <c r="H488" s="1" t="s">
        <v>40</v>
      </c>
      <c r="I488" s="1" t="s">
        <v>41</v>
      </c>
      <c r="J488" s="1" t="s">
        <v>603</v>
      </c>
      <c r="K488" s="1" t="s">
        <v>53</v>
      </c>
      <c r="L488" s="1" t="s">
        <v>607</v>
      </c>
      <c r="M488" s="1">
        <v>2338</v>
      </c>
    </row>
    <row r="489" spans="1:13" ht="15.75" customHeight="1">
      <c r="A489" s="1">
        <v>494</v>
      </c>
      <c r="B489" s="1" t="s">
        <v>74</v>
      </c>
      <c r="C489" s="1" t="s">
        <v>351</v>
      </c>
      <c r="D489" s="1" t="s">
        <v>31</v>
      </c>
      <c r="E489" s="1">
        <v>15.6</v>
      </c>
      <c r="F489" s="1" t="s">
        <v>32</v>
      </c>
      <c r="G489" s="1" t="s">
        <v>155</v>
      </c>
      <c r="H489" s="1" t="s">
        <v>40</v>
      </c>
      <c r="I489" s="1" t="s">
        <v>41</v>
      </c>
      <c r="J489" s="1" t="s">
        <v>105</v>
      </c>
      <c r="K489" s="1" t="s">
        <v>53</v>
      </c>
      <c r="L489" s="1" t="s">
        <v>353</v>
      </c>
      <c r="M489" s="1">
        <v>1899</v>
      </c>
    </row>
    <row r="490" spans="1:13" ht="15.75" customHeight="1">
      <c r="A490" s="1">
        <v>495</v>
      </c>
      <c r="B490" s="1" t="s">
        <v>86</v>
      </c>
      <c r="C490" s="1" t="s">
        <v>633</v>
      </c>
      <c r="D490" s="1" t="s">
        <v>15</v>
      </c>
      <c r="E490" s="1">
        <v>12.5</v>
      </c>
      <c r="F490" s="1" t="s">
        <v>66</v>
      </c>
      <c r="G490" s="1" t="s">
        <v>83</v>
      </c>
      <c r="H490" s="1" t="s">
        <v>40</v>
      </c>
      <c r="I490" s="1" t="s">
        <v>41</v>
      </c>
      <c r="J490" s="1" t="s">
        <v>35</v>
      </c>
      <c r="K490" s="1" t="s">
        <v>53</v>
      </c>
      <c r="L490" s="1" t="s">
        <v>443</v>
      </c>
      <c r="M490" s="1">
        <v>1798</v>
      </c>
    </row>
    <row r="491" spans="1:13" ht="15.75" customHeight="1">
      <c r="A491" s="1">
        <v>496</v>
      </c>
      <c r="B491" s="1" t="s">
        <v>60</v>
      </c>
      <c r="C491" s="1" t="s">
        <v>634</v>
      </c>
      <c r="D491" s="1" t="s">
        <v>15</v>
      </c>
      <c r="E491" s="1">
        <v>12.5</v>
      </c>
      <c r="F491" s="1" t="s">
        <v>32</v>
      </c>
      <c r="G491" s="1" t="s">
        <v>83</v>
      </c>
      <c r="H491" s="1" t="s">
        <v>40</v>
      </c>
      <c r="I491" s="1" t="s">
        <v>41</v>
      </c>
      <c r="J491" s="1" t="s">
        <v>35</v>
      </c>
      <c r="K491" s="1" t="s">
        <v>53</v>
      </c>
      <c r="L491" s="1" t="s">
        <v>635</v>
      </c>
      <c r="M491" s="1">
        <v>1950</v>
      </c>
    </row>
    <row r="492" spans="1:13" ht="15.75" customHeight="1">
      <c r="A492" s="1">
        <v>497</v>
      </c>
      <c r="B492" s="1" t="s">
        <v>86</v>
      </c>
      <c r="C492" s="1" t="s">
        <v>636</v>
      </c>
      <c r="D492" s="1" t="s">
        <v>31</v>
      </c>
      <c r="E492" s="1">
        <v>15.6</v>
      </c>
      <c r="F492" s="1" t="s">
        <v>66</v>
      </c>
      <c r="G492" s="1" t="s">
        <v>33</v>
      </c>
      <c r="H492" s="1" t="s">
        <v>18</v>
      </c>
      <c r="I492" s="1" t="s">
        <v>34</v>
      </c>
      <c r="J492" s="1" t="s">
        <v>90</v>
      </c>
      <c r="K492" s="1" t="s">
        <v>53</v>
      </c>
      <c r="L492" s="1" t="s">
        <v>116</v>
      </c>
      <c r="M492" s="1">
        <v>1011.99</v>
      </c>
    </row>
    <row r="493" spans="1:13" ht="15.75" customHeight="1">
      <c r="A493" s="1">
        <v>498</v>
      </c>
      <c r="B493" s="1" t="s">
        <v>293</v>
      </c>
      <c r="C493" s="1" t="s">
        <v>637</v>
      </c>
      <c r="D493" s="1" t="s">
        <v>15</v>
      </c>
      <c r="E493" s="1">
        <v>13.3</v>
      </c>
      <c r="F493" s="1" t="s">
        <v>112</v>
      </c>
      <c r="G493" s="1" t="s">
        <v>83</v>
      </c>
      <c r="H493" s="1" t="s">
        <v>338</v>
      </c>
      <c r="I493" s="1" t="s">
        <v>41</v>
      </c>
      <c r="J493" s="1" t="s">
        <v>35</v>
      </c>
      <c r="K493" s="1" t="s">
        <v>53</v>
      </c>
      <c r="L493" s="1" t="s">
        <v>333</v>
      </c>
      <c r="M493" s="1">
        <v>2799</v>
      </c>
    </row>
    <row r="494" spans="1:13" ht="15.75" customHeight="1">
      <c r="A494" s="1">
        <v>499</v>
      </c>
      <c r="B494" s="1" t="s">
        <v>60</v>
      </c>
      <c r="C494" s="1" t="s">
        <v>411</v>
      </c>
      <c r="D494" s="1" t="s">
        <v>102</v>
      </c>
      <c r="E494" s="1">
        <v>15.6</v>
      </c>
      <c r="F494" s="1" t="s">
        <v>32</v>
      </c>
      <c r="G494" s="1" t="s">
        <v>155</v>
      </c>
      <c r="H494" s="1" t="s">
        <v>18</v>
      </c>
      <c r="I494" s="1" t="s">
        <v>104</v>
      </c>
      <c r="J494" s="1" t="s">
        <v>105</v>
      </c>
      <c r="K494" s="1" t="s">
        <v>53</v>
      </c>
      <c r="L494" s="1" t="s">
        <v>638</v>
      </c>
      <c r="M494" s="1">
        <v>1350</v>
      </c>
    </row>
    <row r="495" spans="1:13" ht="15.75" customHeight="1">
      <c r="A495" s="1">
        <v>500</v>
      </c>
      <c r="B495" s="1" t="s">
        <v>46</v>
      </c>
      <c r="C495" s="1" t="s">
        <v>239</v>
      </c>
      <c r="D495" s="1" t="s">
        <v>31</v>
      </c>
      <c r="E495" s="1">
        <v>15.6</v>
      </c>
      <c r="F495" s="1" t="s">
        <v>48</v>
      </c>
      <c r="G495" s="1" t="s">
        <v>639</v>
      </c>
      <c r="H495" s="1" t="s">
        <v>18</v>
      </c>
      <c r="I495" s="1" t="s">
        <v>89</v>
      </c>
      <c r="J495" s="1" t="s">
        <v>498</v>
      </c>
      <c r="K495" s="1" t="s">
        <v>53</v>
      </c>
      <c r="L495" s="1" t="s">
        <v>77</v>
      </c>
      <c r="M495" s="1">
        <v>579</v>
      </c>
    </row>
    <row r="496" spans="1:13" ht="15.75" customHeight="1">
      <c r="A496" s="1">
        <v>501</v>
      </c>
      <c r="B496" s="1" t="s">
        <v>60</v>
      </c>
      <c r="C496" s="1" t="s">
        <v>640</v>
      </c>
      <c r="D496" s="1" t="s">
        <v>102</v>
      </c>
      <c r="E496" s="1">
        <v>17.3</v>
      </c>
      <c r="F496" s="1" t="s">
        <v>92</v>
      </c>
      <c r="G496" s="1" t="s">
        <v>624</v>
      </c>
      <c r="H496" s="1" t="s">
        <v>594</v>
      </c>
      <c r="I496" s="1" t="s">
        <v>156</v>
      </c>
      <c r="J496" s="1" t="s">
        <v>641</v>
      </c>
      <c r="K496" s="1" t="s">
        <v>53</v>
      </c>
      <c r="L496" s="1" t="s">
        <v>642</v>
      </c>
      <c r="M496" s="1">
        <v>1269</v>
      </c>
    </row>
    <row r="497" spans="1:13" ht="15.75" customHeight="1">
      <c r="A497" s="1">
        <v>502</v>
      </c>
      <c r="B497" s="1" t="s">
        <v>86</v>
      </c>
      <c r="C497" s="1" t="s">
        <v>643</v>
      </c>
      <c r="D497" s="1" t="s">
        <v>15</v>
      </c>
      <c r="E497" s="1">
        <v>12.5</v>
      </c>
      <c r="F497" s="1" t="s">
        <v>267</v>
      </c>
      <c r="G497" s="1" t="s">
        <v>295</v>
      </c>
      <c r="H497" s="1" t="s">
        <v>18</v>
      </c>
      <c r="I497" s="1" t="s">
        <v>629</v>
      </c>
      <c r="J497" s="1" t="s">
        <v>71</v>
      </c>
      <c r="K497" s="1" t="s">
        <v>53</v>
      </c>
      <c r="L497" s="1" t="s">
        <v>64</v>
      </c>
      <c r="M497" s="1">
        <v>1099</v>
      </c>
    </row>
    <row r="498" spans="1:13" ht="15.75" customHeight="1">
      <c r="A498" s="1">
        <v>503</v>
      </c>
      <c r="B498" s="1" t="s">
        <v>86</v>
      </c>
      <c r="C498" s="1" t="s">
        <v>644</v>
      </c>
      <c r="D498" s="1" t="s">
        <v>31</v>
      </c>
      <c r="E498" s="1">
        <v>15.6</v>
      </c>
      <c r="F498" s="1" t="s">
        <v>32</v>
      </c>
      <c r="G498" s="1" t="s">
        <v>62</v>
      </c>
      <c r="H498" s="1" t="s">
        <v>18</v>
      </c>
      <c r="I498" s="1" t="s">
        <v>34</v>
      </c>
      <c r="J498" s="1" t="s">
        <v>68</v>
      </c>
      <c r="K498" s="1" t="s">
        <v>53</v>
      </c>
      <c r="L498" s="1" t="s">
        <v>607</v>
      </c>
      <c r="M498" s="1">
        <v>898.9</v>
      </c>
    </row>
    <row r="499" spans="1:13" ht="15.75" customHeight="1">
      <c r="A499" s="1">
        <v>504</v>
      </c>
      <c r="B499" s="1" t="s">
        <v>29</v>
      </c>
      <c r="C499" s="1" t="s">
        <v>312</v>
      </c>
      <c r="D499" s="1" t="s">
        <v>31</v>
      </c>
      <c r="E499" s="1">
        <v>14</v>
      </c>
      <c r="F499" s="1" t="s">
        <v>32</v>
      </c>
      <c r="G499" s="1" t="s">
        <v>476</v>
      </c>
      <c r="H499" s="1" t="s">
        <v>18</v>
      </c>
      <c r="I499" s="1" t="s">
        <v>359</v>
      </c>
      <c r="J499" s="1" t="s">
        <v>35</v>
      </c>
      <c r="K499" s="1" t="s">
        <v>53</v>
      </c>
      <c r="L499" s="1" t="s">
        <v>314</v>
      </c>
      <c r="M499" s="1">
        <v>1749</v>
      </c>
    </row>
    <row r="500" spans="1:13" ht="15.75" customHeight="1">
      <c r="A500" s="1">
        <v>505</v>
      </c>
      <c r="B500" s="1" t="s">
        <v>86</v>
      </c>
      <c r="C500" s="1" t="s">
        <v>484</v>
      </c>
      <c r="D500" s="1" t="s">
        <v>31</v>
      </c>
      <c r="E500" s="1">
        <v>13.3</v>
      </c>
      <c r="F500" s="1" t="s">
        <v>66</v>
      </c>
      <c r="G500" s="1" t="s">
        <v>88</v>
      </c>
      <c r="H500" s="1" t="s">
        <v>18</v>
      </c>
      <c r="I500" s="1" t="s">
        <v>34</v>
      </c>
      <c r="J500" s="1" t="s">
        <v>35</v>
      </c>
      <c r="K500" s="1" t="s">
        <v>53</v>
      </c>
      <c r="L500" s="1" t="s">
        <v>199</v>
      </c>
      <c r="M500" s="1">
        <v>949</v>
      </c>
    </row>
    <row r="501" spans="1:13" ht="15.75" customHeight="1">
      <c r="A501" s="1">
        <v>506</v>
      </c>
      <c r="B501" s="1" t="s">
        <v>86</v>
      </c>
      <c r="C501" s="1" t="s">
        <v>645</v>
      </c>
      <c r="D501" s="1" t="s">
        <v>31</v>
      </c>
      <c r="E501" s="1">
        <v>15.6</v>
      </c>
      <c r="F501" s="1" t="s">
        <v>66</v>
      </c>
      <c r="G501" s="1" t="s">
        <v>33</v>
      </c>
      <c r="H501" s="1" t="s">
        <v>18</v>
      </c>
      <c r="I501" s="1" t="s">
        <v>34</v>
      </c>
      <c r="J501" s="1" t="s">
        <v>35</v>
      </c>
      <c r="K501" s="1" t="s">
        <v>53</v>
      </c>
      <c r="L501" s="1" t="s">
        <v>116</v>
      </c>
      <c r="M501" s="1">
        <v>911</v>
      </c>
    </row>
    <row r="502" spans="1:13" ht="15.75" customHeight="1">
      <c r="A502" s="1">
        <v>507</v>
      </c>
      <c r="B502" s="1" t="s">
        <v>60</v>
      </c>
      <c r="C502" s="1" t="s">
        <v>646</v>
      </c>
      <c r="D502" s="1" t="s">
        <v>95</v>
      </c>
      <c r="E502" s="1">
        <v>11.6</v>
      </c>
      <c r="F502" s="1" t="s">
        <v>48</v>
      </c>
      <c r="G502" s="1" t="s">
        <v>143</v>
      </c>
      <c r="H502" s="1" t="s">
        <v>50</v>
      </c>
      <c r="I502" s="1" t="s">
        <v>131</v>
      </c>
      <c r="J502" s="1" t="s">
        <v>144</v>
      </c>
      <c r="K502" s="1" t="s">
        <v>213</v>
      </c>
      <c r="L502" s="1" t="s">
        <v>141</v>
      </c>
      <c r="M502" s="1">
        <v>340</v>
      </c>
    </row>
    <row r="503" spans="1:13" ht="15.75" customHeight="1">
      <c r="A503" s="1">
        <v>508</v>
      </c>
      <c r="B503" s="1" t="s">
        <v>29</v>
      </c>
      <c r="C503" s="1" t="s">
        <v>647</v>
      </c>
      <c r="D503" s="1" t="s">
        <v>31</v>
      </c>
      <c r="E503" s="1">
        <v>15.6</v>
      </c>
      <c r="F503" s="1" t="s">
        <v>48</v>
      </c>
      <c r="G503" s="1" t="s">
        <v>33</v>
      </c>
      <c r="H503" s="1" t="s">
        <v>18</v>
      </c>
      <c r="I503" s="1" t="s">
        <v>34</v>
      </c>
      <c r="J503" s="1" t="s">
        <v>185</v>
      </c>
      <c r="K503" s="1" t="s">
        <v>53</v>
      </c>
      <c r="L503" s="1" t="s">
        <v>115</v>
      </c>
      <c r="M503" s="1">
        <v>618.99</v>
      </c>
    </row>
    <row r="504" spans="1:13" ht="15.75" customHeight="1">
      <c r="A504" s="1">
        <v>509</v>
      </c>
      <c r="B504" s="1" t="s">
        <v>86</v>
      </c>
      <c r="C504" s="1" t="s">
        <v>346</v>
      </c>
      <c r="D504" s="1" t="s">
        <v>111</v>
      </c>
      <c r="E504" s="1">
        <v>13.9</v>
      </c>
      <c r="F504" s="1" t="s">
        <v>92</v>
      </c>
      <c r="G504" s="1" t="s">
        <v>67</v>
      </c>
      <c r="H504" s="1" t="s">
        <v>18</v>
      </c>
      <c r="I504" s="1" t="s">
        <v>34</v>
      </c>
      <c r="J504" s="1" t="s">
        <v>68</v>
      </c>
      <c r="K504" s="1" t="s">
        <v>53</v>
      </c>
      <c r="L504" s="1" t="s">
        <v>199</v>
      </c>
      <c r="M504" s="1">
        <v>1599</v>
      </c>
    </row>
    <row r="505" spans="1:13" ht="15.75" customHeight="1">
      <c r="A505" s="1">
        <v>510</v>
      </c>
      <c r="B505" s="1" t="s">
        <v>86</v>
      </c>
      <c r="C505" s="1" t="s">
        <v>648</v>
      </c>
      <c r="D505" s="1" t="s">
        <v>31</v>
      </c>
      <c r="E505" s="1">
        <v>14</v>
      </c>
      <c r="F505" s="1" t="s">
        <v>48</v>
      </c>
      <c r="G505" s="1" t="s">
        <v>143</v>
      </c>
      <c r="H505" s="1" t="s">
        <v>50</v>
      </c>
      <c r="I505" s="1" t="s">
        <v>51</v>
      </c>
      <c r="J505" s="1" t="s">
        <v>144</v>
      </c>
      <c r="K505" s="1" t="s">
        <v>53</v>
      </c>
      <c r="L505" s="1" t="s">
        <v>54</v>
      </c>
      <c r="M505" s="1">
        <v>299</v>
      </c>
    </row>
    <row r="506" spans="1:13" ht="15.75" customHeight="1">
      <c r="A506" s="1">
        <v>511</v>
      </c>
      <c r="B506" s="1" t="s">
        <v>86</v>
      </c>
      <c r="C506" s="1" t="s">
        <v>649</v>
      </c>
      <c r="D506" s="1" t="s">
        <v>95</v>
      </c>
      <c r="E506" s="1">
        <v>11.6</v>
      </c>
      <c r="F506" s="1" t="s">
        <v>48</v>
      </c>
      <c r="G506" s="1" t="s">
        <v>204</v>
      </c>
      <c r="H506" s="1" t="s">
        <v>50</v>
      </c>
      <c r="I506" s="1" t="s">
        <v>455</v>
      </c>
      <c r="J506" s="1" t="s">
        <v>99</v>
      </c>
      <c r="K506" s="1" t="s">
        <v>456</v>
      </c>
      <c r="L506" s="1" t="s">
        <v>242</v>
      </c>
      <c r="M506" s="1">
        <v>265</v>
      </c>
    </row>
    <row r="507" spans="1:13" ht="15.75" customHeight="1">
      <c r="A507" s="1">
        <v>512</v>
      </c>
      <c r="B507" s="1" t="s">
        <v>86</v>
      </c>
      <c r="C507" s="1" t="s">
        <v>484</v>
      </c>
      <c r="D507" s="1" t="s">
        <v>31</v>
      </c>
      <c r="E507" s="1">
        <v>13.3</v>
      </c>
      <c r="F507" s="1" t="s">
        <v>32</v>
      </c>
      <c r="G507" s="1" t="s">
        <v>33</v>
      </c>
      <c r="H507" s="1" t="s">
        <v>18</v>
      </c>
      <c r="I507" s="1" t="s">
        <v>34</v>
      </c>
      <c r="J507" s="1" t="s">
        <v>35</v>
      </c>
      <c r="K507" s="1" t="s">
        <v>53</v>
      </c>
      <c r="L507" s="1" t="s">
        <v>145</v>
      </c>
      <c r="M507" s="1">
        <v>949</v>
      </c>
    </row>
    <row r="508" spans="1:13" ht="15.75" customHeight="1">
      <c r="A508" s="1">
        <v>513</v>
      </c>
      <c r="B508" s="1" t="s">
        <v>60</v>
      </c>
      <c r="C508" s="1" t="s">
        <v>650</v>
      </c>
      <c r="D508" s="1" t="s">
        <v>31</v>
      </c>
      <c r="E508" s="1">
        <v>15.6</v>
      </c>
      <c r="F508" s="1" t="s">
        <v>32</v>
      </c>
      <c r="G508" s="1" t="s">
        <v>83</v>
      </c>
      <c r="H508" s="1" t="s">
        <v>18</v>
      </c>
      <c r="I508" s="1" t="s">
        <v>156</v>
      </c>
      <c r="J508" s="1" t="s">
        <v>35</v>
      </c>
      <c r="K508" s="1" t="s">
        <v>53</v>
      </c>
      <c r="L508" s="1" t="s">
        <v>153</v>
      </c>
      <c r="M508" s="1">
        <v>1224</v>
      </c>
    </row>
    <row r="509" spans="1:13" ht="15.75" customHeight="1">
      <c r="A509" s="1">
        <v>514</v>
      </c>
      <c r="B509" s="1" t="s">
        <v>46</v>
      </c>
      <c r="C509" s="1" t="s">
        <v>651</v>
      </c>
      <c r="D509" s="1" t="s">
        <v>31</v>
      </c>
      <c r="E509" s="1">
        <v>15.6</v>
      </c>
      <c r="F509" s="1" t="s">
        <v>66</v>
      </c>
      <c r="G509" s="1" t="s">
        <v>67</v>
      </c>
      <c r="H509" s="1" t="s">
        <v>50</v>
      </c>
      <c r="I509" s="1" t="s">
        <v>89</v>
      </c>
      <c r="J509" s="1" t="s">
        <v>63</v>
      </c>
      <c r="K509" s="1" t="s">
        <v>53</v>
      </c>
      <c r="L509" s="1" t="s">
        <v>77</v>
      </c>
      <c r="M509" s="1">
        <v>613</v>
      </c>
    </row>
    <row r="510" spans="1:13" ht="15.75" customHeight="1">
      <c r="A510" s="1">
        <v>515</v>
      </c>
      <c r="B510" s="1" t="s">
        <v>29</v>
      </c>
      <c r="C510" s="1" t="s">
        <v>652</v>
      </c>
      <c r="D510" s="1" t="s">
        <v>15</v>
      </c>
      <c r="E510" s="1">
        <v>13.3</v>
      </c>
      <c r="F510" s="1" t="s">
        <v>66</v>
      </c>
      <c r="G510" s="1" t="s">
        <v>83</v>
      </c>
      <c r="H510" s="1" t="s">
        <v>18</v>
      </c>
      <c r="I510" s="1" t="s">
        <v>41</v>
      </c>
      <c r="J510" s="1" t="s">
        <v>35</v>
      </c>
      <c r="K510" s="1" t="s">
        <v>53</v>
      </c>
      <c r="L510" s="1" t="s">
        <v>28</v>
      </c>
      <c r="M510" s="1">
        <v>1323</v>
      </c>
    </row>
    <row r="511" spans="1:13" ht="15.75" customHeight="1">
      <c r="A511" s="1">
        <v>516</v>
      </c>
      <c r="B511" s="1" t="s">
        <v>86</v>
      </c>
      <c r="C511" s="1" t="s">
        <v>101</v>
      </c>
      <c r="D511" s="1" t="s">
        <v>102</v>
      </c>
      <c r="E511" s="1">
        <v>15.6</v>
      </c>
      <c r="F511" s="1" t="s">
        <v>66</v>
      </c>
      <c r="G511" s="1" t="s">
        <v>155</v>
      </c>
      <c r="H511" s="1" t="s">
        <v>18</v>
      </c>
      <c r="I511" s="1" t="s">
        <v>156</v>
      </c>
      <c r="J511" s="1" t="s">
        <v>157</v>
      </c>
      <c r="K511" s="1" t="s">
        <v>36</v>
      </c>
      <c r="L511" s="1" t="s">
        <v>183</v>
      </c>
      <c r="M511" s="1">
        <v>1149</v>
      </c>
    </row>
    <row r="512" spans="1:13" ht="15.75" customHeight="1">
      <c r="A512" s="1">
        <v>517</v>
      </c>
      <c r="B512" s="1" t="s">
        <v>74</v>
      </c>
      <c r="C512" s="1" t="s">
        <v>91</v>
      </c>
      <c r="D512" s="1" t="s">
        <v>15</v>
      </c>
      <c r="E512" s="1">
        <v>13.3</v>
      </c>
      <c r="F512" s="1" t="s">
        <v>92</v>
      </c>
      <c r="G512" s="1" t="s">
        <v>33</v>
      </c>
      <c r="H512" s="1" t="s">
        <v>18</v>
      </c>
      <c r="I512" s="1" t="s">
        <v>19</v>
      </c>
      <c r="J512" s="1" t="s">
        <v>35</v>
      </c>
      <c r="K512" s="1" t="s">
        <v>53</v>
      </c>
      <c r="L512" s="1" t="s">
        <v>345</v>
      </c>
      <c r="M512" s="1">
        <v>899</v>
      </c>
    </row>
    <row r="513" spans="1:13" ht="15.75" customHeight="1">
      <c r="A513" s="1">
        <v>518</v>
      </c>
      <c r="B513" s="1" t="s">
        <v>46</v>
      </c>
      <c r="C513" s="1" t="s">
        <v>160</v>
      </c>
      <c r="D513" s="1" t="s">
        <v>31</v>
      </c>
      <c r="E513" s="1">
        <v>15.6</v>
      </c>
      <c r="F513" s="1" t="s">
        <v>32</v>
      </c>
      <c r="G513" s="1" t="s">
        <v>83</v>
      </c>
      <c r="H513" s="1" t="s">
        <v>50</v>
      </c>
      <c r="I513" s="1" t="s">
        <v>51</v>
      </c>
      <c r="J513" s="1" t="s">
        <v>90</v>
      </c>
      <c r="K513" s="1" t="s">
        <v>53</v>
      </c>
      <c r="L513" s="1" t="s">
        <v>77</v>
      </c>
      <c r="M513" s="1">
        <v>639</v>
      </c>
    </row>
    <row r="514" spans="1:13" ht="15.75" customHeight="1">
      <c r="A514" s="1">
        <v>519</v>
      </c>
      <c r="B514" s="1" t="s">
        <v>74</v>
      </c>
      <c r="C514" s="1" t="s">
        <v>653</v>
      </c>
      <c r="D514" s="1" t="s">
        <v>31</v>
      </c>
      <c r="E514" s="1">
        <v>15.6</v>
      </c>
      <c r="F514" s="1" t="s">
        <v>32</v>
      </c>
      <c r="G514" s="1" t="s">
        <v>33</v>
      </c>
      <c r="H514" s="1" t="s">
        <v>18</v>
      </c>
      <c r="I514" s="1" t="s">
        <v>89</v>
      </c>
      <c r="J514" s="1" t="s">
        <v>35</v>
      </c>
      <c r="K514" s="1" t="s">
        <v>53</v>
      </c>
      <c r="L514" s="1" t="s">
        <v>433</v>
      </c>
      <c r="M514" s="1">
        <v>836</v>
      </c>
    </row>
    <row r="515" spans="1:13" ht="15.75" customHeight="1">
      <c r="A515" s="1">
        <v>520</v>
      </c>
      <c r="B515" s="1" t="s">
        <v>74</v>
      </c>
      <c r="C515" s="1" t="s">
        <v>120</v>
      </c>
      <c r="D515" s="1" t="s">
        <v>31</v>
      </c>
      <c r="E515" s="1">
        <v>15.6</v>
      </c>
      <c r="F515" s="1" t="s">
        <v>32</v>
      </c>
      <c r="G515" s="1" t="s">
        <v>62</v>
      </c>
      <c r="H515" s="1" t="s">
        <v>40</v>
      </c>
      <c r="I515" s="1" t="s">
        <v>191</v>
      </c>
      <c r="J515" s="1" t="s">
        <v>121</v>
      </c>
      <c r="K515" s="1" t="s">
        <v>53</v>
      </c>
      <c r="L515" s="1" t="s">
        <v>77</v>
      </c>
      <c r="M515" s="1">
        <v>1219.24</v>
      </c>
    </row>
    <row r="516" spans="1:13" ht="15.75" customHeight="1">
      <c r="A516" s="1">
        <v>521</v>
      </c>
      <c r="B516" s="1" t="s">
        <v>348</v>
      </c>
      <c r="C516" s="1" t="s">
        <v>349</v>
      </c>
      <c r="D516" s="1" t="s">
        <v>31</v>
      </c>
      <c r="E516" s="1">
        <v>15.6</v>
      </c>
      <c r="F516" s="1" t="s">
        <v>66</v>
      </c>
      <c r="G516" s="1" t="s">
        <v>62</v>
      </c>
      <c r="H516" s="1" t="s">
        <v>40</v>
      </c>
      <c r="I516" s="1" t="s">
        <v>34</v>
      </c>
      <c r="J516" s="1" t="s">
        <v>63</v>
      </c>
      <c r="K516" s="1" t="s">
        <v>36</v>
      </c>
      <c r="L516" s="1" t="s">
        <v>350</v>
      </c>
      <c r="M516" s="1">
        <v>1399.95</v>
      </c>
    </row>
    <row r="517" spans="1:13" ht="15.75" customHeight="1">
      <c r="A517" s="1">
        <v>522</v>
      </c>
      <c r="B517" s="1" t="s">
        <v>60</v>
      </c>
      <c r="C517" s="1" t="s">
        <v>654</v>
      </c>
      <c r="D517" s="1" t="s">
        <v>95</v>
      </c>
      <c r="E517" s="1">
        <v>11.6</v>
      </c>
      <c r="F517" s="1" t="s">
        <v>48</v>
      </c>
      <c r="G517" s="1" t="s">
        <v>143</v>
      </c>
      <c r="H517" s="1" t="s">
        <v>97</v>
      </c>
      <c r="I517" s="1" t="s">
        <v>98</v>
      </c>
      <c r="J517" s="1" t="s">
        <v>144</v>
      </c>
      <c r="K517" s="1" t="s">
        <v>53</v>
      </c>
      <c r="L517" s="1" t="s">
        <v>319</v>
      </c>
      <c r="M517" s="1">
        <v>245</v>
      </c>
    </row>
    <row r="518" spans="1:13" ht="15.75" customHeight="1">
      <c r="A518" s="1">
        <v>523</v>
      </c>
      <c r="B518" s="1" t="s">
        <v>29</v>
      </c>
      <c r="C518" s="1" t="s">
        <v>655</v>
      </c>
      <c r="D518" s="1" t="s">
        <v>31</v>
      </c>
      <c r="E518" s="1">
        <v>15.6</v>
      </c>
      <c r="F518" s="1" t="s">
        <v>382</v>
      </c>
      <c r="G518" s="1" t="s">
        <v>67</v>
      </c>
      <c r="H518" s="1" t="s">
        <v>50</v>
      </c>
      <c r="I518" s="1" t="s">
        <v>89</v>
      </c>
      <c r="J518" s="1" t="s">
        <v>68</v>
      </c>
      <c r="K518" s="1" t="s">
        <v>53</v>
      </c>
      <c r="L518" s="1" t="s">
        <v>59</v>
      </c>
      <c r="M518" s="1">
        <v>521.47</v>
      </c>
    </row>
    <row r="519" spans="1:13" ht="15.75" customHeight="1">
      <c r="A519" s="1">
        <v>524</v>
      </c>
      <c r="B519" s="1" t="s">
        <v>60</v>
      </c>
      <c r="C519" s="1" t="s">
        <v>656</v>
      </c>
      <c r="D519" s="1" t="s">
        <v>102</v>
      </c>
      <c r="E519" s="1">
        <v>15.6</v>
      </c>
      <c r="F519" s="1" t="s">
        <v>32</v>
      </c>
      <c r="G519" s="1" t="s">
        <v>155</v>
      </c>
      <c r="H519" s="1" t="s">
        <v>594</v>
      </c>
      <c r="I519" s="1" t="s">
        <v>41</v>
      </c>
      <c r="J519" s="1" t="s">
        <v>657</v>
      </c>
      <c r="K519" s="1" t="s">
        <v>53</v>
      </c>
      <c r="L519" s="1" t="s">
        <v>434</v>
      </c>
      <c r="M519" s="1">
        <v>2968</v>
      </c>
    </row>
    <row r="520" spans="1:13" ht="15.75" customHeight="1">
      <c r="A520" s="1">
        <v>525</v>
      </c>
      <c r="B520" s="1" t="s">
        <v>29</v>
      </c>
      <c r="C520" s="1" t="s">
        <v>658</v>
      </c>
      <c r="D520" s="1" t="s">
        <v>31</v>
      </c>
      <c r="E520" s="1">
        <v>15.6</v>
      </c>
      <c r="F520" s="1" t="s">
        <v>32</v>
      </c>
      <c r="G520" s="1" t="s">
        <v>33</v>
      </c>
      <c r="H520" s="1" t="s">
        <v>18</v>
      </c>
      <c r="I520" s="1" t="s">
        <v>34</v>
      </c>
      <c r="J520" s="1" t="s">
        <v>127</v>
      </c>
      <c r="K520" s="1" t="s">
        <v>53</v>
      </c>
      <c r="L520" s="1" t="s">
        <v>59</v>
      </c>
      <c r="M520" s="1">
        <v>889</v>
      </c>
    </row>
    <row r="521" spans="1:13" ht="15.75" customHeight="1">
      <c r="A521" s="1">
        <v>526</v>
      </c>
      <c r="B521" s="1" t="s">
        <v>60</v>
      </c>
      <c r="C521" s="1" t="s">
        <v>659</v>
      </c>
      <c r="D521" s="1" t="s">
        <v>102</v>
      </c>
      <c r="E521" s="1">
        <v>17.3</v>
      </c>
      <c r="F521" s="1" t="s">
        <v>32</v>
      </c>
      <c r="G521" s="1" t="s">
        <v>155</v>
      </c>
      <c r="H521" s="1" t="s">
        <v>40</v>
      </c>
      <c r="I521" s="1" t="s">
        <v>156</v>
      </c>
      <c r="J521" s="1" t="s">
        <v>660</v>
      </c>
      <c r="K521" s="1" t="s">
        <v>53</v>
      </c>
      <c r="L521" s="1" t="s">
        <v>209</v>
      </c>
      <c r="M521" s="1">
        <v>1504</v>
      </c>
    </row>
    <row r="522" spans="1:13" ht="15.75" customHeight="1">
      <c r="A522" s="1">
        <v>527</v>
      </c>
      <c r="B522" s="1" t="s">
        <v>86</v>
      </c>
      <c r="C522" s="1" t="s">
        <v>376</v>
      </c>
      <c r="D522" s="1" t="s">
        <v>102</v>
      </c>
      <c r="E522" s="1">
        <v>15.6</v>
      </c>
      <c r="F522" s="1" t="s">
        <v>66</v>
      </c>
      <c r="G522" s="1" t="s">
        <v>155</v>
      </c>
      <c r="H522" s="1" t="s">
        <v>18</v>
      </c>
      <c r="I522" s="1" t="s">
        <v>156</v>
      </c>
      <c r="J522" s="1" t="s">
        <v>157</v>
      </c>
      <c r="K522" s="1" t="s">
        <v>53</v>
      </c>
      <c r="L522" s="1" t="s">
        <v>171</v>
      </c>
      <c r="M522" s="1">
        <v>1399</v>
      </c>
    </row>
    <row r="523" spans="1:13" ht="15.75" customHeight="1">
      <c r="A523" s="1">
        <v>528</v>
      </c>
      <c r="B523" s="1" t="s">
        <v>29</v>
      </c>
      <c r="C523" s="1" t="s">
        <v>661</v>
      </c>
      <c r="D523" s="1" t="s">
        <v>15</v>
      </c>
      <c r="E523" s="1">
        <v>13.3</v>
      </c>
      <c r="F523" s="1" t="s">
        <v>66</v>
      </c>
      <c r="G523" s="1" t="s">
        <v>83</v>
      </c>
      <c r="H523" s="1" t="s">
        <v>18</v>
      </c>
      <c r="I523" s="1" t="s">
        <v>34</v>
      </c>
      <c r="J523" s="1" t="s">
        <v>35</v>
      </c>
      <c r="K523" s="1" t="s">
        <v>53</v>
      </c>
      <c r="L523" s="1" t="s">
        <v>288</v>
      </c>
      <c r="M523" s="1">
        <v>1399</v>
      </c>
    </row>
    <row r="524" spans="1:13" ht="15.75" customHeight="1">
      <c r="A524" s="1">
        <v>529</v>
      </c>
      <c r="B524" s="1" t="s">
        <v>74</v>
      </c>
      <c r="C524" s="1" t="s">
        <v>575</v>
      </c>
      <c r="D524" s="1" t="s">
        <v>31</v>
      </c>
      <c r="E524" s="1">
        <v>14</v>
      </c>
      <c r="F524" s="1" t="s">
        <v>32</v>
      </c>
      <c r="G524" s="1" t="s">
        <v>505</v>
      </c>
      <c r="H524" s="1" t="s">
        <v>18</v>
      </c>
      <c r="I524" s="1" t="s">
        <v>34</v>
      </c>
      <c r="J524" s="1" t="s">
        <v>35</v>
      </c>
      <c r="K524" s="1" t="s">
        <v>53</v>
      </c>
      <c r="L524" s="1" t="s">
        <v>599</v>
      </c>
      <c r="M524" s="1">
        <v>1279.73</v>
      </c>
    </row>
    <row r="525" spans="1:13" ht="15.75" customHeight="1">
      <c r="A525" s="1">
        <v>530</v>
      </c>
      <c r="B525" s="1" t="s">
        <v>29</v>
      </c>
      <c r="C525" s="1" t="s">
        <v>226</v>
      </c>
      <c r="D525" s="1" t="s">
        <v>31</v>
      </c>
      <c r="E525" s="1">
        <v>15.6</v>
      </c>
      <c r="F525" s="1" t="s">
        <v>48</v>
      </c>
      <c r="G525" s="1" t="s">
        <v>70</v>
      </c>
      <c r="H525" s="1" t="s">
        <v>50</v>
      </c>
      <c r="I525" s="1" t="s">
        <v>19</v>
      </c>
      <c r="J525" s="1" t="s">
        <v>71</v>
      </c>
      <c r="K525" s="1" t="s">
        <v>53</v>
      </c>
      <c r="L525" s="1" t="s">
        <v>227</v>
      </c>
      <c r="M525" s="1">
        <v>689</v>
      </c>
    </row>
    <row r="526" spans="1:13" ht="15.75" customHeight="1">
      <c r="A526" s="1">
        <v>531</v>
      </c>
      <c r="B526" s="1" t="s">
        <v>74</v>
      </c>
      <c r="C526" s="1" t="s">
        <v>148</v>
      </c>
      <c r="D526" s="1" t="s">
        <v>31</v>
      </c>
      <c r="E526" s="1">
        <v>17.3</v>
      </c>
      <c r="F526" s="1" t="s">
        <v>66</v>
      </c>
      <c r="G526" s="1" t="s">
        <v>67</v>
      </c>
      <c r="H526" s="1" t="s">
        <v>18</v>
      </c>
      <c r="I526" s="1" t="s">
        <v>104</v>
      </c>
      <c r="J526" s="1" t="s">
        <v>121</v>
      </c>
      <c r="K526" s="1" t="s">
        <v>147</v>
      </c>
      <c r="L526" s="1" t="s">
        <v>149</v>
      </c>
      <c r="M526" s="1">
        <v>889</v>
      </c>
    </row>
    <row r="527" spans="1:13" ht="15.75" customHeight="1">
      <c r="A527" s="1">
        <v>532</v>
      </c>
      <c r="B527" s="1" t="s">
        <v>86</v>
      </c>
      <c r="C527" s="1" t="s">
        <v>552</v>
      </c>
      <c r="D527" s="1" t="s">
        <v>31</v>
      </c>
      <c r="E527" s="1">
        <v>14</v>
      </c>
      <c r="F527" s="1" t="s">
        <v>32</v>
      </c>
      <c r="G527" s="1" t="s">
        <v>295</v>
      </c>
      <c r="H527" s="1" t="s">
        <v>18</v>
      </c>
      <c r="I527" s="1" t="s">
        <v>34</v>
      </c>
      <c r="J527" s="1" t="s">
        <v>71</v>
      </c>
      <c r="K527" s="1" t="s">
        <v>662</v>
      </c>
      <c r="L527" s="1" t="s">
        <v>222</v>
      </c>
      <c r="M527" s="1">
        <v>1340</v>
      </c>
    </row>
    <row r="528" spans="1:13" ht="15.75" customHeight="1">
      <c r="A528" s="1">
        <v>533</v>
      </c>
      <c r="B528" s="1" t="s">
        <v>86</v>
      </c>
      <c r="C528" s="1" t="s">
        <v>87</v>
      </c>
      <c r="D528" s="1" t="s">
        <v>31</v>
      </c>
      <c r="E528" s="1">
        <v>15.6</v>
      </c>
      <c r="F528" s="1" t="s">
        <v>32</v>
      </c>
      <c r="G528" s="1" t="s">
        <v>83</v>
      </c>
      <c r="H528" s="1" t="s">
        <v>50</v>
      </c>
      <c r="I528" s="1" t="s">
        <v>89</v>
      </c>
      <c r="J528" s="1" t="s">
        <v>174</v>
      </c>
      <c r="K528" s="1" t="s">
        <v>53</v>
      </c>
      <c r="L528" s="1" t="s">
        <v>77</v>
      </c>
      <c r="M528" s="1">
        <v>799</v>
      </c>
    </row>
    <row r="529" spans="1:13" ht="15.75" customHeight="1">
      <c r="A529" s="1">
        <v>534</v>
      </c>
      <c r="B529" s="1" t="s">
        <v>86</v>
      </c>
      <c r="C529" s="1" t="s">
        <v>167</v>
      </c>
      <c r="D529" s="1" t="s">
        <v>31</v>
      </c>
      <c r="E529" s="1">
        <v>15.6</v>
      </c>
      <c r="F529" s="1" t="s">
        <v>48</v>
      </c>
      <c r="G529" s="1" t="s">
        <v>70</v>
      </c>
      <c r="H529" s="1" t="s">
        <v>18</v>
      </c>
      <c r="I529" s="1" t="s">
        <v>221</v>
      </c>
      <c r="J529" s="1" t="s">
        <v>393</v>
      </c>
      <c r="K529" s="1" t="s">
        <v>36</v>
      </c>
      <c r="L529" s="1" t="s">
        <v>77</v>
      </c>
      <c r="M529" s="1">
        <v>459</v>
      </c>
    </row>
    <row r="530" spans="1:13" ht="15.75" customHeight="1">
      <c r="A530" s="1">
        <v>535</v>
      </c>
      <c r="B530" s="1" t="s">
        <v>74</v>
      </c>
      <c r="C530" s="1" t="s">
        <v>75</v>
      </c>
      <c r="D530" s="1" t="s">
        <v>31</v>
      </c>
      <c r="E530" s="1">
        <v>15.6</v>
      </c>
      <c r="F530" s="1" t="s">
        <v>32</v>
      </c>
      <c r="G530" s="1" t="s">
        <v>33</v>
      </c>
      <c r="H530" s="1" t="s">
        <v>50</v>
      </c>
      <c r="I530" s="1" t="s">
        <v>51</v>
      </c>
      <c r="J530" s="1" t="s">
        <v>76</v>
      </c>
      <c r="K530" s="1" t="s">
        <v>53</v>
      </c>
      <c r="L530" s="1" t="s">
        <v>116</v>
      </c>
      <c r="M530" s="1">
        <v>585</v>
      </c>
    </row>
    <row r="531" spans="1:13" ht="15.75" customHeight="1">
      <c r="A531" s="1">
        <v>536</v>
      </c>
      <c r="B531" s="1" t="s">
        <v>74</v>
      </c>
      <c r="C531" s="1" t="s">
        <v>663</v>
      </c>
      <c r="D531" s="1" t="s">
        <v>31</v>
      </c>
      <c r="E531" s="1">
        <v>15.6</v>
      </c>
      <c r="F531" s="1" t="s">
        <v>32</v>
      </c>
      <c r="G531" s="1" t="s">
        <v>598</v>
      </c>
      <c r="H531" s="1" t="s">
        <v>18</v>
      </c>
      <c r="I531" s="1" t="s">
        <v>34</v>
      </c>
      <c r="J531" s="1" t="s">
        <v>35</v>
      </c>
      <c r="K531" s="1" t="s">
        <v>53</v>
      </c>
      <c r="L531" s="1" t="s">
        <v>207</v>
      </c>
      <c r="M531" s="1">
        <v>1377</v>
      </c>
    </row>
    <row r="532" spans="1:13" ht="15.75" customHeight="1">
      <c r="A532" s="1">
        <v>537</v>
      </c>
      <c r="B532" s="1" t="s">
        <v>74</v>
      </c>
      <c r="C532" s="1" t="s">
        <v>390</v>
      </c>
      <c r="D532" s="1" t="s">
        <v>102</v>
      </c>
      <c r="E532" s="1">
        <v>17.3</v>
      </c>
      <c r="F532" s="1" t="s">
        <v>66</v>
      </c>
      <c r="G532" s="1" t="s">
        <v>155</v>
      </c>
      <c r="H532" s="1" t="s">
        <v>40</v>
      </c>
      <c r="I532" s="1" t="s">
        <v>104</v>
      </c>
      <c r="J532" s="1" t="s">
        <v>192</v>
      </c>
      <c r="K532" s="1" t="s">
        <v>53</v>
      </c>
      <c r="L532" s="1" t="s">
        <v>391</v>
      </c>
      <c r="M532" s="1">
        <v>3012.77</v>
      </c>
    </row>
    <row r="533" spans="1:13" ht="15.75" customHeight="1">
      <c r="A533" s="1">
        <v>538</v>
      </c>
      <c r="B533" s="1" t="s">
        <v>293</v>
      </c>
      <c r="C533" s="1" t="s">
        <v>294</v>
      </c>
      <c r="D533" s="1" t="s">
        <v>31</v>
      </c>
      <c r="E533" s="1">
        <v>15.6</v>
      </c>
      <c r="F533" s="1" t="s">
        <v>66</v>
      </c>
      <c r="G533" s="1" t="s">
        <v>33</v>
      </c>
      <c r="H533" s="1" t="s">
        <v>18</v>
      </c>
      <c r="I533" s="1" t="s">
        <v>51</v>
      </c>
      <c r="J533" s="1" t="s">
        <v>35</v>
      </c>
      <c r="K533" s="1" t="s">
        <v>53</v>
      </c>
      <c r="L533" s="1" t="s">
        <v>347</v>
      </c>
      <c r="M533" s="1">
        <v>860</v>
      </c>
    </row>
    <row r="534" spans="1:13" ht="15.75" customHeight="1">
      <c r="A534" s="1">
        <v>539</v>
      </c>
      <c r="B534" s="1" t="s">
        <v>60</v>
      </c>
      <c r="C534" s="1" t="s">
        <v>664</v>
      </c>
      <c r="D534" s="1" t="s">
        <v>31</v>
      </c>
      <c r="E534" s="1">
        <v>15.6</v>
      </c>
      <c r="F534" s="1" t="s">
        <v>372</v>
      </c>
      <c r="G534" s="1" t="s">
        <v>83</v>
      </c>
      <c r="H534" s="1" t="s">
        <v>18</v>
      </c>
      <c r="I534" s="1" t="s">
        <v>156</v>
      </c>
      <c r="J534" s="1" t="s">
        <v>665</v>
      </c>
      <c r="K534" s="1" t="s">
        <v>53</v>
      </c>
      <c r="L534" s="1" t="s">
        <v>153</v>
      </c>
      <c r="M534" s="1">
        <v>1299</v>
      </c>
    </row>
    <row r="535" spans="1:13" ht="15.75" customHeight="1">
      <c r="A535" s="1">
        <v>540</v>
      </c>
      <c r="B535" s="1" t="s">
        <v>577</v>
      </c>
      <c r="C535" s="1" t="s">
        <v>666</v>
      </c>
      <c r="D535" s="1" t="s">
        <v>31</v>
      </c>
      <c r="E535" s="1">
        <v>13.3</v>
      </c>
      <c r="F535" s="1" t="s">
        <v>66</v>
      </c>
      <c r="G535" s="1" t="s">
        <v>529</v>
      </c>
      <c r="H535" s="1" t="s">
        <v>50</v>
      </c>
      <c r="I535" s="1" t="s">
        <v>205</v>
      </c>
      <c r="J535" s="1" t="s">
        <v>144</v>
      </c>
      <c r="K535" s="1" t="s">
        <v>53</v>
      </c>
      <c r="L535" s="1" t="s">
        <v>141</v>
      </c>
      <c r="M535" s="1">
        <v>369</v>
      </c>
    </row>
    <row r="536" spans="1:13" ht="15.75" customHeight="1">
      <c r="A536" s="1">
        <v>541</v>
      </c>
      <c r="B536" s="1" t="s">
        <v>60</v>
      </c>
      <c r="C536" s="1" t="s">
        <v>535</v>
      </c>
      <c r="D536" s="1" t="s">
        <v>102</v>
      </c>
      <c r="E536" s="1">
        <v>15.6</v>
      </c>
      <c r="F536" s="1" t="s">
        <v>66</v>
      </c>
      <c r="G536" s="1" t="s">
        <v>103</v>
      </c>
      <c r="H536" s="1" t="s">
        <v>18</v>
      </c>
      <c r="I536" s="1" t="s">
        <v>104</v>
      </c>
      <c r="J536" s="1" t="s">
        <v>157</v>
      </c>
      <c r="K536" s="1" t="s">
        <v>53</v>
      </c>
      <c r="L536" s="1" t="s">
        <v>116</v>
      </c>
      <c r="M536" s="1">
        <v>1649</v>
      </c>
    </row>
    <row r="537" spans="1:13" ht="15.75" customHeight="1">
      <c r="A537" s="1">
        <v>542</v>
      </c>
      <c r="B537" s="1" t="s">
        <v>74</v>
      </c>
      <c r="C537" s="1" t="s">
        <v>663</v>
      </c>
      <c r="D537" s="1" t="s">
        <v>31</v>
      </c>
      <c r="E537" s="1">
        <v>15.6</v>
      </c>
      <c r="F537" s="1" t="s">
        <v>32</v>
      </c>
      <c r="G537" s="1" t="s">
        <v>476</v>
      </c>
      <c r="H537" s="1" t="s">
        <v>18</v>
      </c>
      <c r="I537" s="1" t="s">
        <v>34</v>
      </c>
      <c r="J537" s="1" t="s">
        <v>127</v>
      </c>
      <c r="K537" s="1" t="s">
        <v>53</v>
      </c>
      <c r="L537" s="1" t="s">
        <v>667</v>
      </c>
      <c r="M537" s="1">
        <v>1369</v>
      </c>
    </row>
    <row r="538" spans="1:13" ht="15.75" customHeight="1">
      <c r="A538" s="1">
        <v>543</v>
      </c>
      <c r="B538" s="1" t="s">
        <v>74</v>
      </c>
      <c r="C538" s="1" t="s">
        <v>120</v>
      </c>
      <c r="D538" s="1" t="s">
        <v>31</v>
      </c>
      <c r="E538" s="1">
        <v>15.6</v>
      </c>
      <c r="F538" s="1" t="s">
        <v>32</v>
      </c>
      <c r="G538" s="1" t="s">
        <v>67</v>
      </c>
      <c r="H538" s="1" t="s">
        <v>18</v>
      </c>
      <c r="I538" s="1" t="s">
        <v>34</v>
      </c>
      <c r="J538" s="1" t="s">
        <v>121</v>
      </c>
      <c r="K538" s="1" t="s">
        <v>53</v>
      </c>
      <c r="L538" s="1" t="s">
        <v>77</v>
      </c>
      <c r="M538" s="1">
        <v>797.41</v>
      </c>
    </row>
    <row r="539" spans="1:13" ht="15.75" customHeight="1">
      <c r="A539" s="1">
        <v>544</v>
      </c>
      <c r="B539" s="1" t="s">
        <v>29</v>
      </c>
      <c r="C539" s="1" t="s">
        <v>30</v>
      </c>
      <c r="D539" s="1" t="s">
        <v>31</v>
      </c>
      <c r="E539" s="1">
        <v>15.6</v>
      </c>
      <c r="F539" s="1" t="s">
        <v>32</v>
      </c>
      <c r="G539" s="1" t="s">
        <v>491</v>
      </c>
      <c r="H539" s="1" t="s">
        <v>50</v>
      </c>
      <c r="I539" s="1" t="s">
        <v>34</v>
      </c>
      <c r="J539" s="1" t="s">
        <v>492</v>
      </c>
      <c r="K539" s="1" t="s">
        <v>53</v>
      </c>
      <c r="L539" s="1" t="s">
        <v>37</v>
      </c>
      <c r="M539" s="1">
        <v>398.99</v>
      </c>
    </row>
    <row r="540" spans="1:13" ht="15.75" customHeight="1">
      <c r="A540" s="1">
        <v>545</v>
      </c>
      <c r="B540" s="1" t="s">
        <v>29</v>
      </c>
      <c r="C540" s="1" t="s">
        <v>668</v>
      </c>
      <c r="D540" s="1" t="s">
        <v>102</v>
      </c>
      <c r="E540" s="1">
        <v>17.3</v>
      </c>
      <c r="F540" s="1" t="s">
        <v>32</v>
      </c>
      <c r="G540" s="1" t="s">
        <v>155</v>
      </c>
      <c r="H540" s="1" t="s">
        <v>162</v>
      </c>
      <c r="I540" s="1" t="s">
        <v>89</v>
      </c>
      <c r="J540" s="1" t="s">
        <v>157</v>
      </c>
      <c r="K540" s="1" t="s">
        <v>53</v>
      </c>
      <c r="L540" s="1" t="s">
        <v>249</v>
      </c>
      <c r="M540" s="1">
        <v>1799</v>
      </c>
    </row>
    <row r="541" spans="1:13" ht="15.75" customHeight="1">
      <c r="A541" s="1">
        <v>546</v>
      </c>
      <c r="B541" s="1" t="s">
        <v>86</v>
      </c>
      <c r="C541" s="1" t="s">
        <v>669</v>
      </c>
      <c r="D541" s="1" t="s">
        <v>31</v>
      </c>
      <c r="E541" s="1">
        <v>14</v>
      </c>
      <c r="F541" s="1" t="s">
        <v>66</v>
      </c>
      <c r="G541" s="1" t="s">
        <v>83</v>
      </c>
      <c r="H541" s="1" t="s">
        <v>18</v>
      </c>
      <c r="I541" s="1" t="s">
        <v>34</v>
      </c>
      <c r="J541" s="1" t="s">
        <v>90</v>
      </c>
      <c r="K541" s="1" t="s">
        <v>53</v>
      </c>
      <c r="L541" s="1" t="s">
        <v>670</v>
      </c>
      <c r="M541" s="1">
        <v>859</v>
      </c>
    </row>
    <row r="542" spans="1:13" ht="15.75" customHeight="1">
      <c r="A542" s="1">
        <v>547</v>
      </c>
      <c r="B542" s="1" t="s">
        <v>74</v>
      </c>
      <c r="C542" s="1" t="s">
        <v>91</v>
      </c>
      <c r="D542" s="1" t="s">
        <v>15</v>
      </c>
      <c r="E542" s="1">
        <v>13.3</v>
      </c>
      <c r="F542" s="1" t="s">
        <v>262</v>
      </c>
      <c r="G542" s="1" t="s">
        <v>62</v>
      </c>
      <c r="H542" s="1" t="s">
        <v>18</v>
      </c>
      <c r="I542" s="1" t="s">
        <v>34</v>
      </c>
      <c r="J542" s="1" t="s">
        <v>68</v>
      </c>
      <c r="K542" s="1" t="s">
        <v>53</v>
      </c>
      <c r="L542" s="1" t="s">
        <v>141</v>
      </c>
      <c r="M542" s="1">
        <v>1399</v>
      </c>
    </row>
    <row r="543" spans="1:13" ht="15.75" customHeight="1">
      <c r="A543" s="1">
        <v>548</v>
      </c>
      <c r="B543" s="1" t="s">
        <v>74</v>
      </c>
      <c r="C543" s="1" t="s">
        <v>404</v>
      </c>
      <c r="D543" s="1" t="s">
        <v>31</v>
      </c>
      <c r="E543" s="1">
        <v>14</v>
      </c>
      <c r="F543" s="1" t="s">
        <v>32</v>
      </c>
      <c r="G543" s="1" t="s">
        <v>70</v>
      </c>
      <c r="H543" s="1" t="s">
        <v>50</v>
      </c>
      <c r="I543" s="1" t="s">
        <v>19</v>
      </c>
      <c r="J543" s="1" t="s">
        <v>71</v>
      </c>
      <c r="K543" s="1" t="s">
        <v>53</v>
      </c>
      <c r="L543" s="1" t="s">
        <v>69</v>
      </c>
      <c r="M543" s="1">
        <v>735.87</v>
      </c>
    </row>
    <row r="544" spans="1:13" ht="15.75" customHeight="1">
      <c r="A544" s="1">
        <v>549</v>
      </c>
      <c r="B544" s="1" t="s">
        <v>29</v>
      </c>
      <c r="C544" s="1" t="s">
        <v>671</v>
      </c>
      <c r="D544" s="1" t="s">
        <v>15</v>
      </c>
      <c r="E544" s="1">
        <v>13.3</v>
      </c>
      <c r="F544" s="1" t="s">
        <v>672</v>
      </c>
      <c r="G544" s="1" t="s">
        <v>83</v>
      </c>
      <c r="H544" s="1" t="s">
        <v>18</v>
      </c>
      <c r="I544" s="1" t="s">
        <v>34</v>
      </c>
      <c r="J544" s="1" t="s">
        <v>35</v>
      </c>
      <c r="K544" s="1" t="s">
        <v>53</v>
      </c>
      <c r="L544" s="1" t="s">
        <v>28</v>
      </c>
      <c r="M544" s="1">
        <v>1145</v>
      </c>
    </row>
    <row r="545" spans="1:13" ht="15.75" customHeight="1">
      <c r="A545" s="1">
        <v>550</v>
      </c>
      <c r="B545" s="1" t="s">
        <v>46</v>
      </c>
      <c r="C545" s="1" t="s">
        <v>383</v>
      </c>
      <c r="D545" s="1" t="s">
        <v>102</v>
      </c>
      <c r="E545" s="1">
        <v>15.6</v>
      </c>
      <c r="F545" s="1" t="s">
        <v>32</v>
      </c>
      <c r="G545" s="1" t="s">
        <v>103</v>
      </c>
      <c r="H545" s="1" t="s">
        <v>18</v>
      </c>
      <c r="I545" s="1" t="s">
        <v>89</v>
      </c>
      <c r="J545" s="1" t="s">
        <v>105</v>
      </c>
      <c r="K545" s="1" t="s">
        <v>147</v>
      </c>
      <c r="L545" s="1" t="s">
        <v>183</v>
      </c>
      <c r="M545" s="1">
        <v>798</v>
      </c>
    </row>
    <row r="546" spans="1:13" ht="15.75" customHeight="1">
      <c r="A546" s="1">
        <v>551</v>
      </c>
      <c r="B546" s="1" t="s">
        <v>60</v>
      </c>
      <c r="C546" s="1" t="s">
        <v>673</v>
      </c>
      <c r="D546" s="1" t="s">
        <v>31</v>
      </c>
      <c r="E546" s="1">
        <v>15.6</v>
      </c>
      <c r="F546" s="1" t="s">
        <v>48</v>
      </c>
      <c r="G546" s="1" t="s">
        <v>674</v>
      </c>
      <c r="H546" s="1" t="s">
        <v>50</v>
      </c>
      <c r="I546" s="1" t="s">
        <v>51</v>
      </c>
      <c r="J546" s="1" t="s">
        <v>675</v>
      </c>
      <c r="K546" s="1" t="s">
        <v>53</v>
      </c>
      <c r="L546" s="1" t="s">
        <v>153</v>
      </c>
      <c r="M546" s="1">
        <v>349</v>
      </c>
    </row>
    <row r="547" spans="1:13" ht="15.75" customHeight="1">
      <c r="A547" s="1">
        <v>552</v>
      </c>
      <c r="B547" s="1" t="s">
        <v>29</v>
      </c>
      <c r="C547" s="1" t="s">
        <v>150</v>
      </c>
      <c r="D547" s="1" t="s">
        <v>31</v>
      </c>
      <c r="E547" s="1">
        <v>15.6</v>
      </c>
      <c r="F547" s="1" t="s">
        <v>32</v>
      </c>
      <c r="G547" s="1" t="s">
        <v>88</v>
      </c>
      <c r="H547" s="1" t="s">
        <v>50</v>
      </c>
      <c r="I547" s="1" t="s">
        <v>19</v>
      </c>
      <c r="J547" s="1" t="s">
        <v>35</v>
      </c>
      <c r="K547" s="1" t="s">
        <v>53</v>
      </c>
      <c r="L547" s="1" t="s">
        <v>54</v>
      </c>
      <c r="M547" s="1">
        <v>705.5</v>
      </c>
    </row>
    <row r="548" spans="1:13" ht="15.75" customHeight="1">
      <c r="A548" s="1">
        <v>553</v>
      </c>
      <c r="B548" s="1" t="s">
        <v>86</v>
      </c>
      <c r="C548" s="1" t="s">
        <v>676</v>
      </c>
      <c r="D548" s="1" t="s">
        <v>31</v>
      </c>
      <c r="E548" s="1">
        <v>14</v>
      </c>
      <c r="F548" s="1" t="s">
        <v>32</v>
      </c>
      <c r="G548" s="1" t="s">
        <v>33</v>
      </c>
      <c r="H548" s="1" t="s">
        <v>50</v>
      </c>
      <c r="I548" s="1" t="s">
        <v>51</v>
      </c>
      <c r="J548" s="1" t="s">
        <v>35</v>
      </c>
      <c r="K548" s="1" t="s">
        <v>53</v>
      </c>
      <c r="L548" s="1" t="s">
        <v>670</v>
      </c>
      <c r="M548" s="1">
        <v>785</v>
      </c>
    </row>
    <row r="549" spans="1:13" ht="15.75" customHeight="1">
      <c r="A549" s="1">
        <v>554</v>
      </c>
      <c r="B549" s="1" t="s">
        <v>86</v>
      </c>
      <c r="C549" s="1" t="s">
        <v>677</v>
      </c>
      <c r="D549" s="1" t="s">
        <v>31</v>
      </c>
      <c r="E549" s="1">
        <v>15.6</v>
      </c>
      <c r="F549" s="1" t="s">
        <v>32</v>
      </c>
      <c r="G549" s="1" t="s">
        <v>295</v>
      </c>
      <c r="H549" s="1" t="s">
        <v>50</v>
      </c>
      <c r="I549" s="1" t="s">
        <v>89</v>
      </c>
      <c r="J549" s="1" t="s">
        <v>71</v>
      </c>
      <c r="K549" s="1" t="s">
        <v>36</v>
      </c>
      <c r="L549" s="1" t="s">
        <v>450</v>
      </c>
      <c r="M549" s="1">
        <v>462.35</v>
      </c>
    </row>
    <row r="550" spans="1:13" ht="15.75" customHeight="1">
      <c r="A550" s="1">
        <v>555</v>
      </c>
      <c r="B550" s="1" t="s">
        <v>29</v>
      </c>
      <c r="C550" s="1" t="s">
        <v>30</v>
      </c>
      <c r="D550" s="1" t="s">
        <v>31</v>
      </c>
      <c r="E550" s="1">
        <v>15.6</v>
      </c>
      <c r="F550" s="1" t="s">
        <v>32</v>
      </c>
      <c r="G550" s="1" t="s">
        <v>70</v>
      </c>
      <c r="H550" s="1" t="s">
        <v>50</v>
      </c>
      <c r="I550" s="1" t="s">
        <v>51</v>
      </c>
      <c r="J550" s="1" t="s">
        <v>71</v>
      </c>
      <c r="K550" s="1" t="s">
        <v>53</v>
      </c>
      <c r="L550" s="1" t="s">
        <v>37</v>
      </c>
      <c r="M550" s="1">
        <v>397</v>
      </c>
    </row>
    <row r="551" spans="1:13" ht="15.75" customHeight="1">
      <c r="A551" s="1">
        <v>556</v>
      </c>
      <c r="B551" s="1" t="s">
        <v>86</v>
      </c>
      <c r="C551" s="1" t="s">
        <v>678</v>
      </c>
      <c r="D551" s="1" t="s">
        <v>31</v>
      </c>
      <c r="E551" s="1">
        <v>15.6</v>
      </c>
      <c r="F551" s="1" t="s">
        <v>66</v>
      </c>
      <c r="G551" s="1" t="s">
        <v>83</v>
      </c>
      <c r="H551" s="1" t="s">
        <v>18</v>
      </c>
      <c r="I551" s="1" t="s">
        <v>41</v>
      </c>
      <c r="J551" s="1" t="s">
        <v>35</v>
      </c>
      <c r="K551" s="1" t="s">
        <v>53</v>
      </c>
      <c r="L551" s="1" t="s">
        <v>638</v>
      </c>
      <c r="M551" s="1">
        <v>1729</v>
      </c>
    </row>
    <row r="552" spans="1:13" ht="15.75" customHeight="1">
      <c r="A552" s="1">
        <v>557</v>
      </c>
      <c r="B552" s="1" t="s">
        <v>86</v>
      </c>
      <c r="C552" s="1" t="s">
        <v>167</v>
      </c>
      <c r="D552" s="1" t="s">
        <v>31</v>
      </c>
      <c r="E552" s="1">
        <v>15.6</v>
      </c>
      <c r="F552" s="1" t="s">
        <v>32</v>
      </c>
      <c r="G552" s="1" t="s">
        <v>70</v>
      </c>
      <c r="H552" s="1" t="s">
        <v>50</v>
      </c>
      <c r="I552" s="1" t="s">
        <v>19</v>
      </c>
      <c r="J552" s="1" t="s">
        <v>71</v>
      </c>
      <c r="K552" s="1" t="s">
        <v>53</v>
      </c>
      <c r="L552" s="1" t="s">
        <v>77</v>
      </c>
      <c r="M552" s="1">
        <v>499</v>
      </c>
    </row>
    <row r="553" spans="1:13" ht="15.75" customHeight="1">
      <c r="A553" s="1">
        <v>558</v>
      </c>
      <c r="B553" s="1" t="s">
        <v>74</v>
      </c>
      <c r="C553" s="1" t="s">
        <v>663</v>
      </c>
      <c r="D553" s="1" t="s">
        <v>31</v>
      </c>
      <c r="E553" s="1">
        <v>15.6</v>
      </c>
      <c r="F553" s="1" t="s">
        <v>32</v>
      </c>
      <c r="G553" s="1" t="s">
        <v>33</v>
      </c>
      <c r="H553" s="1" t="s">
        <v>18</v>
      </c>
      <c r="I553" s="1" t="s">
        <v>34</v>
      </c>
      <c r="J553" s="1" t="s">
        <v>35</v>
      </c>
      <c r="K553" s="1" t="s">
        <v>53</v>
      </c>
      <c r="L553" s="1" t="s">
        <v>207</v>
      </c>
      <c r="M553" s="1">
        <v>1116.99</v>
      </c>
    </row>
    <row r="554" spans="1:13" ht="15.75" customHeight="1">
      <c r="A554" s="1">
        <v>559</v>
      </c>
      <c r="B554" s="1" t="s">
        <v>74</v>
      </c>
      <c r="C554" s="1" t="s">
        <v>390</v>
      </c>
      <c r="D554" s="1" t="s">
        <v>102</v>
      </c>
      <c r="E554" s="1">
        <v>17.3</v>
      </c>
      <c r="F554" s="1" t="s">
        <v>66</v>
      </c>
      <c r="G554" s="1" t="s">
        <v>155</v>
      </c>
      <c r="H554" s="1" t="s">
        <v>40</v>
      </c>
      <c r="I554" s="1" t="s">
        <v>156</v>
      </c>
      <c r="J554" s="1" t="s">
        <v>192</v>
      </c>
      <c r="K554" s="1" t="s">
        <v>53</v>
      </c>
      <c r="L554" s="1" t="s">
        <v>391</v>
      </c>
      <c r="M554" s="1">
        <v>2699</v>
      </c>
    </row>
    <row r="555" spans="1:13" ht="15.75" customHeight="1">
      <c r="A555" s="1">
        <v>560</v>
      </c>
      <c r="B555" s="1" t="s">
        <v>29</v>
      </c>
      <c r="C555" s="1" t="s">
        <v>679</v>
      </c>
      <c r="D555" s="1" t="s">
        <v>31</v>
      </c>
      <c r="E555" s="1">
        <v>17.3</v>
      </c>
      <c r="F555" s="1" t="s">
        <v>364</v>
      </c>
      <c r="G555" s="1" t="s">
        <v>70</v>
      </c>
      <c r="H555" s="1" t="s">
        <v>18</v>
      </c>
      <c r="I555" s="1" t="s">
        <v>89</v>
      </c>
      <c r="J555" s="1" t="s">
        <v>71</v>
      </c>
      <c r="K555" s="1" t="s">
        <v>53</v>
      </c>
      <c r="L555" s="1" t="s">
        <v>158</v>
      </c>
      <c r="M555" s="1">
        <v>544.15</v>
      </c>
    </row>
    <row r="556" spans="1:13" ht="15.75" customHeight="1">
      <c r="A556" s="1">
        <v>561</v>
      </c>
      <c r="B556" s="1" t="s">
        <v>29</v>
      </c>
      <c r="C556" s="1" t="s">
        <v>126</v>
      </c>
      <c r="D556" s="1" t="s">
        <v>31</v>
      </c>
      <c r="E556" s="1">
        <v>17.3</v>
      </c>
      <c r="F556" s="1" t="s">
        <v>32</v>
      </c>
      <c r="G556" s="1" t="s">
        <v>83</v>
      </c>
      <c r="H556" s="1" t="s">
        <v>18</v>
      </c>
      <c r="I556" s="1" t="s">
        <v>89</v>
      </c>
      <c r="J556" s="1" t="s">
        <v>127</v>
      </c>
      <c r="K556" s="1" t="s">
        <v>53</v>
      </c>
      <c r="L556" s="1" t="s">
        <v>680</v>
      </c>
      <c r="M556" s="1">
        <v>1280</v>
      </c>
    </row>
    <row r="557" spans="1:13" ht="15.75" customHeight="1">
      <c r="A557" s="1">
        <v>562</v>
      </c>
      <c r="B557" s="1" t="s">
        <v>60</v>
      </c>
      <c r="C557" s="1" t="s">
        <v>681</v>
      </c>
      <c r="D557" s="1" t="s">
        <v>31</v>
      </c>
      <c r="E557" s="1">
        <v>15.6</v>
      </c>
      <c r="F557" s="1" t="s">
        <v>48</v>
      </c>
      <c r="G557" s="1" t="s">
        <v>143</v>
      </c>
      <c r="H557" s="1" t="s">
        <v>50</v>
      </c>
      <c r="I557" s="1" t="s">
        <v>51</v>
      </c>
      <c r="J557" s="1" t="s">
        <v>144</v>
      </c>
      <c r="K557" s="1" t="s">
        <v>147</v>
      </c>
      <c r="L557" s="1" t="s">
        <v>153</v>
      </c>
      <c r="M557" s="1">
        <v>224</v>
      </c>
    </row>
    <row r="558" spans="1:13" ht="15.75" customHeight="1">
      <c r="A558" s="1">
        <v>563</v>
      </c>
      <c r="B558" s="1" t="s">
        <v>577</v>
      </c>
      <c r="C558" s="1" t="s">
        <v>682</v>
      </c>
      <c r="D558" s="1" t="s">
        <v>31</v>
      </c>
      <c r="E558" s="1">
        <v>13.3</v>
      </c>
      <c r="F558" s="1" t="s">
        <v>66</v>
      </c>
      <c r="G558" s="1" t="s">
        <v>96</v>
      </c>
      <c r="H558" s="1" t="s">
        <v>50</v>
      </c>
      <c r="I558" s="1" t="s">
        <v>98</v>
      </c>
      <c r="J558" s="1" t="s">
        <v>132</v>
      </c>
      <c r="K558" s="1" t="s">
        <v>53</v>
      </c>
      <c r="L558" s="1" t="s">
        <v>119</v>
      </c>
      <c r="M558" s="1">
        <v>255</v>
      </c>
    </row>
    <row r="559" spans="1:13" ht="15.75" customHeight="1">
      <c r="A559" s="1">
        <v>564</v>
      </c>
      <c r="B559" s="1" t="s">
        <v>86</v>
      </c>
      <c r="C559" s="1" t="s">
        <v>386</v>
      </c>
      <c r="D559" s="1" t="s">
        <v>31</v>
      </c>
      <c r="E559" s="1">
        <v>17.3</v>
      </c>
      <c r="F559" s="1" t="s">
        <v>364</v>
      </c>
      <c r="G559" s="1" t="s">
        <v>83</v>
      </c>
      <c r="H559" s="1" t="s">
        <v>246</v>
      </c>
      <c r="I559" s="1" t="s">
        <v>104</v>
      </c>
      <c r="J559" s="1" t="s">
        <v>90</v>
      </c>
      <c r="K559" s="1" t="s">
        <v>53</v>
      </c>
      <c r="L559" s="1" t="s">
        <v>149</v>
      </c>
      <c r="M559" s="1">
        <v>949</v>
      </c>
    </row>
    <row r="560" spans="1:13" ht="15.75" customHeight="1">
      <c r="A560" s="1">
        <v>565</v>
      </c>
      <c r="B560" s="1" t="s">
        <v>29</v>
      </c>
      <c r="C560" s="1" t="s">
        <v>683</v>
      </c>
      <c r="D560" s="1" t="s">
        <v>31</v>
      </c>
      <c r="E560" s="1">
        <v>15.6</v>
      </c>
      <c r="F560" s="1" t="s">
        <v>66</v>
      </c>
      <c r="G560" s="1" t="s">
        <v>407</v>
      </c>
      <c r="H560" s="1" t="s">
        <v>246</v>
      </c>
      <c r="I560" s="1" t="s">
        <v>19</v>
      </c>
      <c r="J560" s="1" t="s">
        <v>121</v>
      </c>
      <c r="K560" s="1" t="s">
        <v>53</v>
      </c>
      <c r="L560" s="1" t="s">
        <v>115</v>
      </c>
      <c r="M560" s="1">
        <v>568.9</v>
      </c>
    </row>
    <row r="561" spans="1:13" ht="15.75" customHeight="1">
      <c r="A561" s="1">
        <v>566</v>
      </c>
      <c r="B561" s="1" t="s">
        <v>74</v>
      </c>
      <c r="C561" s="1" t="s">
        <v>432</v>
      </c>
      <c r="D561" s="1" t="s">
        <v>31</v>
      </c>
      <c r="E561" s="1">
        <v>15.6</v>
      </c>
      <c r="F561" s="1" t="s">
        <v>48</v>
      </c>
      <c r="G561" s="1" t="s">
        <v>70</v>
      </c>
      <c r="H561" s="1" t="s">
        <v>50</v>
      </c>
      <c r="I561" s="1" t="s">
        <v>89</v>
      </c>
      <c r="J561" s="1" t="s">
        <v>324</v>
      </c>
      <c r="K561" s="1" t="s">
        <v>53</v>
      </c>
      <c r="L561" s="1" t="s">
        <v>433</v>
      </c>
      <c r="M561" s="1">
        <v>617.9</v>
      </c>
    </row>
    <row r="562" spans="1:13" ht="15.75" customHeight="1">
      <c r="A562" s="1">
        <v>567</v>
      </c>
      <c r="B562" s="1" t="s">
        <v>46</v>
      </c>
      <c r="C562" s="1" t="s">
        <v>684</v>
      </c>
      <c r="D562" s="1" t="s">
        <v>111</v>
      </c>
      <c r="E562" s="1">
        <v>11.6</v>
      </c>
      <c r="F562" s="1" t="s">
        <v>92</v>
      </c>
      <c r="G562" s="1" t="s">
        <v>685</v>
      </c>
      <c r="H562" s="1" t="s">
        <v>50</v>
      </c>
      <c r="I562" s="1" t="s">
        <v>98</v>
      </c>
      <c r="J562" s="1" t="s">
        <v>144</v>
      </c>
      <c r="K562" s="1" t="s">
        <v>53</v>
      </c>
      <c r="L562" s="1" t="s">
        <v>242</v>
      </c>
      <c r="M562" s="1">
        <v>349</v>
      </c>
    </row>
    <row r="563" spans="1:13" ht="15.75" customHeight="1">
      <c r="A563" s="1">
        <v>568</v>
      </c>
      <c r="B563" s="1" t="s">
        <v>86</v>
      </c>
      <c r="C563" s="1" t="s">
        <v>686</v>
      </c>
      <c r="D563" s="1" t="s">
        <v>31</v>
      </c>
      <c r="E563" s="1">
        <v>15.6</v>
      </c>
      <c r="F563" s="1" t="s">
        <v>32</v>
      </c>
      <c r="G563" s="1" t="s">
        <v>146</v>
      </c>
      <c r="H563" s="1" t="s">
        <v>50</v>
      </c>
      <c r="I563" s="1" t="s">
        <v>19</v>
      </c>
      <c r="J563" s="1" t="s">
        <v>35</v>
      </c>
      <c r="K563" s="1" t="s">
        <v>53</v>
      </c>
      <c r="L563" s="1" t="s">
        <v>284</v>
      </c>
      <c r="M563" s="1">
        <v>630</v>
      </c>
    </row>
    <row r="564" spans="1:13" ht="15.75" customHeight="1">
      <c r="A564" s="1">
        <v>569</v>
      </c>
      <c r="B564" s="1" t="s">
        <v>29</v>
      </c>
      <c r="C564" s="1" t="s">
        <v>687</v>
      </c>
      <c r="D564" s="1" t="s">
        <v>15</v>
      </c>
      <c r="E564" s="1">
        <v>13.3</v>
      </c>
      <c r="F564" s="1" t="s">
        <v>688</v>
      </c>
      <c r="G564" s="1" t="s">
        <v>299</v>
      </c>
      <c r="H564" s="1" t="s">
        <v>40</v>
      </c>
      <c r="I564" s="1" t="s">
        <v>41</v>
      </c>
      <c r="J564" s="1" t="s">
        <v>300</v>
      </c>
      <c r="K564" s="1" t="s">
        <v>53</v>
      </c>
      <c r="L564" s="1" t="s">
        <v>579</v>
      </c>
      <c r="M564" s="1">
        <v>1965</v>
      </c>
    </row>
    <row r="565" spans="1:13" ht="15.75" customHeight="1">
      <c r="A565" s="1">
        <v>570</v>
      </c>
      <c r="B565" s="1" t="s">
        <v>86</v>
      </c>
      <c r="C565" s="1" t="s">
        <v>689</v>
      </c>
      <c r="D565" s="1" t="s">
        <v>31</v>
      </c>
      <c r="E565" s="1">
        <v>17.3</v>
      </c>
      <c r="F565" s="1" t="s">
        <v>66</v>
      </c>
      <c r="G565" s="1" t="s">
        <v>155</v>
      </c>
      <c r="H565" s="1" t="s">
        <v>18</v>
      </c>
      <c r="I565" s="1" t="s">
        <v>34</v>
      </c>
      <c r="J565" s="1" t="s">
        <v>690</v>
      </c>
      <c r="K565" s="1" t="s">
        <v>53</v>
      </c>
      <c r="L565" s="1" t="s">
        <v>691</v>
      </c>
      <c r="M565" s="1">
        <v>2999</v>
      </c>
    </row>
    <row r="566" spans="1:13" ht="15.75" customHeight="1">
      <c r="A566" s="1">
        <v>571</v>
      </c>
      <c r="B566" s="1" t="s">
        <v>60</v>
      </c>
      <c r="C566" s="1" t="s">
        <v>692</v>
      </c>
      <c r="D566" s="1" t="s">
        <v>31</v>
      </c>
      <c r="E566" s="1">
        <v>15.6</v>
      </c>
      <c r="F566" s="1" t="s">
        <v>32</v>
      </c>
      <c r="G566" s="1" t="s">
        <v>103</v>
      </c>
      <c r="H566" s="1" t="s">
        <v>18</v>
      </c>
      <c r="I566" s="1" t="s">
        <v>104</v>
      </c>
      <c r="J566" s="1" t="s">
        <v>105</v>
      </c>
      <c r="K566" s="1" t="s">
        <v>53</v>
      </c>
      <c r="L566" s="1" t="s">
        <v>106</v>
      </c>
      <c r="M566" s="1">
        <v>839</v>
      </c>
    </row>
    <row r="567" spans="1:13" ht="15.75" customHeight="1">
      <c r="A567" s="1">
        <v>572</v>
      </c>
      <c r="B567" s="1" t="s">
        <v>74</v>
      </c>
      <c r="C567" s="1" t="s">
        <v>91</v>
      </c>
      <c r="D567" s="1" t="s">
        <v>15</v>
      </c>
      <c r="E567" s="1">
        <v>13.3</v>
      </c>
      <c r="F567" s="1" t="s">
        <v>298</v>
      </c>
      <c r="G567" s="1" t="s">
        <v>67</v>
      </c>
      <c r="H567" s="1" t="s">
        <v>18</v>
      </c>
      <c r="I567" s="1" t="s">
        <v>19</v>
      </c>
      <c r="J567" s="1" t="s">
        <v>68</v>
      </c>
      <c r="K567" s="1" t="s">
        <v>53</v>
      </c>
      <c r="L567" s="1" t="s">
        <v>234</v>
      </c>
      <c r="M567" s="1">
        <v>1599</v>
      </c>
    </row>
    <row r="568" spans="1:13" ht="15.75" customHeight="1">
      <c r="A568" s="1">
        <v>573</v>
      </c>
      <c r="B568" s="1" t="s">
        <v>74</v>
      </c>
      <c r="C568" s="1" t="s">
        <v>663</v>
      </c>
      <c r="D568" s="1" t="s">
        <v>31</v>
      </c>
      <c r="E568" s="1">
        <v>15.6</v>
      </c>
      <c r="F568" s="1" t="s">
        <v>48</v>
      </c>
      <c r="G568" s="1" t="s">
        <v>505</v>
      </c>
      <c r="H568" s="1" t="s">
        <v>50</v>
      </c>
      <c r="I568" s="1" t="s">
        <v>51</v>
      </c>
      <c r="J568" s="1" t="s">
        <v>35</v>
      </c>
      <c r="K568" s="1" t="s">
        <v>53</v>
      </c>
      <c r="L568" s="1" t="s">
        <v>667</v>
      </c>
      <c r="M568" s="1">
        <v>959</v>
      </c>
    </row>
    <row r="569" spans="1:13" ht="15.75" customHeight="1">
      <c r="A569" s="1">
        <v>574</v>
      </c>
      <c r="B569" s="1" t="s">
        <v>693</v>
      </c>
      <c r="C569" s="1" t="s">
        <v>694</v>
      </c>
      <c r="D569" s="1" t="s">
        <v>31</v>
      </c>
      <c r="E569" s="1">
        <v>15.6</v>
      </c>
      <c r="F569" s="1" t="s">
        <v>48</v>
      </c>
      <c r="G569" s="1" t="s">
        <v>33</v>
      </c>
      <c r="H569" s="1" t="s">
        <v>18</v>
      </c>
      <c r="I569" s="1" t="s">
        <v>89</v>
      </c>
      <c r="J569" s="1" t="s">
        <v>35</v>
      </c>
      <c r="K569" s="1" t="s">
        <v>53</v>
      </c>
      <c r="L569" s="1" t="s">
        <v>77</v>
      </c>
      <c r="M569" s="1">
        <v>739</v>
      </c>
    </row>
    <row r="570" spans="1:13" ht="15.75" customHeight="1">
      <c r="A570" s="1">
        <v>575</v>
      </c>
      <c r="B570" s="1" t="s">
        <v>86</v>
      </c>
      <c r="C570" s="1" t="s">
        <v>474</v>
      </c>
      <c r="D570" s="1" t="s">
        <v>31</v>
      </c>
      <c r="E570" s="1">
        <v>15.6</v>
      </c>
      <c r="F570" s="1" t="s">
        <v>32</v>
      </c>
      <c r="G570" s="1" t="s">
        <v>173</v>
      </c>
      <c r="H570" s="1" t="s">
        <v>50</v>
      </c>
      <c r="I570" s="1" t="s">
        <v>51</v>
      </c>
      <c r="J570" s="1" t="s">
        <v>329</v>
      </c>
      <c r="K570" s="1" t="s">
        <v>53</v>
      </c>
      <c r="L570" s="1" t="s">
        <v>77</v>
      </c>
      <c r="M570" s="1">
        <v>344</v>
      </c>
    </row>
    <row r="571" spans="1:13" ht="15.75" customHeight="1">
      <c r="A571" s="1">
        <v>576</v>
      </c>
      <c r="B571" s="1" t="s">
        <v>86</v>
      </c>
      <c r="C571" s="1" t="s">
        <v>552</v>
      </c>
      <c r="D571" s="1" t="s">
        <v>31</v>
      </c>
      <c r="E571" s="1">
        <v>14</v>
      </c>
      <c r="F571" s="1" t="s">
        <v>48</v>
      </c>
      <c r="G571" s="1" t="s">
        <v>33</v>
      </c>
      <c r="H571" s="1" t="s">
        <v>50</v>
      </c>
      <c r="I571" s="1" t="s">
        <v>51</v>
      </c>
      <c r="J571" s="1" t="s">
        <v>35</v>
      </c>
      <c r="K571" s="1" t="s">
        <v>53</v>
      </c>
      <c r="L571" s="1" t="s">
        <v>222</v>
      </c>
      <c r="M571" s="1">
        <v>990</v>
      </c>
    </row>
    <row r="572" spans="1:13" ht="15.75" customHeight="1">
      <c r="A572" s="1">
        <v>577</v>
      </c>
      <c r="B572" s="1" t="s">
        <v>29</v>
      </c>
      <c r="C572" s="1" t="s">
        <v>695</v>
      </c>
      <c r="D572" s="1" t="s">
        <v>378</v>
      </c>
      <c r="E572" s="1">
        <v>17.3</v>
      </c>
      <c r="F572" s="1" t="s">
        <v>364</v>
      </c>
      <c r="G572" s="1" t="s">
        <v>598</v>
      </c>
      <c r="H572" s="1" t="s">
        <v>18</v>
      </c>
      <c r="I572" s="1" t="s">
        <v>51</v>
      </c>
      <c r="J572" s="1" t="s">
        <v>381</v>
      </c>
      <c r="K572" s="1" t="s">
        <v>53</v>
      </c>
      <c r="L572" s="1" t="s">
        <v>696</v>
      </c>
      <c r="M572" s="1">
        <v>1860.99</v>
      </c>
    </row>
    <row r="573" spans="1:13" ht="15.75" customHeight="1">
      <c r="A573" s="1">
        <v>578</v>
      </c>
      <c r="B573" s="1" t="s">
        <v>29</v>
      </c>
      <c r="C573" s="1" t="s">
        <v>697</v>
      </c>
      <c r="D573" s="1" t="s">
        <v>31</v>
      </c>
      <c r="E573" s="1">
        <v>14</v>
      </c>
      <c r="F573" s="1" t="s">
        <v>48</v>
      </c>
      <c r="G573" s="1" t="s">
        <v>491</v>
      </c>
      <c r="H573" s="1" t="s">
        <v>18</v>
      </c>
      <c r="I573" s="1" t="s">
        <v>221</v>
      </c>
      <c r="J573" s="1" t="s">
        <v>492</v>
      </c>
      <c r="K573" s="1" t="s">
        <v>53</v>
      </c>
      <c r="L573" s="1" t="s">
        <v>698</v>
      </c>
      <c r="M573" s="1">
        <v>389</v>
      </c>
    </row>
    <row r="574" spans="1:13" ht="15.75" customHeight="1">
      <c r="A574" s="1">
        <v>579</v>
      </c>
      <c r="B574" s="1" t="s">
        <v>29</v>
      </c>
      <c r="C574" s="1" t="s">
        <v>699</v>
      </c>
      <c r="D574" s="1" t="s">
        <v>31</v>
      </c>
      <c r="E574" s="1">
        <v>15.6</v>
      </c>
      <c r="F574" s="1" t="s">
        <v>66</v>
      </c>
      <c r="G574" s="1" t="s">
        <v>700</v>
      </c>
      <c r="H574" s="1" t="s">
        <v>246</v>
      </c>
      <c r="I574" s="1" t="s">
        <v>34</v>
      </c>
      <c r="J574" s="1" t="s">
        <v>121</v>
      </c>
      <c r="K574" s="1" t="s">
        <v>53</v>
      </c>
      <c r="L574" s="1" t="s">
        <v>350</v>
      </c>
      <c r="M574" s="1">
        <v>649</v>
      </c>
    </row>
    <row r="575" spans="1:13" ht="15.75" customHeight="1">
      <c r="A575" s="1">
        <v>580</v>
      </c>
      <c r="B575" s="1" t="s">
        <v>86</v>
      </c>
      <c r="C575" s="1" t="s">
        <v>636</v>
      </c>
      <c r="D575" s="1" t="s">
        <v>31</v>
      </c>
      <c r="E575" s="1">
        <v>15.6</v>
      </c>
      <c r="F575" s="1" t="s">
        <v>32</v>
      </c>
      <c r="G575" s="1" t="s">
        <v>33</v>
      </c>
      <c r="H575" s="1" t="s">
        <v>18</v>
      </c>
      <c r="I575" s="1" t="s">
        <v>34</v>
      </c>
      <c r="J575" s="1" t="s">
        <v>35</v>
      </c>
      <c r="K575" s="1" t="s">
        <v>53</v>
      </c>
      <c r="L575" s="1" t="s">
        <v>116</v>
      </c>
      <c r="M575" s="1">
        <v>830</v>
      </c>
    </row>
    <row r="576" spans="1:13" ht="15.75" customHeight="1">
      <c r="A576" s="1">
        <v>581</v>
      </c>
      <c r="B576" s="1" t="s">
        <v>86</v>
      </c>
      <c r="C576" s="1" t="s">
        <v>701</v>
      </c>
      <c r="D576" s="1" t="s">
        <v>31</v>
      </c>
      <c r="E576" s="1">
        <v>15.6</v>
      </c>
      <c r="F576" s="1" t="s">
        <v>32</v>
      </c>
      <c r="G576" s="1" t="s">
        <v>67</v>
      </c>
      <c r="H576" s="1" t="s">
        <v>50</v>
      </c>
      <c r="I576" s="1" t="s">
        <v>51</v>
      </c>
      <c r="J576" s="1" t="s">
        <v>35</v>
      </c>
      <c r="K576" s="1" t="s">
        <v>53</v>
      </c>
      <c r="L576" s="1" t="s">
        <v>284</v>
      </c>
      <c r="M576" s="1">
        <v>685</v>
      </c>
    </row>
    <row r="577" spans="1:13" ht="15.75" customHeight="1">
      <c r="A577" s="1">
        <v>582</v>
      </c>
      <c r="B577" s="1" t="s">
        <v>577</v>
      </c>
      <c r="C577" s="1" t="s">
        <v>702</v>
      </c>
      <c r="D577" s="1" t="s">
        <v>31</v>
      </c>
      <c r="E577" s="1">
        <v>14</v>
      </c>
      <c r="F577" s="1" t="s">
        <v>32</v>
      </c>
      <c r="G577" s="1" t="s">
        <v>96</v>
      </c>
      <c r="H577" s="1" t="s">
        <v>50</v>
      </c>
      <c r="I577" s="1" t="s">
        <v>205</v>
      </c>
      <c r="J577" s="1" t="s">
        <v>132</v>
      </c>
      <c r="K577" s="1" t="s">
        <v>53</v>
      </c>
      <c r="L577" s="1" t="s">
        <v>199</v>
      </c>
      <c r="M577" s="1">
        <v>249</v>
      </c>
    </row>
    <row r="578" spans="1:13" ht="15.75" customHeight="1">
      <c r="A578" s="1">
        <v>583</v>
      </c>
      <c r="B578" s="1" t="s">
        <v>293</v>
      </c>
      <c r="C578" s="1" t="s">
        <v>703</v>
      </c>
      <c r="D578" s="1" t="s">
        <v>15</v>
      </c>
      <c r="E578" s="1">
        <v>14</v>
      </c>
      <c r="F578" s="1" t="s">
        <v>112</v>
      </c>
      <c r="G578" s="1" t="s">
        <v>83</v>
      </c>
      <c r="H578" s="1" t="s">
        <v>40</v>
      </c>
      <c r="I578" s="1" t="s">
        <v>41</v>
      </c>
      <c r="J578" s="1" t="s">
        <v>35</v>
      </c>
      <c r="K578" s="1" t="s">
        <v>53</v>
      </c>
      <c r="L578" s="1" t="s">
        <v>704</v>
      </c>
      <c r="M578" s="1">
        <v>1865</v>
      </c>
    </row>
    <row r="579" spans="1:13" ht="15.75" customHeight="1">
      <c r="A579" s="1">
        <v>584</v>
      </c>
      <c r="B579" s="1" t="s">
        <v>86</v>
      </c>
      <c r="C579" s="1" t="s">
        <v>705</v>
      </c>
      <c r="D579" s="1" t="s">
        <v>102</v>
      </c>
      <c r="E579" s="1">
        <v>17.3</v>
      </c>
      <c r="F579" s="1" t="s">
        <v>66</v>
      </c>
      <c r="G579" s="1" t="s">
        <v>706</v>
      </c>
      <c r="H579" s="1" t="s">
        <v>338</v>
      </c>
      <c r="I579" s="1" t="s">
        <v>156</v>
      </c>
      <c r="J579" s="1" t="s">
        <v>192</v>
      </c>
      <c r="K579" s="1" t="s">
        <v>53</v>
      </c>
      <c r="L579" s="1" t="s">
        <v>707</v>
      </c>
      <c r="M579" s="1">
        <v>2663</v>
      </c>
    </row>
    <row r="580" spans="1:13" ht="15.75" customHeight="1">
      <c r="A580" s="1">
        <v>585</v>
      </c>
      <c r="B580" s="1" t="s">
        <v>189</v>
      </c>
      <c r="C580" s="1" t="s">
        <v>708</v>
      </c>
      <c r="D580" s="1" t="s">
        <v>102</v>
      </c>
      <c r="E580" s="1">
        <v>17.3</v>
      </c>
      <c r="F580" s="1" t="s">
        <v>32</v>
      </c>
      <c r="G580" s="1" t="s">
        <v>367</v>
      </c>
      <c r="H580" s="1" t="s">
        <v>40</v>
      </c>
      <c r="I580" s="1" t="s">
        <v>339</v>
      </c>
      <c r="J580" s="1" t="s">
        <v>192</v>
      </c>
      <c r="K580" s="1" t="s">
        <v>53</v>
      </c>
      <c r="L580" s="1" t="s">
        <v>430</v>
      </c>
      <c r="M580" s="1">
        <v>2729</v>
      </c>
    </row>
    <row r="581" spans="1:13" ht="15.75" customHeight="1">
      <c r="A581" s="1">
        <v>586</v>
      </c>
      <c r="B581" s="1" t="s">
        <v>74</v>
      </c>
      <c r="C581" s="1" t="s">
        <v>75</v>
      </c>
      <c r="D581" s="1" t="s">
        <v>31</v>
      </c>
      <c r="E581" s="1">
        <v>15.6</v>
      </c>
      <c r="F581" s="1" t="s">
        <v>32</v>
      </c>
      <c r="G581" s="1" t="s">
        <v>83</v>
      </c>
      <c r="H581" s="1" t="s">
        <v>18</v>
      </c>
      <c r="I581" s="1" t="s">
        <v>34</v>
      </c>
      <c r="J581" s="1" t="s">
        <v>76</v>
      </c>
      <c r="K581" s="1" t="s">
        <v>147</v>
      </c>
      <c r="L581" s="1" t="s">
        <v>77</v>
      </c>
      <c r="M581" s="1">
        <v>749.01</v>
      </c>
    </row>
    <row r="582" spans="1:13" ht="15.75" customHeight="1">
      <c r="A582" s="1">
        <v>587</v>
      </c>
      <c r="B582" s="1" t="s">
        <v>577</v>
      </c>
      <c r="C582" s="1" t="s">
        <v>666</v>
      </c>
      <c r="D582" s="1" t="s">
        <v>31</v>
      </c>
      <c r="E582" s="1">
        <v>14</v>
      </c>
      <c r="F582" s="1" t="s">
        <v>66</v>
      </c>
      <c r="G582" s="1" t="s">
        <v>529</v>
      </c>
      <c r="H582" s="1" t="s">
        <v>50</v>
      </c>
      <c r="I582" s="1" t="s">
        <v>205</v>
      </c>
      <c r="J582" s="1" t="s">
        <v>144</v>
      </c>
      <c r="K582" s="1" t="s">
        <v>53</v>
      </c>
      <c r="L582" s="1" t="s">
        <v>488</v>
      </c>
      <c r="M582" s="1">
        <v>389</v>
      </c>
    </row>
    <row r="583" spans="1:13" ht="15.75" customHeight="1">
      <c r="A583" s="1">
        <v>588</v>
      </c>
      <c r="B583" s="1" t="s">
        <v>74</v>
      </c>
      <c r="C583" s="1" t="s">
        <v>663</v>
      </c>
      <c r="D583" s="1" t="s">
        <v>31</v>
      </c>
      <c r="E583" s="1">
        <v>15.6</v>
      </c>
      <c r="F583" s="1" t="s">
        <v>48</v>
      </c>
      <c r="G583" s="1" t="s">
        <v>505</v>
      </c>
      <c r="H583" s="1" t="s">
        <v>18</v>
      </c>
      <c r="I583" s="1" t="s">
        <v>51</v>
      </c>
      <c r="J583" s="1" t="s">
        <v>35</v>
      </c>
      <c r="K583" s="1" t="s">
        <v>53</v>
      </c>
      <c r="L583" s="1" t="s">
        <v>207</v>
      </c>
      <c r="M583" s="1">
        <v>1008.52</v>
      </c>
    </row>
    <row r="584" spans="1:13" ht="15.75" customHeight="1">
      <c r="A584" s="1">
        <v>589</v>
      </c>
      <c r="B584" s="1" t="s">
        <v>29</v>
      </c>
      <c r="C584" s="1" t="s">
        <v>181</v>
      </c>
      <c r="D584" s="1" t="s">
        <v>31</v>
      </c>
      <c r="E584" s="1">
        <v>13.3</v>
      </c>
      <c r="F584" s="1" t="s">
        <v>32</v>
      </c>
      <c r="G584" s="1" t="s">
        <v>88</v>
      </c>
      <c r="H584" s="1" t="s">
        <v>50</v>
      </c>
      <c r="I584" s="1" t="s">
        <v>19</v>
      </c>
      <c r="J584" s="1" t="s">
        <v>35</v>
      </c>
      <c r="K584" s="1" t="s">
        <v>53</v>
      </c>
      <c r="L584" s="1" t="s">
        <v>182</v>
      </c>
      <c r="M584" s="1">
        <v>719</v>
      </c>
    </row>
    <row r="585" spans="1:13" ht="15.75" customHeight="1">
      <c r="A585" s="1">
        <v>590</v>
      </c>
      <c r="B585" s="1" t="s">
        <v>74</v>
      </c>
      <c r="C585" s="1" t="s">
        <v>663</v>
      </c>
      <c r="D585" s="1" t="s">
        <v>31</v>
      </c>
      <c r="E585" s="1">
        <v>15.6</v>
      </c>
      <c r="F585" s="1" t="s">
        <v>32</v>
      </c>
      <c r="G585" s="1" t="s">
        <v>476</v>
      </c>
      <c r="H585" s="1" t="s">
        <v>40</v>
      </c>
      <c r="I585" s="1" t="s">
        <v>34</v>
      </c>
      <c r="J585" s="1" t="s">
        <v>127</v>
      </c>
      <c r="K585" s="1" t="s">
        <v>53</v>
      </c>
      <c r="L585" s="1" t="s">
        <v>667</v>
      </c>
      <c r="M585" s="1">
        <v>1537.39</v>
      </c>
    </row>
    <row r="586" spans="1:13" ht="15.75" customHeight="1">
      <c r="A586" s="1">
        <v>591</v>
      </c>
      <c r="B586" s="1" t="s">
        <v>74</v>
      </c>
      <c r="C586" s="1" t="s">
        <v>709</v>
      </c>
      <c r="D586" s="1" t="s">
        <v>95</v>
      </c>
      <c r="E586" s="1">
        <v>11.6</v>
      </c>
      <c r="F586" s="1" t="s">
        <v>48</v>
      </c>
      <c r="G586" s="1" t="s">
        <v>204</v>
      </c>
      <c r="H586" s="1" t="s">
        <v>50</v>
      </c>
      <c r="I586" s="1" t="s">
        <v>486</v>
      </c>
      <c r="J586" s="1" t="s">
        <v>99</v>
      </c>
      <c r="K586" s="1" t="s">
        <v>456</v>
      </c>
      <c r="L586" s="1" t="s">
        <v>269</v>
      </c>
      <c r="M586" s="1">
        <v>295</v>
      </c>
    </row>
    <row r="587" spans="1:13" ht="15.75" customHeight="1">
      <c r="A587" s="1">
        <v>592</v>
      </c>
      <c r="B587" s="1" t="s">
        <v>189</v>
      </c>
      <c r="C587" s="1" t="s">
        <v>710</v>
      </c>
      <c r="D587" s="1" t="s">
        <v>102</v>
      </c>
      <c r="E587" s="1">
        <v>17.3</v>
      </c>
      <c r="F587" s="1" t="s">
        <v>32</v>
      </c>
      <c r="G587" s="1" t="s">
        <v>706</v>
      </c>
      <c r="H587" s="1" t="s">
        <v>40</v>
      </c>
      <c r="I587" s="1" t="s">
        <v>104</v>
      </c>
      <c r="J587" s="1" t="s">
        <v>420</v>
      </c>
      <c r="K587" s="1" t="s">
        <v>53</v>
      </c>
      <c r="L587" s="1" t="s">
        <v>711</v>
      </c>
      <c r="M587" s="1">
        <v>2349</v>
      </c>
    </row>
    <row r="588" spans="1:13" ht="15.75" customHeight="1">
      <c r="A588" s="1">
        <v>593</v>
      </c>
      <c r="B588" s="1" t="s">
        <v>29</v>
      </c>
      <c r="C588" s="1" t="s">
        <v>712</v>
      </c>
      <c r="D588" s="1" t="s">
        <v>102</v>
      </c>
      <c r="E588" s="1">
        <v>17.3</v>
      </c>
      <c r="F588" s="1" t="s">
        <v>66</v>
      </c>
      <c r="G588" s="1" t="s">
        <v>155</v>
      </c>
      <c r="H588" s="1" t="s">
        <v>40</v>
      </c>
      <c r="I588" s="1" t="s">
        <v>156</v>
      </c>
      <c r="J588" s="1" t="s">
        <v>105</v>
      </c>
      <c r="K588" s="1" t="s">
        <v>53</v>
      </c>
      <c r="L588" s="1" t="s">
        <v>619</v>
      </c>
      <c r="M588" s="1">
        <v>1498</v>
      </c>
    </row>
    <row r="589" spans="1:13" ht="15.75" customHeight="1">
      <c r="A589" s="1">
        <v>594</v>
      </c>
      <c r="B589" s="1" t="s">
        <v>86</v>
      </c>
      <c r="C589" s="1" t="s">
        <v>620</v>
      </c>
      <c r="D589" s="1" t="s">
        <v>15</v>
      </c>
      <c r="E589" s="1">
        <v>14</v>
      </c>
      <c r="F589" s="1" t="s">
        <v>66</v>
      </c>
      <c r="G589" s="1" t="s">
        <v>442</v>
      </c>
      <c r="H589" s="1" t="s">
        <v>162</v>
      </c>
      <c r="I589" s="1" t="s">
        <v>34</v>
      </c>
      <c r="J589" s="1" t="s">
        <v>71</v>
      </c>
      <c r="K589" s="1" t="s">
        <v>53</v>
      </c>
      <c r="L589" s="1" t="s">
        <v>199</v>
      </c>
      <c r="M589" s="1">
        <v>1673</v>
      </c>
    </row>
    <row r="590" spans="1:13" ht="15.75" customHeight="1">
      <c r="A590" s="1">
        <v>595</v>
      </c>
      <c r="B590" s="1" t="s">
        <v>86</v>
      </c>
      <c r="C590" s="1" t="s">
        <v>713</v>
      </c>
      <c r="D590" s="1" t="s">
        <v>31</v>
      </c>
      <c r="E590" s="1">
        <v>15.6</v>
      </c>
      <c r="F590" s="1" t="s">
        <v>382</v>
      </c>
      <c r="G590" s="1" t="s">
        <v>62</v>
      </c>
      <c r="H590" s="1" t="s">
        <v>162</v>
      </c>
      <c r="I590" s="1" t="s">
        <v>89</v>
      </c>
      <c r="J590" s="1" t="s">
        <v>35</v>
      </c>
      <c r="K590" s="1" t="s">
        <v>53</v>
      </c>
      <c r="L590" s="1" t="s">
        <v>77</v>
      </c>
      <c r="M590" s="1">
        <v>609</v>
      </c>
    </row>
    <row r="591" spans="1:13" ht="15.75" customHeight="1">
      <c r="A591" s="1">
        <v>596</v>
      </c>
      <c r="B591" s="1" t="s">
        <v>60</v>
      </c>
      <c r="C591" s="1" t="s">
        <v>535</v>
      </c>
      <c r="D591" s="1" t="s">
        <v>102</v>
      </c>
      <c r="E591" s="1">
        <v>17.3</v>
      </c>
      <c r="F591" s="1" t="s">
        <v>66</v>
      </c>
      <c r="G591" s="1" t="s">
        <v>103</v>
      </c>
      <c r="H591" s="1" t="s">
        <v>18</v>
      </c>
      <c r="I591" s="1" t="s">
        <v>104</v>
      </c>
      <c r="J591" s="1" t="s">
        <v>157</v>
      </c>
      <c r="K591" s="1" t="s">
        <v>53</v>
      </c>
      <c r="L591" s="1" t="s">
        <v>714</v>
      </c>
      <c r="M591" s="1">
        <v>1770</v>
      </c>
    </row>
    <row r="592" spans="1:13" ht="15.75" customHeight="1">
      <c r="A592" s="1">
        <v>597</v>
      </c>
      <c r="B592" s="1" t="s">
        <v>60</v>
      </c>
      <c r="C592" s="1" t="s">
        <v>715</v>
      </c>
      <c r="D592" s="1" t="s">
        <v>111</v>
      </c>
      <c r="E592" s="1">
        <v>15.6</v>
      </c>
      <c r="F592" s="1" t="s">
        <v>382</v>
      </c>
      <c r="G592" s="1" t="s">
        <v>33</v>
      </c>
      <c r="H592" s="1" t="s">
        <v>18</v>
      </c>
      <c r="I592" s="1" t="s">
        <v>89</v>
      </c>
      <c r="J592" s="1" t="s">
        <v>71</v>
      </c>
      <c r="K592" s="1" t="s">
        <v>53</v>
      </c>
      <c r="L592" s="1" t="s">
        <v>77</v>
      </c>
      <c r="M592" s="1">
        <v>739</v>
      </c>
    </row>
    <row r="593" spans="1:13" ht="15.75" customHeight="1">
      <c r="A593" s="1">
        <v>598</v>
      </c>
      <c r="B593" s="1" t="s">
        <v>86</v>
      </c>
      <c r="C593" s="1" t="s">
        <v>510</v>
      </c>
      <c r="D593" s="1" t="s">
        <v>31</v>
      </c>
      <c r="E593" s="1">
        <v>15.6</v>
      </c>
      <c r="F593" s="1" t="s">
        <v>32</v>
      </c>
      <c r="G593" s="1" t="s">
        <v>511</v>
      </c>
      <c r="H593" s="1" t="s">
        <v>162</v>
      </c>
      <c r="I593" s="1" t="s">
        <v>41</v>
      </c>
      <c r="J593" s="1" t="s">
        <v>121</v>
      </c>
      <c r="K593" s="1" t="s">
        <v>53</v>
      </c>
      <c r="L593" s="1" t="s">
        <v>77</v>
      </c>
      <c r="M593" s="1">
        <v>949</v>
      </c>
    </row>
    <row r="594" spans="1:13" ht="15.75" customHeight="1">
      <c r="A594" s="1">
        <v>599</v>
      </c>
      <c r="B594" s="1" t="s">
        <v>74</v>
      </c>
      <c r="C594" s="1" t="s">
        <v>716</v>
      </c>
      <c r="D594" s="1" t="s">
        <v>111</v>
      </c>
      <c r="E594" s="1">
        <v>11.6</v>
      </c>
      <c r="F594" s="1" t="s">
        <v>382</v>
      </c>
      <c r="G594" s="1" t="s">
        <v>717</v>
      </c>
      <c r="H594" s="1" t="s">
        <v>50</v>
      </c>
      <c r="I594" s="1" t="s">
        <v>19</v>
      </c>
      <c r="J594" s="1" t="s">
        <v>81</v>
      </c>
      <c r="K594" s="1" t="s">
        <v>53</v>
      </c>
      <c r="L594" s="1" t="s">
        <v>718</v>
      </c>
      <c r="M594" s="1">
        <v>603</v>
      </c>
    </row>
    <row r="595" spans="1:13" ht="15.75" customHeight="1">
      <c r="A595" s="1">
        <v>600</v>
      </c>
      <c r="B595" s="1" t="s">
        <v>580</v>
      </c>
      <c r="C595" s="1" t="s">
        <v>719</v>
      </c>
      <c r="D595" s="1" t="s">
        <v>31</v>
      </c>
      <c r="E595" s="1">
        <v>15.6</v>
      </c>
      <c r="F595" s="1" t="s">
        <v>32</v>
      </c>
      <c r="G595" s="1" t="s">
        <v>155</v>
      </c>
      <c r="H595" s="1" t="s">
        <v>40</v>
      </c>
      <c r="I595" s="1" t="s">
        <v>104</v>
      </c>
      <c r="J595" s="1" t="s">
        <v>105</v>
      </c>
      <c r="K595" s="1" t="s">
        <v>53</v>
      </c>
      <c r="L595" s="1" t="s">
        <v>106</v>
      </c>
      <c r="M595" s="1">
        <v>1699</v>
      </c>
    </row>
    <row r="596" spans="1:13" ht="15.75" customHeight="1">
      <c r="A596" s="1">
        <v>601</v>
      </c>
      <c r="B596" s="1" t="s">
        <v>86</v>
      </c>
      <c r="C596" s="1" t="s">
        <v>720</v>
      </c>
      <c r="D596" s="1" t="s">
        <v>31</v>
      </c>
      <c r="E596" s="1">
        <v>17.3</v>
      </c>
      <c r="F596" s="1" t="s">
        <v>32</v>
      </c>
      <c r="G596" s="1" t="s">
        <v>70</v>
      </c>
      <c r="H596" s="1" t="s">
        <v>50</v>
      </c>
      <c r="I596" s="1" t="s">
        <v>51</v>
      </c>
      <c r="J596" s="1" t="s">
        <v>71</v>
      </c>
      <c r="K596" s="1" t="s">
        <v>36</v>
      </c>
      <c r="L596" s="1" t="s">
        <v>149</v>
      </c>
      <c r="M596" s="1">
        <v>529</v>
      </c>
    </row>
    <row r="597" spans="1:13" ht="15.75" customHeight="1">
      <c r="A597" s="1">
        <v>602</v>
      </c>
      <c r="B597" s="1" t="s">
        <v>86</v>
      </c>
      <c r="C597" s="1" t="s">
        <v>721</v>
      </c>
      <c r="D597" s="1" t="s">
        <v>31</v>
      </c>
      <c r="E597" s="1">
        <v>15.6</v>
      </c>
      <c r="F597" s="1" t="s">
        <v>48</v>
      </c>
      <c r="G597" s="1" t="s">
        <v>627</v>
      </c>
      <c r="H597" s="1" t="s">
        <v>18</v>
      </c>
      <c r="I597" s="1" t="s">
        <v>89</v>
      </c>
      <c r="J597" s="1" t="s">
        <v>71</v>
      </c>
      <c r="K597" s="1" t="s">
        <v>53</v>
      </c>
      <c r="L597" s="1" t="s">
        <v>722</v>
      </c>
      <c r="M597" s="1">
        <v>459</v>
      </c>
    </row>
    <row r="598" spans="1:13" ht="15.75" customHeight="1">
      <c r="A598" s="1">
        <v>603</v>
      </c>
      <c r="B598" s="1" t="s">
        <v>86</v>
      </c>
      <c r="C598" s="1" t="s">
        <v>265</v>
      </c>
      <c r="D598" s="1" t="s">
        <v>111</v>
      </c>
      <c r="E598" s="1">
        <v>13.3</v>
      </c>
      <c r="F598" s="1" t="s">
        <v>92</v>
      </c>
      <c r="G598" s="1" t="s">
        <v>83</v>
      </c>
      <c r="H598" s="1" t="s">
        <v>18</v>
      </c>
      <c r="I598" s="1" t="s">
        <v>41</v>
      </c>
      <c r="J598" s="1" t="s">
        <v>35</v>
      </c>
      <c r="K598" s="1" t="s">
        <v>53</v>
      </c>
      <c r="L598" s="1" t="s">
        <v>22</v>
      </c>
      <c r="M598" s="1">
        <v>2025</v>
      </c>
    </row>
    <row r="599" spans="1:13" ht="15.75" customHeight="1">
      <c r="A599" s="1">
        <v>604</v>
      </c>
      <c r="B599" s="1" t="s">
        <v>86</v>
      </c>
      <c r="C599" s="1" t="s">
        <v>563</v>
      </c>
      <c r="D599" s="1" t="s">
        <v>31</v>
      </c>
      <c r="E599" s="1">
        <v>14</v>
      </c>
      <c r="F599" s="1" t="s">
        <v>66</v>
      </c>
      <c r="G599" s="1" t="s">
        <v>103</v>
      </c>
      <c r="H599" s="1" t="s">
        <v>18</v>
      </c>
      <c r="I599" s="1" t="s">
        <v>34</v>
      </c>
      <c r="J599" s="1" t="s">
        <v>452</v>
      </c>
      <c r="K599" s="1" t="s">
        <v>53</v>
      </c>
      <c r="L599" s="1" t="s">
        <v>196</v>
      </c>
      <c r="M599" s="1">
        <v>1474</v>
      </c>
    </row>
    <row r="600" spans="1:13" ht="15.75" customHeight="1">
      <c r="A600" s="1">
        <v>605</v>
      </c>
      <c r="B600" s="1" t="s">
        <v>74</v>
      </c>
      <c r="C600" s="1" t="s">
        <v>723</v>
      </c>
      <c r="D600" s="1" t="s">
        <v>111</v>
      </c>
      <c r="E600" s="1">
        <v>12.5</v>
      </c>
      <c r="F600" s="1" t="s">
        <v>112</v>
      </c>
      <c r="G600" s="1" t="s">
        <v>33</v>
      </c>
      <c r="H600" s="1" t="s">
        <v>18</v>
      </c>
      <c r="I600" s="1" t="s">
        <v>34</v>
      </c>
      <c r="J600" s="1" t="s">
        <v>35</v>
      </c>
      <c r="K600" s="1" t="s">
        <v>53</v>
      </c>
      <c r="L600" s="1" t="s">
        <v>28</v>
      </c>
      <c r="M600" s="1">
        <v>1670</v>
      </c>
    </row>
    <row r="601" spans="1:13" ht="15.75" customHeight="1">
      <c r="A601" s="1">
        <v>606</v>
      </c>
      <c r="B601" s="1" t="s">
        <v>74</v>
      </c>
      <c r="C601" s="1" t="s">
        <v>601</v>
      </c>
      <c r="D601" s="1" t="s">
        <v>378</v>
      </c>
      <c r="E601" s="1">
        <v>15.6</v>
      </c>
      <c r="F601" s="1" t="s">
        <v>112</v>
      </c>
      <c r="G601" s="1" t="s">
        <v>155</v>
      </c>
      <c r="H601" s="1" t="s">
        <v>18</v>
      </c>
      <c r="I601" s="1" t="s">
        <v>34</v>
      </c>
      <c r="J601" s="1" t="s">
        <v>603</v>
      </c>
      <c r="K601" s="1" t="s">
        <v>53</v>
      </c>
      <c r="L601" s="1" t="s">
        <v>353</v>
      </c>
      <c r="M601" s="1">
        <v>1763</v>
      </c>
    </row>
    <row r="602" spans="1:13" ht="15.75" customHeight="1">
      <c r="A602" s="1">
        <v>607</v>
      </c>
      <c r="B602" s="1" t="s">
        <v>29</v>
      </c>
      <c r="C602" s="1" t="s">
        <v>724</v>
      </c>
      <c r="D602" s="1" t="s">
        <v>31</v>
      </c>
      <c r="E602" s="1">
        <v>15.6</v>
      </c>
      <c r="F602" s="1" t="s">
        <v>32</v>
      </c>
      <c r="G602" s="1" t="s">
        <v>83</v>
      </c>
      <c r="H602" s="1" t="s">
        <v>18</v>
      </c>
      <c r="I602" s="1" t="s">
        <v>34</v>
      </c>
      <c r="J602" s="1" t="s">
        <v>35</v>
      </c>
      <c r="K602" s="1" t="s">
        <v>53</v>
      </c>
      <c r="L602" s="1" t="s">
        <v>507</v>
      </c>
      <c r="M602" s="1">
        <v>1219</v>
      </c>
    </row>
    <row r="603" spans="1:13" ht="15.75" customHeight="1">
      <c r="A603" s="1">
        <v>608</v>
      </c>
      <c r="B603" s="1" t="s">
        <v>29</v>
      </c>
      <c r="C603" s="1" t="s">
        <v>150</v>
      </c>
      <c r="D603" s="1" t="s">
        <v>31</v>
      </c>
      <c r="E603" s="1">
        <v>15.6</v>
      </c>
      <c r="F603" s="1" t="s">
        <v>48</v>
      </c>
      <c r="G603" s="1" t="s">
        <v>88</v>
      </c>
      <c r="H603" s="1" t="s">
        <v>50</v>
      </c>
      <c r="I603" s="1" t="s">
        <v>51</v>
      </c>
      <c r="J603" s="1" t="s">
        <v>35</v>
      </c>
      <c r="K603" s="1" t="s">
        <v>53</v>
      </c>
      <c r="L603" s="1" t="s">
        <v>54</v>
      </c>
      <c r="M603" s="1">
        <v>668.48</v>
      </c>
    </row>
    <row r="604" spans="1:13" ht="15.75" customHeight="1">
      <c r="A604" s="1">
        <v>609</v>
      </c>
      <c r="B604" s="1" t="s">
        <v>46</v>
      </c>
      <c r="C604" s="1" t="s">
        <v>725</v>
      </c>
      <c r="D604" s="1" t="s">
        <v>31</v>
      </c>
      <c r="E604" s="1">
        <v>14</v>
      </c>
      <c r="F604" s="1" t="s">
        <v>32</v>
      </c>
      <c r="G604" s="1" t="s">
        <v>529</v>
      </c>
      <c r="H604" s="1" t="s">
        <v>50</v>
      </c>
      <c r="I604" s="1" t="s">
        <v>98</v>
      </c>
      <c r="J604" s="1" t="s">
        <v>144</v>
      </c>
      <c r="K604" s="1" t="s">
        <v>53</v>
      </c>
      <c r="L604" s="1" t="s">
        <v>69</v>
      </c>
      <c r="M604" s="1">
        <v>329</v>
      </c>
    </row>
    <row r="605" spans="1:13" ht="15.75" customHeight="1">
      <c r="A605" s="1">
        <v>610</v>
      </c>
      <c r="B605" s="1" t="s">
        <v>189</v>
      </c>
      <c r="C605" s="1" t="s">
        <v>726</v>
      </c>
      <c r="D605" s="1" t="s">
        <v>102</v>
      </c>
      <c r="E605" s="1">
        <v>17.3</v>
      </c>
      <c r="F605" s="1" t="s">
        <v>32</v>
      </c>
      <c r="G605" s="1" t="s">
        <v>706</v>
      </c>
      <c r="H605" s="1" t="s">
        <v>40</v>
      </c>
      <c r="I605" s="1" t="s">
        <v>104</v>
      </c>
      <c r="J605" s="1" t="s">
        <v>727</v>
      </c>
      <c r="K605" s="1" t="s">
        <v>53</v>
      </c>
      <c r="L605" s="1" t="s">
        <v>430</v>
      </c>
      <c r="M605" s="1">
        <v>2199</v>
      </c>
    </row>
    <row r="606" spans="1:13" ht="15.75" customHeight="1">
      <c r="A606" s="1">
        <v>611</v>
      </c>
      <c r="B606" s="1" t="s">
        <v>74</v>
      </c>
      <c r="C606" s="1" t="s">
        <v>432</v>
      </c>
      <c r="D606" s="1" t="s">
        <v>31</v>
      </c>
      <c r="E606" s="1">
        <v>15.6</v>
      </c>
      <c r="F606" s="1" t="s">
        <v>48</v>
      </c>
      <c r="G606" s="1" t="s">
        <v>70</v>
      </c>
      <c r="H606" s="1" t="s">
        <v>50</v>
      </c>
      <c r="I606" s="1" t="s">
        <v>89</v>
      </c>
      <c r="J606" s="1" t="s">
        <v>324</v>
      </c>
      <c r="K606" s="1" t="s">
        <v>147</v>
      </c>
      <c r="L606" s="1" t="s">
        <v>433</v>
      </c>
      <c r="M606" s="1">
        <v>465</v>
      </c>
    </row>
    <row r="607" spans="1:13" ht="15.75" customHeight="1">
      <c r="A607" s="1">
        <v>612</v>
      </c>
      <c r="B607" s="1" t="s">
        <v>189</v>
      </c>
      <c r="C607" s="1" t="s">
        <v>728</v>
      </c>
      <c r="D607" s="1" t="s">
        <v>102</v>
      </c>
      <c r="E607" s="1">
        <v>15.6</v>
      </c>
      <c r="F607" s="1" t="s">
        <v>379</v>
      </c>
      <c r="G607" s="1" t="s">
        <v>155</v>
      </c>
      <c r="H607" s="1" t="s">
        <v>40</v>
      </c>
      <c r="I607" s="1" t="s">
        <v>191</v>
      </c>
      <c r="J607" s="1" t="s">
        <v>157</v>
      </c>
      <c r="K607" s="1" t="s">
        <v>53</v>
      </c>
      <c r="L607" s="1" t="s">
        <v>202</v>
      </c>
      <c r="M607" s="1">
        <v>2299</v>
      </c>
    </row>
    <row r="608" spans="1:13" ht="15.75" customHeight="1">
      <c r="A608" s="1">
        <v>613</v>
      </c>
      <c r="B608" s="1" t="s">
        <v>293</v>
      </c>
      <c r="C608" s="1" t="s">
        <v>729</v>
      </c>
      <c r="D608" s="1" t="s">
        <v>31</v>
      </c>
      <c r="E608" s="1">
        <v>15.6</v>
      </c>
      <c r="F608" s="1" t="s">
        <v>66</v>
      </c>
      <c r="G608" s="1" t="s">
        <v>389</v>
      </c>
      <c r="H608" s="1" t="s">
        <v>18</v>
      </c>
      <c r="I608" s="1" t="s">
        <v>34</v>
      </c>
      <c r="J608" s="1" t="s">
        <v>71</v>
      </c>
      <c r="K608" s="1" t="s">
        <v>53</v>
      </c>
      <c r="L608" s="1" t="s">
        <v>77</v>
      </c>
      <c r="M608" s="1">
        <v>1399</v>
      </c>
    </row>
    <row r="609" spans="1:13" ht="15.75" customHeight="1">
      <c r="A609" s="1">
        <v>614</v>
      </c>
      <c r="B609" s="1" t="s">
        <v>86</v>
      </c>
      <c r="C609" s="1" t="s">
        <v>730</v>
      </c>
      <c r="D609" s="1" t="s">
        <v>31</v>
      </c>
      <c r="E609" s="1">
        <v>15.6</v>
      </c>
      <c r="F609" s="1" t="s">
        <v>32</v>
      </c>
      <c r="G609" s="1" t="s">
        <v>33</v>
      </c>
      <c r="H609" s="1" t="s">
        <v>246</v>
      </c>
      <c r="I609" s="1" t="s">
        <v>89</v>
      </c>
      <c r="J609" s="1" t="s">
        <v>35</v>
      </c>
      <c r="K609" s="1" t="s">
        <v>53</v>
      </c>
      <c r="L609" s="1" t="s">
        <v>183</v>
      </c>
      <c r="M609" s="1">
        <v>564</v>
      </c>
    </row>
    <row r="610" spans="1:13" ht="15.75" customHeight="1">
      <c r="A610" s="1">
        <v>615</v>
      </c>
      <c r="B610" s="1" t="s">
        <v>86</v>
      </c>
      <c r="C610" s="1" t="s">
        <v>431</v>
      </c>
      <c r="D610" s="1" t="s">
        <v>111</v>
      </c>
      <c r="E610" s="1">
        <v>15.6</v>
      </c>
      <c r="F610" s="1" t="s">
        <v>92</v>
      </c>
      <c r="G610" s="1" t="s">
        <v>155</v>
      </c>
      <c r="H610" s="1" t="s">
        <v>18</v>
      </c>
      <c r="I610" s="1" t="s">
        <v>34</v>
      </c>
      <c r="J610" s="1" t="s">
        <v>452</v>
      </c>
      <c r="K610" s="1" t="s">
        <v>53</v>
      </c>
      <c r="L610" s="1" t="s">
        <v>153</v>
      </c>
      <c r="M610" s="1">
        <v>1299</v>
      </c>
    </row>
    <row r="611" spans="1:13" ht="15.75" customHeight="1">
      <c r="A611" s="1">
        <v>616</v>
      </c>
      <c r="B611" s="1" t="s">
        <v>46</v>
      </c>
      <c r="C611" s="1" t="s">
        <v>731</v>
      </c>
      <c r="D611" s="1" t="s">
        <v>31</v>
      </c>
      <c r="E611" s="1">
        <v>14</v>
      </c>
      <c r="F611" s="1" t="s">
        <v>48</v>
      </c>
      <c r="G611" s="1" t="s">
        <v>491</v>
      </c>
      <c r="H611" s="1" t="s">
        <v>50</v>
      </c>
      <c r="I611" s="1" t="s">
        <v>26</v>
      </c>
      <c r="J611" s="1" t="s">
        <v>492</v>
      </c>
      <c r="K611" s="1" t="s">
        <v>53</v>
      </c>
      <c r="L611" s="1" t="s">
        <v>69</v>
      </c>
      <c r="M611" s="1">
        <v>349</v>
      </c>
    </row>
    <row r="612" spans="1:13" ht="15.75" customHeight="1">
      <c r="A612" s="1">
        <v>617</v>
      </c>
      <c r="B612" s="1" t="s">
        <v>86</v>
      </c>
      <c r="C612" s="1" t="s">
        <v>584</v>
      </c>
      <c r="D612" s="1" t="s">
        <v>31</v>
      </c>
      <c r="E612" s="1">
        <v>15.6</v>
      </c>
      <c r="F612" s="1" t="s">
        <v>372</v>
      </c>
      <c r="G612" s="1" t="s">
        <v>732</v>
      </c>
      <c r="H612" s="1" t="s">
        <v>338</v>
      </c>
      <c r="I612" s="1" t="s">
        <v>359</v>
      </c>
      <c r="J612" s="1" t="s">
        <v>585</v>
      </c>
      <c r="K612" s="1" t="s">
        <v>53</v>
      </c>
      <c r="L612" s="1" t="s">
        <v>106</v>
      </c>
      <c r="M612" s="1">
        <v>4899</v>
      </c>
    </row>
    <row r="613" spans="1:13" ht="15.75" customHeight="1">
      <c r="A613" s="1">
        <v>618</v>
      </c>
      <c r="B613" s="1" t="s">
        <v>74</v>
      </c>
      <c r="C613" s="1" t="s">
        <v>733</v>
      </c>
      <c r="D613" s="1" t="s">
        <v>102</v>
      </c>
      <c r="E613" s="1">
        <v>15.6</v>
      </c>
      <c r="F613" s="1" t="s">
        <v>32</v>
      </c>
      <c r="G613" s="1" t="s">
        <v>624</v>
      </c>
      <c r="H613" s="1" t="s">
        <v>40</v>
      </c>
      <c r="I613" s="1" t="s">
        <v>89</v>
      </c>
      <c r="J613" s="1" t="s">
        <v>734</v>
      </c>
      <c r="K613" s="1" t="s">
        <v>53</v>
      </c>
      <c r="L613" s="1" t="s">
        <v>735</v>
      </c>
      <c r="M613" s="1">
        <v>879.01</v>
      </c>
    </row>
    <row r="614" spans="1:13" ht="15.75" customHeight="1">
      <c r="A614" s="1">
        <v>619</v>
      </c>
      <c r="B614" s="1" t="s">
        <v>74</v>
      </c>
      <c r="C614" s="1" t="s">
        <v>432</v>
      </c>
      <c r="D614" s="1" t="s">
        <v>31</v>
      </c>
      <c r="E614" s="1">
        <v>15.6</v>
      </c>
      <c r="F614" s="1" t="s">
        <v>48</v>
      </c>
      <c r="G614" s="1" t="s">
        <v>446</v>
      </c>
      <c r="H614" s="1" t="s">
        <v>50</v>
      </c>
      <c r="I614" s="1" t="s">
        <v>89</v>
      </c>
      <c r="J614" s="1" t="s">
        <v>71</v>
      </c>
      <c r="K614" s="1" t="s">
        <v>147</v>
      </c>
      <c r="L614" s="1" t="s">
        <v>433</v>
      </c>
      <c r="M614" s="1">
        <v>443.9</v>
      </c>
    </row>
    <row r="615" spans="1:13" ht="15.75" customHeight="1">
      <c r="A615" s="1">
        <v>620</v>
      </c>
      <c r="B615" s="1" t="s">
        <v>74</v>
      </c>
      <c r="C615" s="1" t="s">
        <v>75</v>
      </c>
      <c r="D615" s="1" t="s">
        <v>31</v>
      </c>
      <c r="E615" s="1">
        <v>15.6</v>
      </c>
      <c r="F615" s="1" t="s">
        <v>48</v>
      </c>
      <c r="G615" s="1" t="s">
        <v>446</v>
      </c>
      <c r="H615" s="1" t="s">
        <v>50</v>
      </c>
      <c r="I615" s="1" t="s">
        <v>89</v>
      </c>
      <c r="J615" s="1" t="s">
        <v>71</v>
      </c>
      <c r="K615" s="1" t="s">
        <v>147</v>
      </c>
      <c r="L615" s="1" t="s">
        <v>447</v>
      </c>
      <c r="M615" s="1">
        <v>359</v>
      </c>
    </row>
    <row r="616" spans="1:13" ht="15.75" customHeight="1">
      <c r="A616" s="1">
        <v>621</v>
      </c>
      <c r="B616" s="1" t="s">
        <v>74</v>
      </c>
      <c r="C616" s="1" t="s">
        <v>663</v>
      </c>
      <c r="D616" s="1" t="s">
        <v>31</v>
      </c>
      <c r="E616" s="1">
        <v>15.6</v>
      </c>
      <c r="F616" s="1" t="s">
        <v>48</v>
      </c>
      <c r="G616" s="1" t="s">
        <v>505</v>
      </c>
      <c r="H616" s="1" t="s">
        <v>50</v>
      </c>
      <c r="I616" s="1" t="s">
        <v>51</v>
      </c>
      <c r="J616" s="1" t="s">
        <v>35</v>
      </c>
      <c r="K616" s="1" t="s">
        <v>147</v>
      </c>
      <c r="L616" s="1" t="s">
        <v>667</v>
      </c>
      <c r="M616" s="1">
        <v>869</v>
      </c>
    </row>
    <row r="617" spans="1:13" ht="15.75" customHeight="1">
      <c r="A617" s="1">
        <v>622</v>
      </c>
      <c r="B617" s="1" t="s">
        <v>60</v>
      </c>
      <c r="C617" s="1" t="s">
        <v>736</v>
      </c>
      <c r="D617" s="1" t="s">
        <v>102</v>
      </c>
      <c r="E617" s="1">
        <v>17.3</v>
      </c>
      <c r="F617" s="1" t="s">
        <v>32</v>
      </c>
      <c r="G617" s="1" t="s">
        <v>155</v>
      </c>
      <c r="H617" s="1" t="s">
        <v>18</v>
      </c>
      <c r="I617" s="1" t="s">
        <v>104</v>
      </c>
      <c r="J617" s="1" t="s">
        <v>105</v>
      </c>
      <c r="K617" s="1" t="s">
        <v>53</v>
      </c>
      <c r="L617" s="1" t="s">
        <v>209</v>
      </c>
      <c r="M617" s="1">
        <v>1168</v>
      </c>
    </row>
    <row r="618" spans="1:13" ht="15.75" customHeight="1">
      <c r="A618" s="1">
        <v>623</v>
      </c>
      <c r="B618" s="1" t="s">
        <v>74</v>
      </c>
      <c r="C618" s="1" t="s">
        <v>432</v>
      </c>
      <c r="D618" s="1" t="s">
        <v>31</v>
      </c>
      <c r="E618" s="1">
        <v>15.6</v>
      </c>
      <c r="F618" s="1" t="s">
        <v>32</v>
      </c>
      <c r="G618" s="1" t="s">
        <v>33</v>
      </c>
      <c r="H618" s="1" t="s">
        <v>50</v>
      </c>
      <c r="I618" s="1" t="s">
        <v>19</v>
      </c>
      <c r="J618" s="1" t="s">
        <v>324</v>
      </c>
      <c r="K618" s="1" t="s">
        <v>147</v>
      </c>
      <c r="L618" s="1" t="s">
        <v>433</v>
      </c>
      <c r="M618" s="1">
        <v>569</v>
      </c>
    </row>
    <row r="619" spans="1:13" ht="15.75" customHeight="1">
      <c r="A619" s="1">
        <v>624</v>
      </c>
      <c r="B619" s="1" t="s">
        <v>29</v>
      </c>
      <c r="C619" s="1" t="s">
        <v>724</v>
      </c>
      <c r="D619" s="1" t="s">
        <v>15</v>
      </c>
      <c r="E619" s="1">
        <v>15.6</v>
      </c>
      <c r="F619" s="1" t="s">
        <v>32</v>
      </c>
      <c r="G619" s="1" t="s">
        <v>83</v>
      </c>
      <c r="H619" s="1" t="s">
        <v>18</v>
      </c>
      <c r="I619" s="1" t="s">
        <v>41</v>
      </c>
      <c r="J619" s="1" t="s">
        <v>35</v>
      </c>
      <c r="K619" s="1" t="s">
        <v>53</v>
      </c>
      <c r="L619" s="1" t="s">
        <v>507</v>
      </c>
      <c r="M619" s="1">
        <v>1389</v>
      </c>
    </row>
    <row r="620" spans="1:13" ht="15.75" customHeight="1">
      <c r="A620" s="1">
        <v>625</v>
      </c>
      <c r="B620" s="1" t="s">
        <v>189</v>
      </c>
      <c r="C620" s="1" t="s">
        <v>737</v>
      </c>
      <c r="D620" s="1" t="s">
        <v>102</v>
      </c>
      <c r="E620" s="1">
        <v>15.6</v>
      </c>
      <c r="F620" s="1" t="s">
        <v>32</v>
      </c>
      <c r="G620" s="1" t="s">
        <v>155</v>
      </c>
      <c r="H620" s="1" t="s">
        <v>40</v>
      </c>
      <c r="I620" s="1" t="s">
        <v>156</v>
      </c>
      <c r="J620" s="1" t="s">
        <v>192</v>
      </c>
      <c r="K620" s="1" t="s">
        <v>53</v>
      </c>
      <c r="L620" s="1" t="s">
        <v>738</v>
      </c>
      <c r="M620" s="1">
        <v>2267.86</v>
      </c>
    </row>
    <row r="621" spans="1:13" ht="15.75" customHeight="1">
      <c r="A621" s="1">
        <v>626</v>
      </c>
      <c r="B621" s="1" t="s">
        <v>46</v>
      </c>
      <c r="C621" s="1" t="s">
        <v>739</v>
      </c>
      <c r="D621" s="1" t="s">
        <v>111</v>
      </c>
      <c r="E621" s="1">
        <v>11.6</v>
      </c>
      <c r="F621" s="1" t="s">
        <v>740</v>
      </c>
      <c r="G621" s="1" t="s">
        <v>741</v>
      </c>
      <c r="H621" s="1" t="s">
        <v>50</v>
      </c>
      <c r="I621" s="1" t="s">
        <v>98</v>
      </c>
      <c r="J621" s="1" t="s">
        <v>99</v>
      </c>
      <c r="K621" s="1" t="s">
        <v>456</v>
      </c>
      <c r="L621" s="1" t="s">
        <v>242</v>
      </c>
      <c r="M621" s="1">
        <v>379</v>
      </c>
    </row>
    <row r="622" spans="1:13" ht="15.75" customHeight="1">
      <c r="A622" s="1">
        <v>627</v>
      </c>
      <c r="B622" s="1" t="s">
        <v>29</v>
      </c>
      <c r="C622" s="1" t="s">
        <v>572</v>
      </c>
      <c r="D622" s="1" t="s">
        <v>31</v>
      </c>
      <c r="E622" s="1">
        <v>14</v>
      </c>
      <c r="F622" s="1" t="s">
        <v>48</v>
      </c>
      <c r="G622" s="1" t="s">
        <v>505</v>
      </c>
      <c r="H622" s="1" t="s">
        <v>18</v>
      </c>
      <c r="I622" s="1" t="s">
        <v>34</v>
      </c>
      <c r="J622" s="1" t="s">
        <v>35</v>
      </c>
      <c r="K622" s="1" t="s">
        <v>53</v>
      </c>
      <c r="L622" s="1" t="s">
        <v>573</v>
      </c>
      <c r="M622" s="1">
        <v>1124</v>
      </c>
    </row>
    <row r="623" spans="1:13" ht="15.75" customHeight="1">
      <c r="A623" s="1">
        <v>628</v>
      </c>
      <c r="B623" s="1" t="s">
        <v>86</v>
      </c>
      <c r="C623" s="1" t="s">
        <v>608</v>
      </c>
      <c r="D623" s="1" t="s">
        <v>31</v>
      </c>
      <c r="E623" s="1">
        <v>14</v>
      </c>
      <c r="F623" s="1" t="s">
        <v>32</v>
      </c>
      <c r="G623" s="1" t="s">
        <v>295</v>
      </c>
      <c r="H623" s="1" t="s">
        <v>18</v>
      </c>
      <c r="I623" s="1" t="s">
        <v>34</v>
      </c>
      <c r="J623" s="1" t="s">
        <v>71</v>
      </c>
      <c r="K623" s="1" t="s">
        <v>662</v>
      </c>
      <c r="L623" s="1" t="s">
        <v>136</v>
      </c>
      <c r="M623" s="1">
        <v>1465</v>
      </c>
    </row>
    <row r="624" spans="1:13" ht="15.75" customHeight="1">
      <c r="A624" s="1">
        <v>629</v>
      </c>
      <c r="B624" s="1" t="s">
        <v>74</v>
      </c>
      <c r="C624" s="1" t="s">
        <v>120</v>
      </c>
      <c r="D624" s="1" t="s">
        <v>31</v>
      </c>
      <c r="E624" s="1">
        <v>15.6</v>
      </c>
      <c r="F624" s="1" t="s">
        <v>32</v>
      </c>
      <c r="G624" s="1" t="s">
        <v>67</v>
      </c>
      <c r="H624" s="1" t="s">
        <v>50</v>
      </c>
      <c r="I624" s="1" t="s">
        <v>89</v>
      </c>
      <c r="J624" s="1" t="s">
        <v>121</v>
      </c>
      <c r="K624" s="1" t="s">
        <v>53</v>
      </c>
      <c r="L624" s="1" t="s">
        <v>77</v>
      </c>
      <c r="M624" s="1">
        <v>776</v>
      </c>
    </row>
    <row r="625" spans="1:13" ht="15.75" customHeight="1">
      <c r="A625" s="1">
        <v>630</v>
      </c>
      <c r="B625" s="1" t="s">
        <v>693</v>
      </c>
      <c r="C625" s="1" t="s">
        <v>742</v>
      </c>
      <c r="D625" s="1" t="s">
        <v>31</v>
      </c>
      <c r="E625" s="1">
        <v>15.6</v>
      </c>
      <c r="F625" s="1" t="s">
        <v>48</v>
      </c>
      <c r="G625" s="1" t="s">
        <v>33</v>
      </c>
      <c r="H625" s="1" t="s">
        <v>18</v>
      </c>
      <c r="I625" s="1" t="s">
        <v>34</v>
      </c>
      <c r="J625" s="1" t="s">
        <v>35</v>
      </c>
      <c r="K625" s="1" t="s">
        <v>53</v>
      </c>
      <c r="L625" s="1" t="s">
        <v>77</v>
      </c>
      <c r="M625" s="1">
        <v>799</v>
      </c>
    </row>
    <row r="626" spans="1:13" ht="15.75" customHeight="1">
      <c r="A626" s="1">
        <v>631</v>
      </c>
      <c r="B626" s="1" t="s">
        <v>29</v>
      </c>
      <c r="C626" s="1" t="s">
        <v>724</v>
      </c>
      <c r="D626" s="1" t="s">
        <v>31</v>
      </c>
      <c r="E626" s="1">
        <v>15.6</v>
      </c>
      <c r="F626" s="1" t="s">
        <v>48</v>
      </c>
      <c r="G626" s="1" t="s">
        <v>295</v>
      </c>
      <c r="H626" s="1" t="s">
        <v>50</v>
      </c>
      <c r="I626" s="1" t="s">
        <v>51</v>
      </c>
      <c r="J626" s="1" t="s">
        <v>71</v>
      </c>
      <c r="K626" s="1" t="s">
        <v>662</v>
      </c>
      <c r="L626" s="1" t="s">
        <v>125</v>
      </c>
      <c r="M626" s="1">
        <v>932</v>
      </c>
    </row>
    <row r="627" spans="1:13" ht="15.75" customHeight="1">
      <c r="A627" s="1">
        <v>632</v>
      </c>
      <c r="B627" s="1" t="s">
        <v>86</v>
      </c>
      <c r="C627" s="1" t="s">
        <v>87</v>
      </c>
      <c r="D627" s="1" t="s">
        <v>31</v>
      </c>
      <c r="E627" s="1">
        <v>15.6</v>
      </c>
      <c r="F627" s="1" t="s">
        <v>32</v>
      </c>
      <c r="G627" s="1" t="s">
        <v>83</v>
      </c>
      <c r="H627" s="1" t="s">
        <v>18</v>
      </c>
      <c r="I627" s="1" t="s">
        <v>89</v>
      </c>
      <c r="J627" s="1" t="s">
        <v>174</v>
      </c>
      <c r="K627" s="1" t="s">
        <v>53</v>
      </c>
      <c r="L627" s="1" t="s">
        <v>77</v>
      </c>
      <c r="M627" s="1">
        <v>899</v>
      </c>
    </row>
    <row r="628" spans="1:13" ht="15.75" customHeight="1">
      <c r="A628" s="1">
        <v>633</v>
      </c>
      <c r="B628" s="1" t="s">
        <v>577</v>
      </c>
      <c r="C628" s="1" t="s">
        <v>743</v>
      </c>
      <c r="D628" s="1" t="s">
        <v>31</v>
      </c>
      <c r="E628" s="1">
        <v>14</v>
      </c>
      <c r="F628" s="1" t="s">
        <v>32</v>
      </c>
      <c r="G628" s="1" t="s">
        <v>96</v>
      </c>
      <c r="H628" s="1" t="s">
        <v>97</v>
      </c>
      <c r="I628" s="1" t="s">
        <v>98</v>
      </c>
      <c r="J628" s="1" t="s">
        <v>132</v>
      </c>
      <c r="K628" s="1" t="s">
        <v>53</v>
      </c>
      <c r="L628" s="1" t="s">
        <v>199</v>
      </c>
      <c r="M628" s="1">
        <v>239</v>
      </c>
    </row>
    <row r="629" spans="1:13" ht="15.75" customHeight="1">
      <c r="A629" s="1">
        <v>634</v>
      </c>
      <c r="B629" s="1" t="s">
        <v>86</v>
      </c>
      <c r="C629" s="1" t="s">
        <v>220</v>
      </c>
      <c r="D629" s="1" t="s">
        <v>31</v>
      </c>
      <c r="E629" s="1">
        <v>15.6</v>
      </c>
      <c r="F629" s="1" t="s">
        <v>32</v>
      </c>
      <c r="G629" s="1" t="s">
        <v>33</v>
      </c>
      <c r="H629" s="1" t="s">
        <v>50</v>
      </c>
      <c r="I629" s="1" t="s">
        <v>19</v>
      </c>
      <c r="J629" s="1" t="s">
        <v>35</v>
      </c>
      <c r="K629" s="1" t="s">
        <v>36</v>
      </c>
      <c r="L629" s="1" t="s">
        <v>77</v>
      </c>
      <c r="M629" s="1">
        <v>468</v>
      </c>
    </row>
    <row r="630" spans="1:13" ht="15.75" customHeight="1">
      <c r="A630" s="1">
        <v>635</v>
      </c>
      <c r="B630" s="1" t="s">
        <v>60</v>
      </c>
      <c r="C630" s="1" t="s">
        <v>744</v>
      </c>
      <c r="D630" s="1" t="s">
        <v>111</v>
      </c>
      <c r="E630" s="1">
        <v>13.3</v>
      </c>
      <c r="F630" s="1" t="s">
        <v>112</v>
      </c>
      <c r="G630" s="1" t="s">
        <v>33</v>
      </c>
      <c r="H630" s="1" t="s">
        <v>246</v>
      </c>
      <c r="I630" s="1" t="s">
        <v>89</v>
      </c>
      <c r="J630" s="1" t="s">
        <v>35</v>
      </c>
      <c r="K630" s="1" t="s">
        <v>53</v>
      </c>
      <c r="L630" s="1" t="s">
        <v>244</v>
      </c>
      <c r="M630" s="1">
        <v>639.01</v>
      </c>
    </row>
    <row r="631" spans="1:13" ht="15.75" customHeight="1">
      <c r="A631" s="1">
        <v>636</v>
      </c>
      <c r="B631" s="1" t="s">
        <v>74</v>
      </c>
      <c r="C631" s="1" t="s">
        <v>351</v>
      </c>
      <c r="D631" s="1" t="s">
        <v>31</v>
      </c>
      <c r="E631" s="1">
        <v>15.6</v>
      </c>
      <c r="F631" s="1" t="s">
        <v>32</v>
      </c>
      <c r="G631" s="1" t="s">
        <v>155</v>
      </c>
      <c r="H631" s="1" t="s">
        <v>18</v>
      </c>
      <c r="I631" s="1" t="s">
        <v>34</v>
      </c>
      <c r="J631" s="1" t="s">
        <v>105</v>
      </c>
      <c r="K631" s="1" t="s">
        <v>53</v>
      </c>
      <c r="L631" s="1" t="s">
        <v>153</v>
      </c>
      <c r="M631" s="1">
        <v>1820</v>
      </c>
    </row>
    <row r="632" spans="1:13" ht="15.75" customHeight="1">
      <c r="A632" s="1">
        <v>637</v>
      </c>
      <c r="B632" s="1" t="s">
        <v>60</v>
      </c>
      <c r="C632" s="1" t="s">
        <v>745</v>
      </c>
      <c r="D632" s="1" t="s">
        <v>15</v>
      </c>
      <c r="E632" s="1">
        <v>14</v>
      </c>
      <c r="F632" s="1" t="s">
        <v>32</v>
      </c>
      <c r="G632" s="1" t="s">
        <v>83</v>
      </c>
      <c r="H632" s="1" t="s">
        <v>40</v>
      </c>
      <c r="I632" s="1" t="s">
        <v>41</v>
      </c>
      <c r="J632" s="1" t="s">
        <v>35</v>
      </c>
      <c r="K632" s="1" t="s">
        <v>53</v>
      </c>
      <c r="L632" s="1" t="s">
        <v>319</v>
      </c>
      <c r="M632" s="1">
        <v>1900</v>
      </c>
    </row>
    <row r="633" spans="1:13" ht="15.75" customHeight="1">
      <c r="A633" s="1">
        <v>639</v>
      </c>
      <c r="B633" s="1" t="s">
        <v>74</v>
      </c>
      <c r="C633" s="1" t="s">
        <v>308</v>
      </c>
      <c r="D633" s="1" t="s">
        <v>102</v>
      </c>
      <c r="E633" s="1">
        <v>15.6</v>
      </c>
      <c r="F633" s="1" t="s">
        <v>32</v>
      </c>
      <c r="G633" s="1" t="s">
        <v>155</v>
      </c>
      <c r="H633" s="1" t="s">
        <v>40</v>
      </c>
      <c r="I633" s="1" t="s">
        <v>156</v>
      </c>
      <c r="J633" s="1" t="s">
        <v>201</v>
      </c>
      <c r="K633" s="1" t="s">
        <v>53</v>
      </c>
      <c r="L633" s="1" t="s">
        <v>249</v>
      </c>
      <c r="M633" s="1">
        <v>1479</v>
      </c>
    </row>
    <row r="634" spans="1:13" ht="15.75" customHeight="1">
      <c r="A634" s="1">
        <v>640</v>
      </c>
      <c r="B634" s="1" t="s">
        <v>86</v>
      </c>
      <c r="C634" s="1" t="s">
        <v>746</v>
      </c>
      <c r="D634" s="1" t="s">
        <v>31</v>
      </c>
      <c r="E634" s="1">
        <v>15.6</v>
      </c>
      <c r="F634" s="1" t="s">
        <v>32</v>
      </c>
      <c r="G634" s="1" t="s">
        <v>67</v>
      </c>
      <c r="H634" s="1" t="s">
        <v>50</v>
      </c>
      <c r="I634" s="1" t="s">
        <v>34</v>
      </c>
      <c r="J634" s="1" t="s">
        <v>68</v>
      </c>
      <c r="K634" s="1" t="s">
        <v>53</v>
      </c>
      <c r="L634" s="1" t="s">
        <v>202</v>
      </c>
      <c r="M634" s="1">
        <v>829</v>
      </c>
    </row>
    <row r="635" spans="1:13" ht="15.75" customHeight="1">
      <c r="A635" s="1">
        <v>641</v>
      </c>
      <c r="B635" s="1" t="s">
        <v>86</v>
      </c>
      <c r="C635" s="1" t="s">
        <v>747</v>
      </c>
      <c r="D635" s="1" t="s">
        <v>31</v>
      </c>
      <c r="E635" s="1">
        <v>15.6</v>
      </c>
      <c r="F635" s="1" t="s">
        <v>32</v>
      </c>
      <c r="G635" s="1" t="s">
        <v>70</v>
      </c>
      <c r="H635" s="1" t="s">
        <v>50</v>
      </c>
      <c r="I635" s="1" t="s">
        <v>89</v>
      </c>
      <c r="J635" s="1" t="s">
        <v>393</v>
      </c>
      <c r="K635" s="1" t="s">
        <v>53</v>
      </c>
      <c r="L635" s="1" t="s">
        <v>77</v>
      </c>
      <c r="M635" s="1">
        <v>579</v>
      </c>
    </row>
    <row r="636" spans="1:13" ht="15.75" customHeight="1">
      <c r="A636" s="1">
        <v>642</v>
      </c>
      <c r="B636" s="1" t="s">
        <v>60</v>
      </c>
      <c r="C636" s="1" t="s">
        <v>748</v>
      </c>
      <c r="D636" s="1" t="s">
        <v>31</v>
      </c>
      <c r="E636" s="1">
        <v>15.6</v>
      </c>
      <c r="F636" s="1" t="s">
        <v>48</v>
      </c>
      <c r="G636" s="1" t="s">
        <v>143</v>
      </c>
      <c r="H636" s="1" t="s">
        <v>18</v>
      </c>
      <c r="I636" s="1" t="s">
        <v>89</v>
      </c>
      <c r="J636" s="1" t="s">
        <v>144</v>
      </c>
      <c r="K636" s="1" t="s">
        <v>53</v>
      </c>
      <c r="L636" s="1" t="s">
        <v>153</v>
      </c>
      <c r="M636" s="1">
        <v>399</v>
      </c>
    </row>
    <row r="637" spans="1:13" ht="15.75" customHeight="1">
      <c r="A637" s="1">
        <v>643</v>
      </c>
      <c r="B637" s="1" t="s">
        <v>60</v>
      </c>
      <c r="C637" s="1" t="s">
        <v>411</v>
      </c>
      <c r="D637" s="1" t="s">
        <v>31</v>
      </c>
      <c r="E637" s="1">
        <v>15.6</v>
      </c>
      <c r="F637" s="1" t="s">
        <v>32</v>
      </c>
      <c r="G637" s="1" t="s">
        <v>103</v>
      </c>
      <c r="H637" s="1" t="s">
        <v>18</v>
      </c>
      <c r="I637" s="1" t="s">
        <v>89</v>
      </c>
      <c r="J637" s="1" t="s">
        <v>105</v>
      </c>
      <c r="K637" s="1" t="s">
        <v>53</v>
      </c>
      <c r="L637" s="1" t="s">
        <v>638</v>
      </c>
      <c r="M637" s="1">
        <v>906.62</v>
      </c>
    </row>
    <row r="638" spans="1:13" ht="15.75" customHeight="1">
      <c r="A638" s="1">
        <v>644</v>
      </c>
      <c r="B638" s="1" t="s">
        <v>74</v>
      </c>
      <c r="C638" s="1" t="s">
        <v>91</v>
      </c>
      <c r="D638" s="1" t="s">
        <v>15</v>
      </c>
      <c r="E638" s="1">
        <v>13.3</v>
      </c>
      <c r="F638" s="1" t="s">
        <v>262</v>
      </c>
      <c r="G638" s="1" t="s">
        <v>67</v>
      </c>
      <c r="H638" s="1" t="s">
        <v>18</v>
      </c>
      <c r="I638" s="1" t="s">
        <v>34</v>
      </c>
      <c r="J638" s="1" t="s">
        <v>68</v>
      </c>
      <c r="K638" s="1" t="s">
        <v>53</v>
      </c>
      <c r="L638" s="1" t="s">
        <v>264</v>
      </c>
      <c r="M638" s="1">
        <v>1869</v>
      </c>
    </row>
    <row r="639" spans="1:13" ht="15.75" customHeight="1">
      <c r="A639" s="1">
        <v>645</v>
      </c>
      <c r="B639" s="1" t="s">
        <v>86</v>
      </c>
      <c r="C639" s="1" t="s">
        <v>749</v>
      </c>
      <c r="D639" s="1" t="s">
        <v>31</v>
      </c>
      <c r="E639" s="1">
        <v>14</v>
      </c>
      <c r="F639" s="1" t="s">
        <v>48</v>
      </c>
      <c r="G639" s="1" t="s">
        <v>204</v>
      </c>
      <c r="H639" s="1" t="s">
        <v>97</v>
      </c>
      <c r="I639" s="1" t="s">
        <v>98</v>
      </c>
      <c r="J639" s="1" t="s">
        <v>99</v>
      </c>
      <c r="K639" s="1" t="s">
        <v>53</v>
      </c>
      <c r="L639" s="1" t="s">
        <v>360</v>
      </c>
      <c r="M639" s="1">
        <v>249</v>
      </c>
    </row>
    <row r="640" spans="1:13" ht="15.75" customHeight="1">
      <c r="A640" s="1">
        <v>646</v>
      </c>
      <c r="B640" s="1" t="s">
        <v>86</v>
      </c>
      <c r="C640" s="1" t="s">
        <v>357</v>
      </c>
      <c r="D640" s="1" t="s">
        <v>111</v>
      </c>
      <c r="E640" s="1">
        <v>13.3</v>
      </c>
      <c r="F640" s="1" t="s">
        <v>92</v>
      </c>
      <c r="G640" s="1" t="s">
        <v>83</v>
      </c>
      <c r="H640" s="1" t="s">
        <v>18</v>
      </c>
      <c r="I640" s="1" t="s">
        <v>34</v>
      </c>
      <c r="J640" s="1" t="s">
        <v>35</v>
      </c>
      <c r="K640" s="1" t="s">
        <v>53</v>
      </c>
      <c r="L640" s="1" t="s">
        <v>22</v>
      </c>
      <c r="M640" s="1">
        <v>1757.42</v>
      </c>
    </row>
    <row r="641" spans="1:13" ht="15.75" customHeight="1">
      <c r="A641" s="1">
        <v>647</v>
      </c>
      <c r="B641" s="1" t="s">
        <v>74</v>
      </c>
      <c r="C641" s="1" t="s">
        <v>351</v>
      </c>
      <c r="D641" s="1" t="s">
        <v>31</v>
      </c>
      <c r="E641" s="1">
        <v>15.6</v>
      </c>
      <c r="F641" s="1" t="s">
        <v>352</v>
      </c>
      <c r="G641" s="1" t="s">
        <v>155</v>
      </c>
      <c r="H641" s="1" t="s">
        <v>40</v>
      </c>
      <c r="I641" s="1" t="s">
        <v>359</v>
      </c>
      <c r="J641" s="1" t="s">
        <v>105</v>
      </c>
      <c r="K641" s="1" t="s">
        <v>53</v>
      </c>
      <c r="L641" s="1" t="s">
        <v>353</v>
      </c>
      <c r="M641" s="1">
        <v>2399</v>
      </c>
    </row>
    <row r="642" spans="1:13" ht="15.75" customHeight="1">
      <c r="A642" s="1">
        <v>648</v>
      </c>
      <c r="B642" s="1" t="s">
        <v>86</v>
      </c>
      <c r="C642" s="1" t="s">
        <v>101</v>
      </c>
      <c r="D642" s="1" t="s">
        <v>102</v>
      </c>
      <c r="E642" s="1">
        <v>15.6</v>
      </c>
      <c r="F642" s="1" t="s">
        <v>66</v>
      </c>
      <c r="G642" s="1" t="s">
        <v>155</v>
      </c>
      <c r="H642" s="1" t="s">
        <v>18</v>
      </c>
      <c r="I642" s="1" t="s">
        <v>104</v>
      </c>
      <c r="J642" s="1" t="s">
        <v>292</v>
      </c>
      <c r="K642" s="1" t="s">
        <v>53</v>
      </c>
      <c r="L642" s="1" t="s">
        <v>106</v>
      </c>
      <c r="M642" s="1">
        <v>1109</v>
      </c>
    </row>
    <row r="643" spans="1:13" ht="15.75" customHeight="1">
      <c r="A643" s="1">
        <v>649</v>
      </c>
      <c r="B643" s="1" t="s">
        <v>29</v>
      </c>
      <c r="C643" s="1" t="s">
        <v>750</v>
      </c>
      <c r="D643" s="1" t="s">
        <v>31</v>
      </c>
      <c r="E643" s="1">
        <v>17</v>
      </c>
      <c r="F643" s="1" t="s">
        <v>364</v>
      </c>
      <c r="G643" s="1" t="s">
        <v>49</v>
      </c>
      <c r="H643" s="1" t="s">
        <v>18</v>
      </c>
      <c r="I643" s="1" t="s">
        <v>89</v>
      </c>
      <c r="J643" s="1" t="s">
        <v>52</v>
      </c>
      <c r="K643" s="1" t="s">
        <v>53</v>
      </c>
      <c r="L643" s="1" t="s">
        <v>516</v>
      </c>
      <c r="M643" s="1">
        <v>520.9</v>
      </c>
    </row>
    <row r="644" spans="1:13" ht="15.75" customHeight="1">
      <c r="A644" s="1">
        <v>650</v>
      </c>
      <c r="B644" s="1" t="s">
        <v>86</v>
      </c>
      <c r="C644" s="1" t="s">
        <v>441</v>
      </c>
      <c r="D644" s="1" t="s">
        <v>15</v>
      </c>
      <c r="E644" s="1">
        <v>14</v>
      </c>
      <c r="F644" s="1" t="s">
        <v>66</v>
      </c>
      <c r="G644" s="1" t="s">
        <v>83</v>
      </c>
      <c r="H644" s="1" t="s">
        <v>40</v>
      </c>
      <c r="I644" s="1" t="s">
        <v>41</v>
      </c>
      <c r="J644" s="1" t="s">
        <v>35</v>
      </c>
      <c r="K644" s="1" t="s">
        <v>53</v>
      </c>
      <c r="L644" s="1" t="s">
        <v>751</v>
      </c>
      <c r="M644" s="1">
        <v>2450</v>
      </c>
    </row>
    <row r="645" spans="1:13" ht="15.75" customHeight="1">
      <c r="A645" s="1">
        <v>651</v>
      </c>
      <c r="B645" s="1" t="s">
        <v>60</v>
      </c>
      <c r="C645" s="1" t="s">
        <v>752</v>
      </c>
      <c r="D645" s="1" t="s">
        <v>102</v>
      </c>
      <c r="E645" s="1">
        <v>15.6</v>
      </c>
      <c r="F645" s="1" t="s">
        <v>66</v>
      </c>
      <c r="G645" s="1" t="s">
        <v>155</v>
      </c>
      <c r="H645" s="1" t="s">
        <v>18</v>
      </c>
      <c r="I645" s="1" t="s">
        <v>89</v>
      </c>
      <c r="J645" s="1" t="s">
        <v>201</v>
      </c>
      <c r="K645" s="1" t="s">
        <v>36</v>
      </c>
      <c r="L645" s="1" t="s">
        <v>106</v>
      </c>
      <c r="M645" s="1">
        <v>1169</v>
      </c>
    </row>
    <row r="646" spans="1:13" ht="15.75" customHeight="1">
      <c r="A646" s="1">
        <v>652</v>
      </c>
      <c r="B646" s="1" t="s">
        <v>46</v>
      </c>
      <c r="C646" s="1" t="s">
        <v>753</v>
      </c>
      <c r="D646" s="1" t="s">
        <v>31</v>
      </c>
      <c r="E646" s="1">
        <v>15.6</v>
      </c>
      <c r="F646" s="1" t="s">
        <v>48</v>
      </c>
      <c r="G646" s="1" t="s">
        <v>70</v>
      </c>
      <c r="H646" s="1" t="s">
        <v>50</v>
      </c>
      <c r="I646" s="1" t="s">
        <v>51</v>
      </c>
      <c r="J646" s="1" t="s">
        <v>71</v>
      </c>
      <c r="K646" s="1" t="s">
        <v>53</v>
      </c>
      <c r="L646" s="1" t="s">
        <v>183</v>
      </c>
      <c r="M646" s="1">
        <v>450</v>
      </c>
    </row>
    <row r="647" spans="1:13" ht="15.75" customHeight="1">
      <c r="A647" s="1">
        <v>653</v>
      </c>
      <c r="B647" s="1" t="s">
        <v>86</v>
      </c>
      <c r="C647" s="1" t="s">
        <v>749</v>
      </c>
      <c r="D647" s="1" t="s">
        <v>31</v>
      </c>
      <c r="E647" s="1">
        <v>14</v>
      </c>
      <c r="F647" s="1" t="s">
        <v>48</v>
      </c>
      <c r="G647" s="1" t="s">
        <v>204</v>
      </c>
      <c r="H647" s="1" t="s">
        <v>50</v>
      </c>
      <c r="I647" s="1" t="s">
        <v>98</v>
      </c>
      <c r="J647" s="1" t="s">
        <v>132</v>
      </c>
      <c r="K647" s="1" t="s">
        <v>53</v>
      </c>
      <c r="L647" s="1" t="s">
        <v>569</v>
      </c>
      <c r="M647" s="1">
        <v>274</v>
      </c>
    </row>
    <row r="648" spans="1:13" ht="15.75" customHeight="1">
      <c r="A648" s="1">
        <v>654</v>
      </c>
      <c r="B648" s="1" t="s">
        <v>46</v>
      </c>
      <c r="C648" s="1" t="s">
        <v>65</v>
      </c>
      <c r="D648" s="1" t="s">
        <v>15</v>
      </c>
      <c r="E648" s="1">
        <v>14</v>
      </c>
      <c r="F648" s="1" t="s">
        <v>66</v>
      </c>
      <c r="G648" s="1" t="s">
        <v>33</v>
      </c>
      <c r="H648" s="1" t="s">
        <v>18</v>
      </c>
      <c r="I648" s="1" t="s">
        <v>34</v>
      </c>
      <c r="J648" s="1" t="s">
        <v>754</v>
      </c>
      <c r="K648" s="1" t="s">
        <v>53</v>
      </c>
      <c r="L648" s="1" t="s">
        <v>202</v>
      </c>
      <c r="M648" s="1">
        <v>919</v>
      </c>
    </row>
    <row r="649" spans="1:13" ht="15.75" customHeight="1">
      <c r="A649" s="1">
        <v>655</v>
      </c>
      <c r="B649" s="1" t="s">
        <v>365</v>
      </c>
      <c r="C649" s="1" t="s">
        <v>366</v>
      </c>
      <c r="D649" s="1" t="s">
        <v>102</v>
      </c>
      <c r="E649" s="1">
        <v>14</v>
      </c>
      <c r="F649" s="1" t="s">
        <v>32</v>
      </c>
      <c r="G649" s="1" t="s">
        <v>155</v>
      </c>
      <c r="H649" s="1" t="s">
        <v>40</v>
      </c>
      <c r="I649" s="1" t="s">
        <v>34</v>
      </c>
      <c r="J649" s="1" t="s">
        <v>157</v>
      </c>
      <c r="K649" s="1" t="s">
        <v>53</v>
      </c>
      <c r="L649" s="1" t="s">
        <v>350</v>
      </c>
      <c r="M649" s="1">
        <v>2599</v>
      </c>
    </row>
    <row r="650" spans="1:13" ht="15.75" customHeight="1">
      <c r="A650" s="1">
        <v>656</v>
      </c>
      <c r="B650" s="1" t="s">
        <v>293</v>
      </c>
      <c r="C650" s="1" t="s">
        <v>755</v>
      </c>
      <c r="D650" s="1" t="s">
        <v>31</v>
      </c>
      <c r="E650" s="1">
        <v>13.3</v>
      </c>
      <c r="F650" s="1" t="s">
        <v>32</v>
      </c>
      <c r="G650" s="1" t="s">
        <v>295</v>
      </c>
      <c r="H650" s="1" t="s">
        <v>18</v>
      </c>
      <c r="I650" s="1" t="s">
        <v>34</v>
      </c>
      <c r="J650" s="1" t="s">
        <v>71</v>
      </c>
      <c r="K650" s="1" t="s">
        <v>53</v>
      </c>
      <c r="L650" s="1" t="s">
        <v>141</v>
      </c>
      <c r="M650" s="1">
        <v>1213</v>
      </c>
    </row>
    <row r="651" spans="1:13" ht="15.75" customHeight="1">
      <c r="A651" s="1">
        <v>657</v>
      </c>
      <c r="B651" s="1" t="s">
        <v>86</v>
      </c>
      <c r="C651" s="1" t="s">
        <v>633</v>
      </c>
      <c r="D651" s="1" t="s">
        <v>15</v>
      </c>
      <c r="E651" s="1">
        <v>12.5</v>
      </c>
      <c r="F651" s="1" t="s">
        <v>66</v>
      </c>
      <c r="G651" s="1" t="s">
        <v>83</v>
      </c>
      <c r="H651" s="1" t="s">
        <v>18</v>
      </c>
      <c r="I651" s="1" t="s">
        <v>34</v>
      </c>
      <c r="J651" s="1" t="s">
        <v>35</v>
      </c>
      <c r="K651" s="1" t="s">
        <v>53</v>
      </c>
      <c r="L651" s="1" t="s">
        <v>443</v>
      </c>
      <c r="M651" s="1">
        <v>1584</v>
      </c>
    </row>
    <row r="652" spans="1:13" ht="15.75" customHeight="1">
      <c r="A652" s="1">
        <v>658</v>
      </c>
      <c r="B652" s="1" t="s">
        <v>60</v>
      </c>
      <c r="C652" s="1" t="s">
        <v>756</v>
      </c>
      <c r="D652" s="1" t="s">
        <v>102</v>
      </c>
      <c r="E652" s="1">
        <v>17.3</v>
      </c>
      <c r="F652" s="1" t="s">
        <v>66</v>
      </c>
      <c r="G652" s="1" t="s">
        <v>706</v>
      </c>
      <c r="H652" s="1" t="s">
        <v>338</v>
      </c>
      <c r="I652" s="1" t="s">
        <v>41</v>
      </c>
      <c r="J652" s="1" t="s">
        <v>368</v>
      </c>
      <c r="K652" s="1" t="s">
        <v>53</v>
      </c>
      <c r="L652" s="1" t="s">
        <v>757</v>
      </c>
      <c r="M652" s="1">
        <v>2799</v>
      </c>
    </row>
    <row r="653" spans="1:13" ht="15.75" customHeight="1">
      <c r="A653" s="1">
        <v>659</v>
      </c>
      <c r="B653" s="1" t="s">
        <v>46</v>
      </c>
      <c r="C653" s="1" t="s">
        <v>758</v>
      </c>
      <c r="D653" s="1" t="s">
        <v>102</v>
      </c>
      <c r="E653" s="1">
        <v>15.6</v>
      </c>
      <c r="F653" s="1" t="s">
        <v>32</v>
      </c>
      <c r="G653" s="1" t="s">
        <v>103</v>
      </c>
      <c r="H653" s="1" t="s">
        <v>18</v>
      </c>
      <c r="I653" s="1" t="s">
        <v>89</v>
      </c>
      <c r="J653" s="1" t="s">
        <v>105</v>
      </c>
      <c r="K653" s="1" t="s">
        <v>147</v>
      </c>
      <c r="L653" s="1" t="s">
        <v>183</v>
      </c>
      <c r="M653" s="1">
        <v>709</v>
      </c>
    </row>
    <row r="654" spans="1:13" ht="15.75" customHeight="1">
      <c r="A654" s="1">
        <v>660</v>
      </c>
      <c r="B654" s="1" t="s">
        <v>74</v>
      </c>
      <c r="C654" s="1" t="s">
        <v>91</v>
      </c>
      <c r="D654" s="1" t="s">
        <v>15</v>
      </c>
      <c r="E654" s="1">
        <v>13.3</v>
      </c>
      <c r="F654" s="1" t="s">
        <v>32</v>
      </c>
      <c r="G654" s="1" t="s">
        <v>67</v>
      </c>
      <c r="H654" s="1" t="s">
        <v>18</v>
      </c>
      <c r="I654" s="1" t="s">
        <v>34</v>
      </c>
      <c r="J654" s="1" t="s">
        <v>68</v>
      </c>
      <c r="K654" s="1" t="s">
        <v>53</v>
      </c>
      <c r="L654" s="1" t="s">
        <v>141</v>
      </c>
      <c r="M654" s="1">
        <v>1449.9</v>
      </c>
    </row>
    <row r="655" spans="1:13" ht="15.75" customHeight="1">
      <c r="A655" s="1">
        <v>661</v>
      </c>
      <c r="B655" s="1" t="s">
        <v>189</v>
      </c>
      <c r="C655" s="1" t="s">
        <v>759</v>
      </c>
      <c r="D655" s="1" t="s">
        <v>102</v>
      </c>
      <c r="E655" s="1">
        <v>15.6</v>
      </c>
      <c r="F655" s="1" t="s">
        <v>32</v>
      </c>
      <c r="G655" s="1" t="s">
        <v>155</v>
      </c>
      <c r="H655" s="1" t="s">
        <v>18</v>
      </c>
      <c r="I655" s="1" t="s">
        <v>104</v>
      </c>
      <c r="J655" s="1" t="s">
        <v>201</v>
      </c>
      <c r="K655" s="1" t="s">
        <v>53</v>
      </c>
      <c r="L655" s="1" t="s">
        <v>77</v>
      </c>
      <c r="M655" s="1">
        <v>1191.8</v>
      </c>
    </row>
    <row r="656" spans="1:13" ht="15.75" customHeight="1">
      <c r="A656" s="1">
        <v>662</v>
      </c>
      <c r="B656" s="1" t="s">
        <v>29</v>
      </c>
      <c r="C656" s="1" t="s">
        <v>30</v>
      </c>
      <c r="D656" s="1" t="s">
        <v>31</v>
      </c>
      <c r="E656" s="1">
        <v>15.6</v>
      </c>
      <c r="F656" s="1" t="s">
        <v>48</v>
      </c>
      <c r="G656" s="1" t="s">
        <v>70</v>
      </c>
      <c r="H656" s="1" t="s">
        <v>50</v>
      </c>
      <c r="I656" s="1" t="s">
        <v>51</v>
      </c>
      <c r="J656" s="1" t="s">
        <v>71</v>
      </c>
      <c r="K656" s="1" t="s">
        <v>36</v>
      </c>
      <c r="L656" s="1" t="s">
        <v>37</v>
      </c>
      <c r="M656" s="1">
        <v>364.9</v>
      </c>
    </row>
    <row r="657" spans="1:13" ht="15.75" customHeight="1">
      <c r="A657" s="1">
        <v>663</v>
      </c>
      <c r="B657" s="1" t="s">
        <v>293</v>
      </c>
      <c r="C657" s="1" t="s">
        <v>760</v>
      </c>
      <c r="D657" s="1" t="s">
        <v>31</v>
      </c>
      <c r="E657" s="1">
        <v>15.6</v>
      </c>
      <c r="F657" s="1" t="s">
        <v>66</v>
      </c>
      <c r="G657" s="1" t="s">
        <v>33</v>
      </c>
      <c r="H657" s="1" t="s">
        <v>18</v>
      </c>
      <c r="I657" s="1" t="s">
        <v>51</v>
      </c>
      <c r="J657" s="1" t="s">
        <v>35</v>
      </c>
      <c r="K657" s="1" t="s">
        <v>53</v>
      </c>
      <c r="L657" s="1" t="s">
        <v>347</v>
      </c>
      <c r="M657" s="1">
        <v>1064</v>
      </c>
    </row>
    <row r="658" spans="1:13" ht="15.75" customHeight="1">
      <c r="A658" s="1">
        <v>664</v>
      </c>
      <c r="B658" s="1" t="s">
        <v>74</v>
      </c>
      <c r="C658" s="1" t="s">
        <v>120</v>
      </c>
      <c r="D658" s="1" t="s">
        <v>31</v>
      </c>
      <c r="E658" s="1">
        <v>15.6</v>
      </c>
      <c r="F658" s="1" t="s">
        <v>32</v>
      </c>
      <c r="G658" s="1" t="s">
        <v>62</v>
      </c>
      <c r="H658" s="1" t="s">
        <v>18</v>
      </c>
      <c r="I658" s="1" t="s">
        <v>34</v>
      </c>
      <c r="J658" s="1" t="s">
        <v>121</v>
      </c>
      <c r="K658" s="1" t="s">
        <v>53</v>
      </c>
      <c r="L658" s="1" t="s">
        <v>77</v>
      </c>
      <c r="M658" s="1">
        <v>919</v>
      </c>
    </row>
    <row r="659" spans="1:13" ht="15.75" customHeight="1">
      <c r="A659" s="1">
        <v>665</v>
      </c>
      <c r="B659" s="1" t="s">
        <v>74</v>
      </c>
      <c r="C659" s="1" t="s">
        <v>120</v>
      </c>
      <c r="D659" s="1" t="s">
        <v>31</v>
      </c>
      <c r="E659" s="1">
        <v>15.6</v>
      </c>
      <c r="F659" s="1" t="s">
        <v>32</v>
      </c>
      <c r="G659" s="1" t="s">
        <v>62</v>
      </c>
      <c r="H659" s="1" t="s">
        <v>40</v>
      </c>
      <c r="I659" s="1" t="s">
        <v>191</v>
      </c>
      <c r="J659" s="1" t="s">
        <v>121</v>
      </c>
      <c r="K659" s="1" t="s">
        <v>53</v>
      </c>
      <c r="L659" s="1" t="s">
        <v>77</v>
      </c>
      <c r="M659" s="1">
        <v>1135</v>
      </c>
    </row>
    <row r="660" spans="1:13" ht="15.75" customHeight="1">
      <c r="A660" s="1">
        <v>666</v>
      </c>
      <c r="B660" s="1" t="s">
        <v>86</v>
      </c>
      <c r="C660" s="1" t="s">
        <v>761</v>
      </c>
      <c r="D660" s="1" t="s">
        <v>102</v>
      </c>
      <c r="E660" s="1">
        <v>15.6</v>
      </c>
      <c r="F660" s="1" t="s">
        <v>66</v>
      </c>
      <c r="G660" s="1" t="s">
        <v>624</v>
      </c>
      <c r="H660" s="1" t="s">
        <v>18</v>
      </c>
      <c r="I660" s="1" t="s">
        <v>104</v>
      </c>
      <c r="J660" s="1" t="s">
        <v>762</v>
      </c>
      <c r="K660" s="1" t="s">
        <v>53</v>
      </c>
      <c r="L660" s="1" t="s">
        <v>763</v>
      </c>
      <c r="M660" s="1">
        <v>1196</v>
      </c>
    </row>
    <row r="661" spans="1:13" ht="15.75" customHeight="1">
      <c r="A661" s="1">
        <v>667</v>
      </c>
      <c r="B661" s="1" t="s">
        <v>74</v>
      </c>
      <c r="C661" s="1" t="s">
        <v>390</v>
      </c>
      <c r="D661" s="1" t="s">
        <v>102</v>
      </c>
      <c r="E661" s="1">
        <v>17.3</v>
      </c>
      <c r="F661" s="1" t="s">
        <v>372</v>
      </c>
      <c r="G661" s="1" t="s">
        <v>155</v>
      </c>
      <c r="H661" s="1" t="s">
        <v>338</v>
      </c>
      <c r="I661" s="1" t="s">
        <v>339</v>
      </c>
      <c r="J661" s="1" t="s">
        <v>192</v>
      </c>
      <c r="K661" s="1" t="s">
        <v>53</v>
      </c>
      <c r="L661" s="1" t="s">
        <v>391</v>
      </c>
      <c r="M661" s="1">
        <v>3147.37</v>
      </c>
    </row>
    <row r="662" spans="1:13" ht="15.75" customHeight="1">
      <c r="A662" s="1">
        <v>668</v>
      </c>
      <c r="B662" s="1" t="s">
        <v>74</v>
      </c>
      <c r="C662" s="1" t="s">
        <v>764</v>
      </c>
      <c r="D662" s="1" t="s">
        <v>31</v>
      </c>
      <c r="E662" s="1">
        <v>14</v>
      </c>
      <c r="F662" s="1" t="s">
        <v>32</v>
      </c>
      <c r="G662" s="1" t="s">
        <v>765</v>
      </c>
      <c r="H662" s="1" t="s">
        <v>18</v>
      </c>
      <c r="I662" s="1" t="s">
        <v>34</v>
      </c>
      <c r="J662" s="1" t="s">
        <v>71</v>
      </c>
      <c r="K662" s="1" t="s">
        <v>53</v>
      </c>
      <c r="L662" s="1" t="s">
        <v>321</v>
      </c>
      <c r="M662" s="1">
        <v>1229</v>
      </c>
    </row>
    <row r="663" spans="1:13" ht="15.75" customHeight="1">
      <c r="A663" s="1">
        <v>669</v>
      </c>
      <c r="B663" s="1" t="s">
        <v>86</v>
      </c>
      <c r="C663" s="1" t="s">
        <v>766</v>
      </c>
      <c r="D663" s="1" t="s">
        <v>31</v>
      </c>
      <c r="E663" s="1">
        <v>15.6</v>
      </c>
      <c r="F663" s="1" t="s">
        <v>48</v>
      </c>
      <c r="G663" s="1" t="s">
        <v>143</v>
      </c>
      <c r="H663" s="1" t="s">
        <v>50</v>
      </c>
      <c r="I663" s="1" t="s">
        <v>51</v>
      </c>
      <c r="J663" s="1" t="s">
        <v>144</v>
      </c>
      <c r="K663" s="1" t="s">
        <v>53</v>
      </c>
      <c r="L663" s="1" t="s">
        <v>77</v>
      </c>
      <c r="M663" s="1">
        <v>419</v>
      </c>
    </row>
    <row r="664" spans="1:13" ht="15.75" customHeight="1">
      <c r="A664" s="1">
        <v>670</v>
      </c>
      <c r="B664" s="1" t="s">
        <v>86</v>
      </c>
      <c r="C664" s="1" t="s">
        <v>167</v>
      </c>
      <c r="D664" s="1" t="s">
        <v>31</v>
      </c>
      <c r="E664" s="1">
        <v>15.6</v>
      </c>
      <c r="F664" s="1" t="s">
        <v>32</v>
      </c>
      <c r="G664" s="1" t="s">
        <v>295</v>
      </c>
      <c r="H664" s="1" t="s">
        <v>50</v>
      </c>
      <c r="I664" s="1" t="s">
        <v>51</v>
      </c>
      <c r="J664" s="1" t="s">
        <v>71</v>
      </c>
      <c r="K664" s="1" t="s">
        <v>53</v>
      </c>
      <c r="L664" s="1" t="s">
        <v>77</v>
      </c>
      <c r="M664" s="1">
        <v>535</v>
      </c>
    </row>
    <row r="665" spans="1:13" ht="15.75" customHeight="1">
      <c r="A665" s="1">
        <v>671</v>
      </c>
      <c r="B665" s="1" t="s">
        <v>29</v>
      </c>
      <c r="C665" s="1" t="s">
        <v>767</v>
      </c>
      <c r="D665" s="1" t="s">
        <v>31</v>
      </c>
      <c r="E665" s="1">
        <v>15.6</v>
      </c>
      <c r="F665" s="1" t="s">
        <v>768</v>
      </c>
      <c r="G665" s="1" t="s">
        <v>70</v>
      </c>
      <c r="H665" s="1" t="s">
        <v>246</v>
      </c>
      <c r="I665" s="1" t="s">
        <v>89</v>
      </c>
      <c r="J665" s="1" t="s">
        <v>76</v>
      </c>
      <c r="K665" s="1" t="s">
        <v>53</v>
      </c>
      <c r="L665" s="1" t="s">
        <v>59</v>
      </c>
      <c r="M665" s="1">
        <v>539</v>
      </c>
    </row>
    <row r="666" spans="1:13" ht="15.75" customHeight="1">
      <c r="A666" s="1">
        <v>672</v>
      </c>
      <c r="B666" s="1" t="s">
        <v>189</v>
      </c>
      <c r="C666" s="1" t="s">
        <v>769</v>
      </c>
      <c r="D666" s="1" t="s">
        <v>102</v>
      </c>
      <c r="E666" s="1">
        <v>17.3</v>
      </c>
      <c r="F666" s="1" t="s">
        <v>32</v>
      </c>
      <c r="G666" s="1" t="s">
        <v>155</v>
      </c>
      <c r="H666" s="1" t="s">
        <v>18</v>
      </c>
      <c r="I666" s="1" t="s">
        <v>104</v>
      </c>
      <c r="J666" s="1" t="s">
        <v>157</v>
      </c>
      <c r="K666" s="1" t="s">
        <v>53</v>
      </c>
      <c r="L666" s="1" t="s">
        <v>217</v>
      </c>
      <c r="M666" s="1">
        <v>1486.77</v>
      </c>
    </row>
    <row r="667" spans="1:13" ht="15.75" customHeight="1">
      <c r="A667" s="1">
        <v>673</v>
      </c>
      <c r="B667" s="1" t="s">
        <v>293</v>
      </c>
      <c r="C667" s="1" t="s">
        <v>294</v>
      </c>
      <c r="D667" s="1" t="s">
        <v>31</v>
      </c>
      <c r="E667" s="1">
        <v>15.6</v>
      </c>
      <c r="F667" s="1" t="s">
        <v>48</v>
      </c>
      <c r="G667" s="1" t="s">
        <v>770</v>
      </c>
      <c r="H667" s="1" t="s">
        <v>50</v>
      </c>
      <c r="I667" s="1" t="s">
        <v>19</v>
      </c>
      <c r="J667" s="1" t="s">
        <v>71</v>
      </c>
      <c r="K667" s="1" t="s">
        <v>53</v>
      </c>
      <c r="L667" s="1" t="s">
        <v>54</v>
      </c>
      <c r="M667" s="1">
        <v>498</v>
      </c>
    </row>
    <row r="668" spans="1:13" ht="15.75" customHeight="1">
      <c r="A668" s="1">
        <v>674</v>
      </c>
      <c r="B668" s="1" t="s">
        <v>74</v>
      </c>
      <c r="C668" s="1" t="s">
        <v>771</v>
      </c>
      <c r="D668" s="1" t="s">
        <v>31</v>
      </c>
      <c r="E668" s="1">
        <v>15.6</v>
      </c>
      <c r="F668" s="1" t="s">
        <v>32</v>
      </c>
      <c r="G668" s="1" t="s">
        <v>33</v>
      </c>
      <c r="H668" s="1" t="s">
        <v>18</v>
      </c>
      <c r="I668" s="1" t="s">
        <v>89</v>
      </c>
      <c r="J668" s="1" t="s">
        <v>35</v>
      </c>
      <c r="K668" s="1" t="s">
        <v>53</v>
      </c>
      <c r="L668" s="1" t="s">
        <v>353</v>
      </c>
      <c r="M668" s="1">
        <v>955</v>
      </c>
    </row>
    <row r="669" spans="1:13" ht="15.75" customHeight="1">
      <c r="A669" s="1">
        <v>675</v>
      </c>
      <c r="B669" s="1" t="s">
        <v>29</v>
      </c>
      <c r="C669" s="1" t="s">
        <v>772</v>
      </c>
      <c r="D669" s="1" t="s">
        <v>31</v>
      </c>
      <c r="E669" s="1">
        <v>15.6</v>
      </c>
      <c r="F669" s="1" t="s">
        <v>32</v>
      </c>
      <c r="G669" s="1" t="s">
        <v>83</v>
      </c>
      <c r="H669" s="1" t="s">
        <v>18</v>
      </c>
      <c r="I669" s="1" t="s">
        <v>89</v>
      </c>
      <c r="J669" s="1" t="s">
        <v>121</v>
      </c>
      <c r="K669" s="1" t="s">
        <v>53</v>
      </c>
      <c r="L669" s="1" t="s">
        <v>54</v>
      </c>
      <c r="M669" s="1">
        <v>745</v>
      </c>
    </row>
    <row r="670" spans="1:13" ht="15.75" customHeight="1">
      <c r="A670" s="1">
        <v>676</v>
      </c>
      <c r="B670" s="1" t="s">
        <v>293</v>
      </c>
      <c r="C670" s="1" t="s">
        <v>773</v>
      </c>
      <c r="D670" s="1" t="s">
        <v>31</v>
      </c>
      <c r="E670" s="1">
        <v>15.6</v>
      </c>
      <c r="F670" s="1" t="s">
        <v>66</v>
      </c>
      <c r="G670" s="1" t="s">
        <v>33</v>
      </c>
      <c r="H670" s="1" t="s">
        <v>18</v>
      </c>
      <c r="I670" s="1" t="s">
        <v>34</v>
      </c>
      <c r="J670" s="1" t="s">
        <v>35</v>
      </c>
      <c r="K670" s="1" t="s">
        <v>53</v>
      </c>
      <c r="L670" s="1" t="s">
        <v>347</v>
      </c>
      <c r="M670" s="1">
        <v>1258</v>
      </c>
    </row>
    <row r="671" spans="1:13" ht="15.75" customHeight="1">
      <c r="A671" s="1">
        <v>677</v>
      </c>
      <c r="B671" s="1" t="s">
        <v>46</v>
      </c>
      <c r="C671" s="1" t="s">
        <v>47</v>
      </c>
      <c r="D671" s="1" t="s">
        <v>31</v>
      </c>
      <c r="E671" s="1">
        <v>15.6</v>
      </c>
      <c r="F671" s="1" t="s">
        <v>48</v>
      </c>
      <c r="G671" s="1" t="s">
        <v>70</v>
      </c>
      <c r="H671" s="1" t="s">
        <v>50</v>
      </c>
      <c r="I671" s="1" t="s">
        <v>19</v>
      </c>
      <c r="J671" s="1" t="s">
        <v>71</v>
      </c>
      <c r="K671" s="1" t="s">
        <v>147</v>
      </c>
      <c r="L671" s="1" t="s">
        <v>54</v>
      </c>
      <c r="M671" s="1">
        <v>412</v>
      </c>
    </row>
    <row r="672" spans="1:13" ht="15.75" customHeight="1">
      <c r="A672" s="1">
        <v>678</v>
      </c>
      <c r="B672" s="1" t="s">
        <v>210</v>
      </c>
      <c r="C672" s="1" t="s">
        <v>211</v>
      </c>
      <c r="D672" s="1" t="s">
        <v>15</v>
      </c>
      <c r="E672" s="1">
        <v>13.5</v>
      </c>
      <c r="F672" s="1" t="s">
        <v>212</v>
      </c>
      <c r="G672" s="1" t="s">
        <v>476</v>
      </c>
      <c r="H672" s="1" t="s">
        <v>18</v>
      </c>
      <c r="I672" s="1" t="s">
        <v>34</v>
      </c>
      <c r="J672" s="1" t="s">
        <v>20</v>
      </c>
      <c r="K672" s="1" t="s">
        <v>213</v>
      </c>
      <c r="L672" s="1" t="s">
        <v>214</v>
      </c>
      <c r="M672" s="1">
        <v>1867.85</v>
      </c>
    </row>
    <row r="673" spans="1:13" ht="15.75" customHeight="1">
      <c r="A673" s="1">
        <v>679</v>
      </c>
      <c r="B673" s="1" t="s">
        <v>86</v>
      </c>
      <c r="C673" s="1" t="s">
        <v>774</v>
      </c>
      <c r="D673" s="1" t="s">
        <v>31</v>
      </c>
      <c r="E673" s="1">
        <v>15.6</v>
      </c>
      <c r="F673" s="1" t="s">
        <v>32</v>
      </c>
      <c r="G673" s="1" t="s">
        <v>33</v>
      </c>
      <c r="H673" s="1" t="s">
        <v>18</v>
      </c>
      <c r="I673" s="1" t="s">
        <v>104</v>
      </c>
      <c r="J673" s="1" t="s">
        <v>76</v>
      </c>
      <c r="K673" s="1" t="s">
        <v>53</v>
      </c>
      <c r="L673" s="1" t="s">
        <v>344</v>
      </c>
      <c r="M673" s="1">
        <v>817.95</v>
      </c>
    </row>
    <row r="674" spans="1:13" ht="15.75" customHeight="1">
      <c r="A674" s="1">
        <v>680</v>
      </c>
      <c r="B674" s="1" t="s">
        <v>86</v>
      </c>
      <c r="C674" s="1" t="s">
        <v>775</v>
      </c>
      <c r="D674" s="1" t="s">
        <v>111</v>
      </c>
      <c r="E674" s="1">
        <v>13.3</v>
      </c>
      <c r="F674" s="1" t="s">
        <v>92</v>
      </c>
      <c r="G674" s="1" t="s">
        <v>33</v>
      </c>
      <c r="H674" s="1" t="s">
        <v>18</v>
      </c>
      <c r="I674" s="1" t="s">
        <v>34</v>
      </c>
      <c r="J674" s="1" t="s">
        <v>35</v>
      </c>
      <c r="K674" s="1" t="s">
        <v>53</v>
      </c>
      <c r="L674" s="1" t="s">
        <v>64</v>
      </c>
      <c r="M674" s="1">
        <v>1034</v>
      </c>
    </row>
    <row r="675" spans="1:13" ht="15.75" customHeight="1">
      <c r="A675" s="1">
        <v>681</v>
      </c>
      <c r="B675" s="1" t="s">
        <v>86</v>
      </c>
      <c r="C675" s="1" t="s">
        <v>228</v>
      </c>
      <c r="D675" s="1" t="s">
        <v>31</v>
      </c>
      <c r="E675" s="1">
        <v>15.6</v>
      </c>
      <c r="F675" s="1" t="s">
        <v>48</v>
      </c>
      <c r="G675" s="1" t="s">
        <v>776</v>
      </c>
      <c r="H675" s="1" t="s">
        <v>50</v>
      </c>
      <c r="I675" s="1" t="s">
        <v>19</v>
      </c>
      <c r="J675" s="1" t="s">
        <v>675</v>
      </c>
      <c r="K675" s="1" t="s">
        <v>53</v>
      </c>
      <c r="L675" s="1" t="s">
        <v>77</v>
      </c>
      <c r="M675" s="1">
        <v>349</v>
      </c>
    </row>
    <row r="676" spans="1:13" ht="15.75" customHeight="1">
      <c r="A676" s="1">
        <v>682</v>
      </c>
      <c r="B676" s="1" t="s">
        <v>29</v>
      </c>
      <c r="C676" s="1" t="s">
        <v>777</v>
      </c>
      <c r="D676" s="1" t="s">
        <v>111</v>
      </c>
      <c r="E676" s="1">
        <v>14</v>
      </c>
      <c r="F676" s="1" t="s">
        <v>92</v>
      </c>
      <c r="G676" s="1" t="s">
        <v>88</v>
      </c>
      <c r="H676" s="1" t="s">
        <v>50</v>
      </c>
      <c r="I676" s="1" t="s">
        <v>19</v>
      </c>
      <c r="J676" s="1" t="s">
        <v>90</v>
      </c>
      <c r="K676" s="1" t="s">
        <v>53</v>
      </c>
      <c r="L676" s="1" t="s">
        <v>227</v>
      </c>
      <c r="M676" s="1">
        <v>699</v>
      </c>
    </row>
    <row r="677" spans="1:13" ht="15.75" customHeight="1">
      <c r="A677" s="1">
        <v>683</v>
      </c>
      <c r="B677" s="1" t="s">
        <v>189</v>
      </c>
      <c r="C677" s="1" t="s">
        <v>778</v>
      </c>
      <c r="D677" s="1" t="s">
        <v>102</v>
      </c>
      <c r="E677" s="1">
        <v>15.6</v>
      </c>
      <c r="F677" s="1" t="s">
        <v>32</v>
      </c>
      <c r="G677" s="1" t="s">
        <v>155</v>
      </c>
      <c r="H677" s="1" t="s">
        <v>40</v>
      </c>
      <c r="I677" s="1" t="s">
        <v>156</v>
      </c>
      <c r="J677" s="1" t="s">
        <v>105</v>
      </c>
      <c r="K677" s="1" t="s">
        <v>53</v>
      </c>
      <c r="L677" s="1" t="s">
        <v>183</v>
      </c>
      <c r="M677" s="1">
        <v>1294</v>
      </c>
    </row>
    <row r="678" spans="1:13" ht="15.75" customHeight="1">
      <c r="A678" s="1">
        <v>684</v>
      </c>
      <c r="B678" s="1" t="s">
        <v>60</v>
      </c>
      <c r="C678" s="1" t="s">
        <v>557</v>
      </c>
      <c r="D678" s="1" t="s">
        <v>15</v>
      </c>
      <c r="E678" s="1">
        <v>14</v>
      </c>
      <c r="F678" s="1" t="s">
        <v>32</v>
      </c>
      <c r="G678" s="1" t="s">
        <v>33</v>
      </c>
      <c r="H678" s="1" t="s">
        <v>18</v>
      </c>
      <c r="I678" s="1" t="s">
        <v>34</v>
      </c>
      <c r="J678" s="1" t="s">
        <v>35</v>
      </c>
      <c r="K678" s="1" t="s">
        <v>53</v>
      </c>
      <c r="L678" s="1" t="s">
        <v>319</v>
      </c>
      <c r="M678" s="1">
        <v>1135</v>
      </c>
    </row>
    <row r="679" spans="1:13" ht="15.75" customHeight="1">
      <c r="A679" s="1">
        <v>685</v>
      </c>
      <c r="B679" s="1" t="s">
        <v>29</v>
      </c>
      <c r="C679" s="1" t="s">
        <v>779</v>
      </c>
      <c r="D679" s="1" t="s">
        <v>111</v>
      </c>
      <c r="E679" s="1">
        <v>11.6</v>
      </c>
      <c r="F679" s="1" t="s">
        <v>382</v>
      </c>
      <c r="G679" s="1" t="s">
        <v>143</v>
      </c>
      <c r="H679" s="1" t="s">
        <v>18</v>
      </c>
      <c r="I679" s="1" t="s">
        <v>131</v>
      </c>
      <c r="J679" s="1" t="s">
        <v>144</v>
      </c>
      <c r="K679" s="1" t="s">
        <v>456</v>
      </c>
      <c r="L679" s="1" t="s">
        <v>199</v>
      </c>
      <c r="M679" s="1">
        <v>495</v>
      </c>
    </row>
    <row r="680" spans="1:13" ht="15.75" customHeight="1">
      <c r="A680" s="1">
        <v>686</v>
      </c>
      <c r="B680" s="1" t="s">
        <v>780</v>
      </c>
      <c r="C680" s="1" t="s">
        <v>781</v>
      </c>
      <c r="D680" s="1" t="s">
        <v>15</v>
      </c>
      <c r="E680" s="1">
        <v>15.6</v>
      </c>
      <c r="F680" s="1" t="s">
        <v>66</v>
      </c>
      <c r="G680" s="1" t="s">
        <v>62</v>
      </c>
      <c r="H680" s="1" t="s">
        <v>18</v>
      </c>
      <c r="I680" s="1" t="s">
        <v>41</v>
      </c>
      <c r="J680" s="1" t="s">
        <v>35</v>
      </c>
      <c r="K680" s="1" t="s">
        <v>53</v>
      </c>
      <c r="L680" s="1" t="s">
        <v>782</v>
      </c>
      <c r="M680" s="1">
        <v>2299</v>
      </c>
    </row>
    <row r="681" spans="1:13" ht="15.75" customHeight="1">
      <c r="A681" s="1">
        <v>687</v>
      </c>
      <c r="B681" s="1" t="s">
        <v>46</v>
      </c>
      <c r="C681" s="1" t="s">
        <v>783</v>
      </c>
      <c r="D681" s="1" t="s">
        <v>102</v>
      </c>
      <c r="E681" s="1">
        <v>15.6</v>
      </c>
      <c r="F681" s="1" t="s">
        <v>32</v>
      </c>
      <c r="G681" s="1" t="s">
        <v>103</v>
      </c>
      <c r="H681" s="1" t="s">
        <v>40</v>
      </c>
      <c r="I681" s="1" t="s">
        <v>34</v>
      </c>
      <c r="J681" s="1" t="s">
        <v>201</v>
      </c>
      <c r="K681" s="1" t="s">
        <v>53</v>
      </c>
      <c r="L681" s="1" t="s">
        <v>106</v>
      </c>
      <c r="M681" s="1">
        <v>1299</v>
      </c>
    </row>
    <row r="682" spans="1:13" ht="15.75" customHeight="1">
      <c r="A682" s="1">
        <v>688</v>
      </c>
      <c r="B682" s="1" t="s">
        <v>189</v>
      </c>
      <c r="C682" s="1" t="s">
        <v>784</v>
      </c>
      <c r="D682" s="1" t="s">
        <v>102</v>
      </c>
      <c r="E682" s="1">
        <v>15.6</v>
      </c>
      <c r="F682" s="1" t="s">
        <v>32</v>
      </c>
      <c r="G682" s="1" t="s">
        <v>103</v>
      </c>
      <c r="H682" s="1" t="s">
        <v>18</v>
      </c>
      <c r="I682" s="1" t="s">
        <v>34</v>
      </c>
      <c r="J682" s="1" t="s">
        <v>105</v>
      </c>
      <c r="K682" s="1" t="s">
        <v>53</v>
      </c>
      <c r="L682" s="1" t="s">
        <v>77</v>
      </c>
      <c r="M682" s="1">
        <v>997.9</v>
      </c>
    </row>
    <row r="683" spans="1:13" ht="15.75" customHeight="1">
      <c r="A683" s="1">
        <v>689</v>
      </c>
      <c r="B683" s="1" t="s">
        <v>60</v>
      </c>
      <c r="C683" s="1" t="s">
        <v>785</v>
      </c>
      <c r="D683" s="1" t="s">
        <v>31</v>
      </c>
      <c r="E683" s="1">
        <v>15.6</v>
      </c>
      <c r="F683" s="1" t="s">
        <v>48</v>
      </c>
      <c r="G683" s="1" t="s">
        <v>143</v>
      </c>
      <c r="H683" s="1" t="s">
        <v>50</v>
      </c>
      <c r="I683" s="1" t="s">
        <v>19</v>
      </c>
      <c r="J683" s="1" t="s">
        <v>144</v>
      </c>
      <c r="K683" s="1" t="s">
        <v>53</v>
      </c>
      <c r="L683" s="1" t="s">
        <v>37</v>
      </c>
      <c r="M683" s="1">
        <v>419</v>
      </c>
    </row>
    <row r="684" spans="1:13" ht="15.75" customHeight="1">
      <c r="A684" s="1">
        <v>690</v>
      </c>
      <c r="B684" s="1" t="s">
        <v>74</v>
      </c>
      <c r="C684" s="1" t="s">
        <v>786</v>
      </c>
      <c r="D684" s="1" t="s">
        <v>102</v>
      </c>
      <c r="E684" s="1">
        <v>15.6</v>
      </c>
      <c r="F684" s="1" t="s">
        <v>32</v>
      </c>
      <c r="G684" s="1" t="s">
        <v>103</v>
      </c>
      <c r="H684" s="1" t="s">
        <v>40</v>
      </c>
      <c r="I684" s="1" t="s">
        <v>104</v>
      </c>
      <c r="J684" s="1" t="s">
        <v>157</v>
      </c>
      <c r="K684" s="1" t="s">
        <v>53</v>
      </c>
      <c r="L684" s="1" t="s">
        <v>787</v>
      </c>
      <c r="M684" s="1">
        <v>2051</v>
      </c>
    </row>
    <row r="685" spans="1:13" ht="15.75" customHeight="1">
      <c r="A685" s="1">
        <v>691</v>
      </c>
      <c r="B685" s="1" t="s">
        <v>29</v>
      </c>
      <c r="C685" s="1" t="s">
        <v>788</v>
      </c>
      <c r="D685" s="1" t="s">
        <v>31</v>
      </c>
      <c r="E685" s="1">
        <v>17.3</v>
      </c>
      <c r="F685" s="1" t="s">
        <v>66</v>
      </c>
      <c r="G685" s="1" t="s">
        <v>70</v>
      </c>
      <c r="H685" s="1" t="s">
        <v>50</v>
      </c>
      <c r="I685" s="1" t="s">
        <v>34</v>
      </c>
      <c r="J685" s="1" t="s">
        <v>789</v>
      </c>
      <c r="K685" s="1" t="s">
        <v>53</v>
      </c>
      <c r="L685" s="1" t="s">
        <v>106</v>
      </c>
      <c r="M685" s="1">
        <v>699</v>
      </c>
    </row>
    <row r="686" spans="1:13" ht="15.75" customHeight="1">
      <c r="A686" s="1">
        <v>692</v>
      </c>
      <c r="B686" s="1" t="s">
        <v>86</v>
      </c>
      <c r="C686" s="1" t="s">
        <v>790</v>
      </c>
      <c r="D686" s="1" t="s">
        <v>111</v>
      </c>
      <c r="E686" s="1">
        <v>13.3</v>
      </c>
      <c r="F686" s="1" t="s">
        <v>92</v>
      </c>
      <c r="G686" s="1" t="s">
        <v>62</v>
      </c>
      <c r="H686" s="1" t="s">
        <v>18</v>
      </c>
      <c r="I686" s="1" t="s">
        <v>41</v>
      </c>
      <c r="J686" s="1" t="s">
        <v>68</v>
      </c>
      <c r="K686" s="1" t="s">
        <v>53</v>
      </c>
      <c r="L686" s="1" t="s">
        <v>791</v>
      </c>
      <c r="M686" s="1">
        <v>1499</v>
      </c>
    </row>
    <row r="687" spans="1:13" ht="15.75" customHeight="1">
      <c r="A687" s="1">
        <v>693</v>
      </c>
      <c r="B687" s="1" t="s">
        <v>74</v>
      </c>
      <c r="C687" s="1" t="s">
        <v>786</v>
      </c>
      <c r="D687" s="1" t="s">
        <v>102</v>
      </c>
      <c r="E687" s="1">
        <v>15.6</v>
      </c>
      <c r="F687" s="1" t="s">
        <v>32</v>
      </c>
      <c r="G687" s="1" t="s">
        <v>367</v>
      </c>
      <c r="H687" s="1" t="s">
        <v>40</v>
      </c>
      <c r="I687" s="1" t="s">
        <v>156</v>
      </c>
      <c r="J687" s="1" t="s">
        <v>192</v>
      </c>
      <c r="K687" s="1" t="s">
        <v>53</v>
      </c>
      <c r="L687" s="1" t="s">
        <v>369</v>
      </c>
      <c r="M687" s="1">
        <v>2813.75</v>
      </c>
    </row>
    <row r="688" spans="1:13" ht="15.75" customHeight="1">
      <c r="A688" s="1">
        <v>694</v>
      </c>
      <c r="B688" s="1" t="s">
        <v>29</v>
      </c>
      <c r="C688" s="1" t="s">
        <v>30</v>
      </c>
      <c r="D688" s="1" t="s">
        <v>31</v>
      </c>
      <c r="E688" s="1">
        <v>15.6</v>
      </c>
      <c r="F688" s="1" t="s">
        <v>48</v>
      </c>
      <c r="G688" s="1" t="s">
        <v>33</v>
      </c>
      <c r="H688" s="1" t="s">
        <v>50</v>
      </c>
      <c r="I688" s="1" t="s">
        <v>51</v>
      </c>
      <c r="J688" s="1" t="s">
        <v>185</v>
      </c>
      <c r="K688" s="1" t="s">
        <v>53</v>
      </c>
      <c r="L688" s="1" t="s">
        <v>37</v>
      </c>
      <c r="M688" s="1">
        <v>612.61</v>
      </c>
    </row>
    <row r="689" spans="1:13" ht="15.75" customHeight="1">
      <c r="A689" s="1">
        <v>695</v>
      </c>
      <c r="B689" s="1" t="s">
        <v>74</v>
      </c>
      <c r="C689" s="1" t="s">
        <v>75</v>
      </c>
      <c r="D689" s="1" t="s">
        <v>31</v>
      </c>
      <c r="E689" s="1">
        <v>15.6</v>
      </c>
      <c r="F689" s="1" t="s">
        <v>48</v>
      </c>
      <c r="G689" s="1" t="s">
        <v>70</v>
      </c>
      <c r="H689" s="1" t="s">
        <v>50</v>
      </c>
      <c r="I689" s="1" t="s">
        <v>89</v>
      </c>
      <c r="J689" s="1" t="s">
        <v>76</v>
      </c>
      <c r="K689" s="1" t="s">
        <v>53</v>
      </c>
      <c r="L689" s="1" t="s">
        <v>77</v>
      </c>
      <c r="M689" s="1">
        <v>545.66999999999996</v>
      </c>
    </row>
    <row r="690" spans="1:13" ht="15.75" customHeight="1">
      <c r="A690" s="1">
        <v>696</v>
      </c>
      <c r="B690" s="1" t="s">
        <v>29</v>
      </c>
      <c r="C690" s="1" t="s">
        <v>792</v>
      </c>
      <c r="D690" s="1" t="s">
        <v>31</v>
      </c>
      <c r="E690" s="1">
        <v>17.3</v>
      </c>
      <c r="F690" s="1" t="s">
        <v>66</v>
      </c>
      <c r="G690" s="1" t="s">
        <v>467</v>
      </c>
      <c r="H690" s="1" t="s">
        <v>246</v>
      </c>
      <c r="I690" s="1" t="s">
        <v>221</v>
      </c>
      <c r="J690" s="1" t="s">
        <v>793</v>
      </c>
      <c r="K690" s="1" t="s">
        <v>53</v>
      </c>
      <c r="L690" s="1" t="s">
        <v>158</v>
      </c>
      <c r="M690" s="1">
        <v>569</v>
      </c>
    </row>
    <row r="691" spans="1:13" ht="15.75" customHeight="1">
      <c r="A691" s="1">
        <v>697</v>
      </c>
      <c r="B691" s="1" t="s">
        <v>86</v>
      </c>
      <c r="C691" s="1" t="s">
        <v>794</v>
      </c>
      <c r="D691" s="1" t="s">
        <v>31</v>
      </c>
      <c r="E691" s="1">
        <v>15.6</v>
      </c>
      <c r="F691" s="1" t="s">
        <v>48</v>
      </c>
      <c r="G691" s="1" t="s">
        <v>485</v>
      </c>
      <c r="H691" s="1" t="s">
        <v>50</v>
      </c>
      <c r="I691" s="1" t="s">
        <v>51</v>
      </c>
      <c r="J691" s="1" t="s">
        <v>487</v>
      </c>
      <c r="K691" s="1" t="s">
        <v>53</v>
      </c>
      <c r="L691" s="1" t="s">
        <v>54</v>
      </c>
      <c r="M691" s="1">
        <v>318</v>
      </c>
    </row>
    <row r="692" spans="1:13" ht="15.75" customHeight="1">
      <c r="A692" s="1">
        <v>698</v>
      </c>
      <c r="B692" s="1" t="s">
        <v>46</v>
      </c>
      <c r="C692" s="1" t="s">
        <v>795</v>
      </c>
      <c r="D692" s="1" t="s">
        <v>31</v>
      </c>
      <c r="E692" s="1">
        <v>14</v>
      </c>
      <c r="F692" s="1" t="s">
        <v>48</v>
      </c>
      <c r="G692" s="1" t="s">
        <v>485</v>
      </c>
      <c r="H692" s="1" t="s">
        <v>50</v>
      </c>
      <c r="I692" s="1" t="s">
        <v>98</v>
      </c>
      <c r="J692" s="1" t="s">
        <v>487</v>
      </c>
      <c r="K692" s="1" t="s">
        <v>456</v>
      </c>
      <c r="L692" s="1" t="s">
        <v>488</v>
      </c>
      <c r="M692" s="1">
        <v>375</v>
      </c>
    </row>
    <row r="693" spans="1:13" ht="15.75" customHeight="1">
      <c r="A693" s="1">
        <v>699</v>
      </c>
      <c r="B693" s="1" t="s">
        <v>86</v>
      </c>
      <c r="C693" s="1" t="s">
        <v>796</v>
      </c>
      <c r="D693" s="1" t="s">
        <v>31</v>
      </c>
      <c r="E693" s="1">
        <v>14</v>
      </c>
      <c r="F693" s="1" t="s">
        <v>32</v>
      </c>
      <c r="G693" s="1" t="s">
        <v>33</v>
      </c>
      <c r="H693" s="1" t="s">
        <v>50</v>
      </c>
      <c r="I693" s="1" t="s">
        <v>34</v>
      </c>
      <c r="J693" s="1" t="s">
        <v>35</v>
      </c>
      <c r="K693" s="1" t="s">
        <v>53</v>
      </c>
      <c r="L693" s="1" t="s">
        <v>196</v>
      </c>
      <c r="M693" s="1">
        <v>699</v>
      </c>
    </row>
    <row r="694" spans="1:13" ht="15.75" customHeight="1">
      <c r="A694" s="1">
        <v>700</v>
      </c>
      <c r="B694" s="1" t="s">
        <v>29</v>
      </c>
      <c r="C694" s="1" t="s">
        <v>695</v>
      </c>
      <c r="D694" s="1" t="s">
        <v>378</v>
      </c>
      <c r="E694" s="1">
        <v>17.3</v>
      </c>
      <c r="F694" s="1" t="s">
        <v>32</v>
      </c>
      <c r="G694" s="1" t="s">
        <v>155</v>
      </c>
      <c r="H694" s="1" t="s">
        <v>18</v>
      </c>
      <c r="I694" s="1" t="s">
        <v>51</v>
      </c>
      <c r="J694" s="1" t="s">
        <v>381</v>
      </c>
      <c r="K694" s="1" t="s">
        <v>53</v>
      </c>
      <c r="L694" s="1" t="s">
        <v>696</v>
      </c>
      <c r="M694" s="1">
        <v>1907.99</v>
      </c>
    </row>
    <row r="695" spans="1:13" ht="15.75" customHeight="1">
      <c r="A695" s="1">
        <v>701</v>
      </c>
      <c r="B695" s="1" t="s">
        <v>86</v>
      </c>
      <c r="C695" s="1" t="s">
        <v>441</v>
      </c>
      <c r="D695" s="1" t="s">
        <v>111</v>
      </c>
      <c r="E695" s="1">
        <v>14</v>
      </c>
      <c r="F695" s="1" t="s">
        <v>358</v>
      </c>
      <c r="G695" s="1" t="s">
        <v>83</v>
      </c>
      <c r="H695" s="1" t="s">
        <v>18</v>
      </c>
      <c r="I695" s="1" t="s">
        <v>34</v>
      </c>
      <c r="J695" s="1" t="s">
        <v>35</v>
      </c>
      <c r="K695" s="1" t="s">
        <v>53</v>
      </c>
      <c r="L695" s="1" t="s">
        <v>360</v>
      </c>
      <c r="M695" s="1">
        <v>2590</v>
      </c>
    </row>
    <row r="696" spans="1:13" ht="15.75" customHeight="1">
      <c r="A696" s="1">
        <v>702</v>
      </c>
      <c r="B696" s="1" t="s">
        <v>293</v>
      </c>
      <c r="C696" s="1" t="s">
        <v>294</v>
      </c>
      <c r="D696" s="1" t="s">
        <v>31</v>
      </c>
      <c r="E696" s="1">
        <v>13.3</v>
      </c>
      <c r="F696" s="1" t="s">
        <v>66</v>
      </c>
      <c r="G696" s="1" t="s">
        <v>33</v>
      </c>
      <c r="H696" s="1" t="s">
        <v>18</v>
      </c>
      <c r="I696" s="1" t="s">
        <v>34</v>
      </c>
      <c r="J696" s="1" t="s">
        <v>35</v>
      </c>
      <c r="K696" s="1" t="s">
        <v>53</v>
      </c>
      <c r="L696" s="1" t="s">
        <v>244</v>
      </c>
      <c r="M696" s="1">
        <v>973</v>
      </c>
    </row>
    <row r="697" spans="1:13" ht="15.75" customHeight="1">
      <c r="A697" s="1">
        <v>703</v>
      </c>
      <c r="B697" s="1" t="s">
        <v>46</v>
      </c>
      <c r="C697" s="1" t="s">
        <v>797</v>
      </c>
      <c r="D697" s="1" t="s">
        <v>95</v>
      </c>
      <c r="E697" s="1">
        <v>11.6</v>
      </c>
      <c r="F697" s="1" t="s">
        <v>48</v>
      </c>
      <c r="G697" s="1" t="s">
        <v>798</v>
      </c>
      <c r="H697" s="1" t="s">
        <v>50</v>
      </c>
      <c r="I697" s="1" t="s">
        <v>98</v>
      </c>
      <c r="J697" s="1" t="s">
        <v>132</v>
      </c>
      <c r="K697" s="1" t="s">
        <v>53</v>
      </c>
      <c r="L697" s="1" t="s">
        <v>199</v>
      </c>
      <c r="M697" s="1">
        <v>269</v>
      </c>
    </row>
    <row r="698" spans="1:13" ht="15.75" customHeight="1">
      <c r="A698" s="1">
        <v>704</v>
      </c>
      <c r="B698" s="1" t="s">
        <v>86</v>
      </c>
      <c r="C698" s="1" t="s">
        <v>413</v>
      </c>
      <c r="D698" s="1" t="s">
        <v>111</v>
      </c>
      <c r="E698" s="1">
        <v>14</v>
      </c>
      <c r="F698" s="1" t="s">
        <v>112</v>
      </c>
      <c r="G698" s="1" t="s">
        <v>83</v>
      </c>
      <c r="H698" s="1" t="s">
        <v>40</v>
      </c>
      <c r="I698" s="1" t="s">
        <v>41</v>
      </c>
      <c r="J698" s="1" t="s">
        <v>35</v>
      </c>
      <c r="K698" s="1" t="s">
        <v>53</v>
      </c>
      <c r="L698" s="1" t="s">
        <v>253</v>
      </c>
      <c r="M698" s="1">
        <v>1749</v>
      </c>
    </row>
    <row r="699" spans="1:13" ht="15.75" customHeight="1">
      <c r="A699" s="1">
        <v>705</v>
      </c>
      <c r="B699" s="1" t="s">
        <v>60</v>
      </c>
      <c r="C699" s="1" t="s">
        <v>799</v>
      </c>
      <c r="D699" s="1" t="s">
        <v>111</v>
      </c>
      <c r="E699" s="1">
        <v>12.5</v>
      </c>
      <c r="F699" s="1" t="s">
        <v>112</v>
      </c>
      <c r="G699" s="1" t="s">
        <v>800</v>
      </c>
      <c r="H699" s="1" t="s">
        <v>50</v>
      </c>
      <c r="I699" s="1" t="s">
        <v>131</v>
      </c>
      <c r="J699" s="1" t="s">
        <v>300</v>
      </c>
      <c r="K699" s="1" t="s">
        <v>456</v>
      </c>
      <c r="L699" s="1" t="s">
        <v>141</v>
      </c>
      <c r="M699" s="1">
        <v>669</v>
      </c>
    </row>
    <row r="700" spans="1:13" ht="15.75" customHeight="1">
      <c r="A700" s="1">
        <v>706</v>
      </c>
      <c r="B700" s="1" t="s">
        <v>293</v>
      </c>
      <c r="C700" s="1" t="s">
        <v>801</v>
      </c>
      <c r="D700" s="1" t="s">
        <v>15</v>
      </c>
      <c r="E700" s="1">
        <v>13.3</v>
      </c>
      <c r="F700" s="1" t="s">
        <v>112</v>
      </c>
      <c r="G700" s="1" t="s">
        <v>389</v>
      </c>
      <c r="H700" s="1" t="s">
        <v>40</v>
      </c>
      <c r="I700" s="1" t="s">
        <v>41</v>
      </c>
      <c r="J700" s="1" t="s">
        <v>71</v>
      </c>
      <c r="K700" s="1" t="s">
        <v>53</v>
      </c>
      <c r="L700" s="1" t="s">
        <v>443</v>
      </c>
      <c r="M700" s="1">
        <v>1877</v>
      </c>
    </row>
    <row r="701" spans="1:13" ht="15.75" customHeight="1">
      <c r="A701" s="1">
        <v>707</v>
      </c>
      <c r="B701" s="1" t="s">
        <v>29</v>
      </c>
      <c r="C701" s="1" t="s">
        <v>802</v>
      </c>
      <c r="D701" s="1" t="s">
        <v>31</v>
      </c>
      <c r="E701" s="1">
        <v>15.6</v>
      </c>
      <c r="F701" s="1" t="s">
        <v>66</v>
      </c>
      <c r="G701" s="1" t="s">
        <v>83</v>
      </c>
      <c r="H701" s="1" t="s">
        <v>50</v>
      </c>
      <c r="I701" s="1" t="s">
        <v>51</v>
      </c>
      <c r="J701" s="1" t="s">
        <v>121</v>
      </c>
      <c r="K701" s="1" t="s">
        <v>53</v>
      </c>
      <c r="L701" s="1" t="s">
        <v>54</v>
      </c>
      <c r="M701" s="1">
        <v>689</v>
      </c>
    </row>
    <row r="702" spans="1:13" ht="15.75" customHeight="1">
      <c r="A702" s="1">
        <v>708</v>
      </c>
      <c r="B702" s="1" t="s">
        <v>74</v>
      </c>
      <c r="C702" s="1" t="s">
        <v>306</v>
      </c>
      <c r="D702" s="1" t="s">
        <v>102</v>
      </c>
      <c r="E702" s="1">
        <v>15.6</v>
      </c>
      <c r="F702" s="1" t="s">
        <v>32</v>
      </c>
      <c r="G702" s="1" t="s">
        <v>103</v>
      </c>
      <c r="H702" s="1" t="s">
        <v>18</v>
      </c>
      <c r="I702" s="1" t="s">
        <v>89</v>
      </c>
      <c r="J702" s="1" t="s">
        <v>105</v>
      </c>
      <c r="K702" s="1" t="s">
        <v>53</v>
      </c>
      <c r="L702" s="1" t="s">
        <v>307</v>
      </c>
      <c r="M702" s="1">
        <v>819</v>
      </c>
    </row>
    <row r="703" spans="1:13" ht="15.75" customHeight="1">
      <c r="A703" s="1">
        <v>709</v>
      </c>
      <c r="B703" s="1" t="s">
        <v>86</v>
      </c>
      <c r="C703" s="1" t="s">
        <v>228</v>
      </c>
      <c r="D703" s="1" t="s">
        <v>31</v>
      </c>
      <c r="E703" s="1">
        <v>15.6</v>
      </c>
      <c r="F703" s="1" t="s">
        <v>32</v>
      </c>
      <c r="G703" s="1" t="s">
        <v>803</v>
      </c>
      <c r="H703" s="1" t="s">
        <v>50</v>
      </c>
      <c r="I703" s="1" t="s">
        <v>34</v>
      </c>
      <c r="J703" s="1" t="s">
        <v>121</v>
      </c>
      <c r="K703" s="1" t="s">
        <v>53</v>
      </c>
      <c r="L703" s="1" t="s">
        <v>77</v>
      </c>
      <c r="M703" s="1">
        <v>399</v>
      </c>
    </row>
    <row r="704" spans="1:13" ht="15.75" customHeight="1">
      <c r="A704" s="1">
        <v>710</v>
      </c>
      <c r="B704" s="1" t="s">
        <v>86</v>
      </c>
      <c r="C704" s="1" t="s">
        <v>510</v>
      </c>
      <c r="D704" s="1" t="s">
        <v>31</v>
      </c>
      <c r="E704" s="1">
        <v>15.6</v>
      </c>
      <c r="F704" s="1" t="s">
        <v>48</v>
      </c>
      <c r="G704" s="1" t="s">
        <v>511</v>
      </c>
      <c r="H704" s="1" t="s">
        <v>18</v>
      </c>
      <c r="I704" s="1" t="s">
        <v>89</v>
      </c>
      <c r="J704" s="1" t="s">
        <v>804</v>
      </c>
      <c r="K704" s="1" t="s">
        <v>53</v>
      </c>
      <c r="L704" s="1" t="s">
        <v>77</v>
      </c>
      <c r="M704" s="1">
        <v>429</v>
      </c>
    </row>
    <row r="705" spans="1:13" ht="15.75" customHeight="1">
      <c r="A705" s="1">
        <v>711</v>
      </c>
      <c r="B705" s="1" t="s">
        <v>86</v>
      </c>
      <c r="C705" s="1" t="s">
        <v>805</v>
      </c>
      <c r="D705" s="1" t="s">
        <v>31</v>
      </c>
      <c r="E705" s="1">
        <v>15.6</v>
      </c>
      <c r="F705" s="1" t="s">
        <v>32</v>
      </c>
      <c r="G705" s="1" t="s">
        <v>33</v>
      </c>
      <c r="H705" s="1" t="s">
        <v>50</v>
      </c>
      <c r="I705" s="1" t="s">
        <v>806</v>
      </c>
      <c r="J705" s="1" t="s">
        <v>35</v>
      </c>
      <c r="K705" s="1" t="s">
        <v>53</v>
      </c>
      <c r="L705" s="1" t="s">
        <v>54</v>
      </c>
      <c r="M705" s="1">
        <v>621.45000000000005</v>
      </c>
    </row>
    <row r="706" spans="1:13" ht="15.75" customHeight="1">
      <c r="A706" s="1">
        <v>712</v>
      </c>
      <c r="B706" s="1" t="s">
        <v>86</v>
      </c>
      <c r="C706" s="1" t="s">
        <v>807</v>
      </c>
      <c r="D706" s="1" t="s">
        <v>31</v>
      </c>
      <c r="E706" s="1">
        <v>15.6</v>
      </c>
      <c r="F706" s="1" t="s">
        <v>48</v>
      </c>
      <c r="G706" s="1" t="s">
        <v>70</v>
      </c>
      <c r="H706" s="1" t="s">
        <v>50</v>
      </c>
      <c r="I706" s="1" t="s">
        <v>51</v>
      </c>
      <c r="J706" s="1" t="s">
        <v>71</v>
      </c>
      <c r="K706" s="1" t="s">
        <v>36</v>
      </c>
      <c r="L706" s="1" t="s">
        <v>344</v>
      </c>
      <c r="M706" s="1">
        <v>450</v>
      </c>
    </row>
    <row r="707" spans="1:13" ht="15.75" customHeight="1">
      <c r="A707" s="1">
        <v>713</v>
      </c>
      <c r="B707" s="1" t="s">
        <v>74</v>
      </c>
      <c r="C707" s="1" t="s">
        <v>653</v>
      </c>
      <c r="D707" s="1" t="s">
        <v>31</v>
      </c>
      <c r="E707" s="1">
        <v>15.6</v>
      </c>
      <c r="F707" s="1" t="s">
        <v>32</v>
      </c>
      <c r="G707" s="1" t="s">
        <v>33</v>
      </c>
      <c r="H707" s="1" t="s">
        <v>18</v>
      </c>
      <c r="I707" s="1" t="s">
        <v>34</v>
      </c>
      <c r="J707" s="1" t="s">
        <v>35</v>
      </c>
      <c r="K707" s="1" t="s">
        <v>53</v>
      </c>
      <c r="L707" s="1" t="s">
        <v>433</v>
      </c>
      <c r="M707" s="1">
        <v>795</v>
      </c>
    </row>
    <row r="708" spans="1:13" ht="15.75" customHeight="1">
      <c r="A708" s="1">
        <v>714</v>
      </c>
      <c r="B708" s="1" t="s">
        <v>46</v>
      </c>
      <c r="C708" s="1" t="s">
        <v>243</v>
      </c>
      <c r="D708" s="1" t="s">
        <v>111</v>
      </c>
      <c r="E708" s="1">
        <v>13.3</v>
      </c>
      <c r="F708" s="1" t="s">
        <v>92</v>
      </c>
      <c r="G708" s="1" t="s">
        <v>67</v>
      </c>
      <c r="H708" s="1" t="s">
        <v>18</v>
      </c>
      <c r="I708" s="1" t="s">
        <v>34</v>
      </c>
      <c r="J708" s="1" t="s">
        <v>68</v>
      </c>
      <c r="K708" s="1" t="s">
        <v>53</v>
      </c>
      <c r="L708" s="1" t="s">
        <v>69</v>
      </c>
      <c r="M708" s="1">
        <v>999</v>
      </c>
    </row>
    <row r="709" spans="1:13" ht="15.75" customHeight="1">
      <c r="A709" s="1">
        <v>715</v>
      </c>
      <c r="B709" s="1" t="s">
        <v>86</v>
      </c>
      <c r="C709" s="1" t="s">
        <v>808</v>
      </c>
      <c r="D709" s="1" t="s">
        <v>378</v>
      </c>
      <c r="E709" s="1">
        <v>15.6</v>
      </c>
      <c r="F709" s="1" t="s">
        <v>32</v>
      </c>
      <c r="G709" s="1" t="s">
        <v>389</v>
      </c>
      <c r="H709" s="1" t="s">
        <v>40</v>
      </c>
      <c r="I709" s="1" t="s">
        <v>41</v>
      </c>
      <c r="J709" s="1" t="s">
        <v>809</v>
      </c>
      <c r="K709" s="1" t="s">
        <v>662</v>
      </c>
      <c r="L709" s="1" t="s">
        <v>433</v>
      </c>
      <c r="M709" s="1">
        <v>1855</v>
      </c>
    </row>
    <row r="710" spans="1:13" ht="15.75" customHeight="1">
      <c r="A710" s="1">
        <v>716</v>
      </c>
      <c r="B710" s="1" t="s">
        <v>86</v>
      </c>
      <c r="C710" s="1" t="s">
        <v>810</v>
      </c>
      <c r="D710" s="1" t="s">
        <v>31</v>
      </c>
      <c r="E710" s="1">
        <v>14</v>
      </c>
      <c r="F710" s="1" t="s">
        <v>32</v>
      </c>
      <c r="G710" s="1" t="s">
        <v>811</v>
      </c>
      <c r="H710" s="1" t="s">
        <v>18</v>
      </c>
      <c r="I710" s="1" t="s">
        <v>34</v>
      </c>
      <c r="J710" s="1" t="s">
        <v>71</v>
      </c>
      <c r="K710" s="1" t="s">
        <v>53</v>
      </c>
      <c r="L710" s="1" t="s">
        <v>202</v>
      </c>
      <c r="M710" s="1">
        <v>1191</v>
      </c>
    </row>
    <row r="711" spans="1:13" ht="15.75" customHeight="1">
      <c r="A711" s="1">
        <v>717</v>
      </c>
      <c r="B711" s="1" t="s">
        <v>29</v>
      </c>
      <c r="C711" s="1" t="s">
        <v>812</v>
      </c>
      <c r="D711" s="1" t="s">
        <v>31</v>
      </c>
      <c r="E711" s="1">
        <v>17.3</v>
      </c>
      <c r="F711" s="1" t="s">
        <v>66</v>
      </c>
      <c r="G711" s="1" t="s">
        <v>639</v>
      </c>
      <c r="H711" s="1" t="s">
        <v>246</v>
      </c>
      <c r="I711" s="1" t="s">
        <v>221</v>
      </c>
      <c r="J711" s="1" t="s">
        <v>121</v>
      </c>
      <c r="K711" s="1" t="s">
        <v>53</v>
      </c>
      <c r="L711" s="1" t="s">
        <v>139</v>
      </c>
      <c r="M711" s="1">
        <v>655.01</v>
      </c>
    </row>
    <row r="712" spans="1:13" ht="15.75" customHeight="1">
      <c r="A712" s="1">
        <v>718</v>
      </c>
      <c r="B712" s="1" t="s">
        <v>86</v>
      </c>
      <c r="C712" s="1" t="s">
        <v>101</v>
      </c>
      <c r="D712" s="1" t="s">
        <v>102</v>
      </c>
      <c r="E712" s="1">
        <v>15.6</v>
      </c>
      <c r="F712" s="1" t="s">
        <v>66</v>
      </c>
      <c r="G712" s="1" t="s">
        <v>155</v>
      </c>
      <c r="H712" s="1" t="s">
        <v>18</v>
      </c>
      <c r="I712" s="1" t="s">
        <v>104</v>
      </c>
      <c r="J712" s="1" t="s">
        <v>201</v>
      </c>
      <c r="K712" s="1" t="s">
        <v>53</v>
      </c>
      <c r="L712" s="1" t="s">
        <v>106</v>
      </c>
      <c r="M712" s="1">
        <v>1249</v>
      </c>
    </row>
    <row r="713" spans="1:13" ht="15.75" customHeight="1">
      <c r="A713" s="1">
        <v>719</v>
      </c>
      <c r="B713" s="1" t="s">
        <v>74</v>
      </c>
      <c r="C713" s="1" t="s">
        <v>575</v>
      </c>
      <c r="D713" s="1" t="s">
        <v>31</v>
      </c>
      <c r="E713" s="1">
        <v>14</v>
      </c>
      <c r="F713" s="1" t="s">
        <v>32</v>
      </c>
      <c r="G713" s="1" t="s">
        <v>598</v>
      </c>
      <c r="H713" s="1" t="s">
        <v>18</v>
      </c>
      <c r="I713" s="1" t="s">
        <v>34</v>
      </c>
      <c r="J713" s="1" t="s">
        <v>127</v>
      </c>
      <c r="K713" s="1" t="s">
        <v>147</v>
      </c>
      <c r="L713" s="1" t="s">
        <v>599</v>
      </c>
      <c r="M713" s="1">
        <v>1089</v>
      </c>
    </row>
    <row r="714" spans="1:13" ht="15.75" customHeight="1">
      <c r="A714" s="1">
        <v>720</v>
      </c>
      <c r="B714" s="1" t="s">
        <v>74</v>
      </c>
      <c r="C714" s="1" t="s">
        <v>653</v>
      </c>
      <c r="D714" s="1" t="s">
        <v>31</v>
      </c>
      <c r="E714" s="1">
        <v>15.6</v>
      </c>
      <c r="F714" s="1" t="s">
        <v>32</v>
      </c>
      <c r="G714" s="1" t="s">
        <v>33</v>
      </c>
      <c r="H714" s="1" t="s">
        <v>18</v>
      </c>
      <c r="I714" s="1" t="s">
        <v>89</v>
      </c>
      <c r="J714" s="1" t="s">
        <v>35</v>
      </c>
      <c r="K714" s="1" t="s">
        <v>147</v>
      </c>
      <c r="L714" s="1" t="s">
        <v>813</v>
      </c>
      <c r="M714" s="1">
        <v>726</v>
      </c>
    </row>
    <row r="715" spans="1:13" ht="15.75" customHeight="1">
      <c r="A715" s="1">
        <v>721</v>
      </c>
      <c r="B715" s="1" t="s">
        <v>60</v>
      </c>
      <c r="C715" s="1" t="s">
        <v>532</v>
      </c>
      <c r="D715" s="1" t="s">
        <v>31</v>
      </c>
      <c r="E715" s="1">
        <v>14</v>
      </c>
      <c r="F715" s="1" t="s">
        <v>32</v>
      </c>
      <c r="G715" s="1" t="s">
        <v>143</v>
      </c>
      <c r="H715" s="1" t="s">
        <v>50</v>
      </c>
      <c r="I715" s="1" t="s">
        <v>98</v>
      </c>
      <c r="J715" s="1" t="s">
        <v>144</v>
      </c>
      <c r="K715" s="1" t="s">
        <v>53</v>
      </c>
      <c r="L715" s="1" t="s">
        <v>244</v>
      </c>
      <c r="M715" s="1">
        <v>298</v>
      </c>
    </row>
    <row r="716" spans="1:13" ht="15.75" customHeight="1">
      <c r="A716" s="1">
        <v>722</v>
      </c>
      <c r="B716" s="1" t="s">
        <v>74</v>
      </c>
      <c r="C716" s="1" t="s">
        <v>663</v>
      </c>
      <c r="D716" s="1" t="s">
        <v>31</v>
      </c>
      <c r="E716" s="1">
        <v>15.6</v>
      </c>
      <c r="F716" s="1" t="s">
        <v>32</v>
      </c>
      <c r="G716" s="1" t="s">
        <v>505</v>
      </c>
      <c r="H716" s="1" t="s">
        <v>40</v>
      </c>
      <c r="I716" s="1" t="s">
        <v>41</v>
      </c>
      <c r="J716" s="1" t="s">
        <v>35</v>
      </c>
      <c r="K716" s="1" t="s">
        <v>53</v>
      </c>
      <c r="L716" s="1" t="s">
        <v>667</v>
      </c>
      <c r="M716" s="1">
        <v>1426.66</v>
      </c>
    </row>
    <row r="717" spans="1:13" ht="15.75" customHeight="1">
      <c r="A717" s="1">
        <v>723</v>
      </c>
      <c r="B717" s="1" t="s">
        <v>86</v>
      </c>
      <c r="C717" s="1" t="s">
        <v>669</v>
      </c>
      <c r="D717" s="1" t="s">
        <v>31</v>
      </c>
      <c r="E717" s="1">
        <v>14</v>
      </c>
      <c r="F717" s="1" t="s">
        <v>66</v>
      </c>
      <c r="G717" s="1" t="s">
        <v>33</v>
      </c>
      <c r="H717" s="1" t="s">
        <v>18</v>
      </c>
      <c r="I717" s="1" t="s">
        <v>34</v>
      </c>
      <c r="J717" s="1" t="s">
        <v>174</v>
      </c>
      <c r="K717" s="1" t="s">
        <v>53</v>
      </c>
      <c r="L717" s="1" t="s">
        <v>670</v>
      </c>
      <c r="M717" s="1">
        <v>857.07</v>
      </c>
    </row>
    <row r="718" spans="1:13" ht="15.75" customHeight="1">
      <c r="A718" s="1">
        <v>724</v>
      </c>
      <c r="B718" s="1" t="s">
        <v>74</v>
      </c>
      <c r="C718" s="1" t="s">
        <v>663</v>
      </c>
      <c r="D718" s="1" t="s">
        <v>31</v>
      </c>
      <c r="E718" s="1">
        <v>15.6</v>
      </c>
      <c r="F718" s="1" t="s">
        <v>32</v>
      </c>
      <c r="G718" s="1" t="s">
        <v>505</v>
      </c>
      <c r="H718" s="1" t="s">
        <v>18</v>
      </c>
      <c r="I718" s="1" t="s">
        <v>34</v>
      </c>
      <c r="J718" s="1" t="s">
        <v>35</v>
      </c>
      <c r="K718" s="1" t="s">
        <v>53</v>
      </c>
      <c r="L718" s="1" t="s">
        <v>207</v>
      </c>
      <c r="M718" s="1">
        <v>1179</v>
      </c>
    </row>
    <row r="719" spans="1:13" ht="15.75" customHeight="1">
      <c r="A719" s="1">
        <v>725</v>
      </c>
      <c r="B719" s="1" t="s">
        <v>86</v>
      </c>
      <c r="C719" s="1" t="s">
        <v>814</v>
      </c>
      <c r="D719" s="1" t="s">
        <v>31</v>
      </c>
      <c r="E719" s="1">
        <v>15.6</v>
      </c>
      <c r="F719" s="1" t="s">
        <v>48</v>
      </c>
      <c r="G719" s="1" t="s">
        <v>815</v>
      </c>
      <c r="H719" s="1" t="s">
        <v>50</v>
      </c>
      <c r="I719" s="1" t="s">
        <v>51</v>
      </c>
      <c r="J719" s="1" t="s">
        <v>595</v>
      </c>
      <c r="K719" s="1" t="s">
        <v>53</v>
      </c>
      <c r="L719" s="1" t="s">
        <v>457</v>
      </c>
      <c r="M719" s="1">
        <v>298</v>
      </c>
    </row>
    <row r="720" spans="1:13" ht="15.75" customHeight="1">
      <c r="A720" s="1">
        <v>726</v>
      </c>
      <c r="B720" s="1" t="s">
        <v>577</v>
      </c>
      <c r="C720" s="1" t="s">
        <v>816</v>
      </c>
      <c r="D720" s="1" t="s">
        <v>31</v>
      </c>
      <c r="E720" s="1">
        <v>14</v>
      </c>
      <c r="F720" s="1" t="s">
        <v>817</v>
      </c>
      <c r="G720" s="1" t="s">
        <v>818</v>
      </c>
      <c r="H720" s="1" t="s">
        <v>50</v>
      </c>
      <c r="I720" s="1" t="s">
        <v>819</v>
      </c>
      <c r="J720" s="1" t="s">
        <v>99</v>
      </c>
      <c r="K720" s="1" t="s">
        <v>53</v>
      </c>
      <c r="L720" s="1" t="s">
        <v>199</v>
      </c>
      <c r="M720" s="1">
        <v>265</v>
      </c>
    </row>
    <row r="721" spans="1:13" ht="15.75" customHeight="1">
      <c r="A721" s="1">
        <v>727</v>
      </c>
      <c r="B721" s="1" t="s">
        <v>29</v>
      </c>
      <c r="C721" s="1" t="s">
        <v>126</v>
      </c>
      <c r="D721" s="1" t="s">
        <v>31</v>
      </c>
      <c r="E721" s="1">
        <v>17.3</v>
      </c>
      <c r="F721" s="1" t="s">
        <v>32</v>
      </c>
      <c r="G721" s="1" t="s">
        <v>83</v>
      </c>
      <c r="H721" s="1" t="s">
        <v>18</v>
      </c>
      <c r="I721" s="1" t="s">
        <v>34</v>
      </c>
      <c r="J721" s="1" t="s">
        <v>127</v>
      </c>
      <c r="K721" s="1" t="s">
        <v>53</v>
      </c>
      <c r="L721" s="1" t="s">
        <v>680</v>
      </c>
      <c r="M721" s="1">
        <v>1200</v>
      </c>
    </row>
    <row r="722" spans="1:13" ht="15.75" customHeight="1">
      <c r="A722" s="1">
        <v>728</v>
      </c>
      <c r="B722" s="1" t="s">
        <v>86</v>
      </c>
      <c r="C722" s="1" t="s">
        <v>441</v>
      </c>
      <c r="D722" s="1" t="s">
        <v>15</v>
      </c>
      <c r="E722" s="1">
        <v>14</v>
      </c>
      <c r="F722" s="1" t="s">
        <v>621</v>
      </c>
      <c r="G722" s="1" t="s">
        <v>389</v>
      </c>
      <c r="H722" s="1" t="s">
        <v>18</v>
      </c>
      <c r="I722" s="1" t="s">
        <v>41</v>
      </c>
      <c r="J722" s="1" t="s">
        <v>71</v>
      </c>
      <c r="K722" s="1" t="s">
        <v>53</v>
      </c>
      <c r="L722" s="1" t="s">
        <v>820</v>
      </c>
      <c r="M722" s="1">
        <v>1686.64</v>
      </c>
    </row>
    <row r="723" spans="1:13" ht="15.75" customHeight="1">
      <c r="A723" s="1">
        <v>729</v>
      </c>
      <c r="B723" s="1" t="s">
        <v>29</v>
      </c>
      <c r="C723" s="1" t="s">
        <v>777</v>
      </c>
      <c r="D723" s="1" t="s">
        <v>111</v>
      </c>
      <c r="E723" s="1">
        <v>13.3</v>
      </c>
      <c r="F723" s="1" t="s">
        <v>740</v>
      </c>
      <c r="G723" s="1" t="s">
        <v>33</v>
      </c>
      <c r="H723" s="1" t="s">
        <v>18</v>
      </c>
      <c r="I723" s="1" t="s">
        <v>34</v>
      </c>
      <c r="J723" s="1" t="s">
        <v>35</v>
      </c>
      <c r="K723" s="1" t="s">
        <v>53</v>
      </c>
      <c r="L723" s="1" t="s">
        <v>255</v>
      </c>
      <c r="M723" s="1">
        <v>836.6</v>
      </c>
    </row>
    <row r="724" spans="1:13" ht="15.75" customHeight="1">
      <c r="A724" s="1">
        <v>730</v>
      </c>
      <c r="B724" s="1" t="s">
        <v>86</v>
      </c>
      <c r="C724" s="1" t="s">
        <v>592</v>
      </c>
      <c r="D724" s="1" t="s">
        <v>15</v>
      </c>
      <c r="E724" s="1">
        <v>14</v>
      </c>
      <c r="F724" s="1" t="s">
        <v>66</v>
      </c>
      <c r="G724" s="1" t="s">
        <v>33</v>
      </c>
      <c r="H724" s="1" t="s">
        <v>18</v>
      </c>
      <c r="I724" s="1" t="s">
        <v>34</v>
      </c>
      <c r="J724" s="1" t="s">
        <v>35</v>
      </c>
      <c r="K724" s="1" t="s">
        <v>53</v>
      </c>
      <c r="L724" s="1" t="s">
        <v>288</v>
      </c>
      <c r="M724" s="1">
        <v>1499</v>
      </c>
    </row>
    <row r="725" spans="1:13" ht="15.75" customHeight="1">
      <c r="A725" s="1">
        <v>731</v>
      </c>
      <c r="B725" s="1" t="s">
        <v>74</v>
      </c>
      <c r="C725" s="1" t="s">
        <v>390</v>
      </c>
      <c r="D725" s="1" t="s">
        <v>102</v>
      </c>
      <c r="E725" s="1">
        <v>17.3</v>
      </c>
      <c r="F725" s="1" t="s">
        <v>379</v>
      </c>
      <c r="G725" s="1" t="s">
        <v>155</v>
      </c>
      <c r="H725" s="1" t="s">
        <v>338</v>
      </c>
      <c r="I725" s="1" t="s">
        <v>821</v>
      </c>
      <c r="J725" s="1" t="s">
        <v>192</v>
      </c>
      <c r="K725" s="1" t="s">
        <v>53</v>
      </c>
      <c r="L725" s="1" t="s">
        <v>822</v>
      </c>
      <c r="M725" s="1">
        <v>3659.4</v>
      </c>
    </row>
    <row r="726" spans="1:13" ht="15.75" customHeight="1">
      <c r="A726" s="1">
        <v>732</v>
      </c>
      <c r="B726" s="1" t="s">
        <v>189</v>
      </c>
      <c r="C726" s="1" t="s">
        <v>501</v>
      </c>
      <c r="D726" s="1" t="s">
        <v>102</v>
      </c>
      <c r="E726" s="1">
        <v>17.3</v>
      </c>
      <c r="F726" s="1" t="s">
        <v>32</v>
      </c>
      <c r="G726" s="1" t="s">
        <v>155</v>
      </c>
      <c r="H726" s="1" t="s">
        <v>18</v>
      </c>
      <c r="I726" s="1" t="s">
        <v>104</v>
      </c>
      <c r="J726" s="1" t="s">
        <v>201</v>
      </c>
      <c r="K726" s="1" t="s">
        <v>53</v>
      </c>
      <c r="L726" s="1" t="s">
        <v>217</v>
      </c>
      <c r="M726" s="1">
        <v>1348.48</v>
      </c>
    </row>
    <row r="727" spans="1:13" ht="15.75" customHeight="1">
      <c r="A727" s="1">
        <v>733</v>
      </c>
      <c r="B727" s="1" t="s">
        <v>86</v>
      </c>
      <c r="C727" s="1" t="s">
        <v>823</v>
      </c>
      <c r="D727" s="1" t="s">
        <v>31</v>
      </c>
      <c r="E727" s="1">
        <v>15.6</v>
      </c>
      <c r="F727" s="1" t="s">
        <v>48</v>
      </c>
      <c r="G727" s="1" t="s">
        <v>33</v>
      </c>
      <c r="H727" s="1" t="s">
        <v>50</v>
      </c>
      <c r="I727" s="1" t="s">
        <v>89</v>
      </c>
      <c r="J727" s="1" t="s">
        <v>35</v>
      </c>
      <c r="K727" s="1" t="s">
        <v>36</v>
      </c>
      <c r="L727" s="1" t="s">
        <v>207</v>
      </c>
      <c r="M727" s="1">
        <v>489.9</v>
      </c>
    </row>
    <row r="728" spans="1:13" ht="15.75" customHeight="1">
      <c r="A728" s="1">
        <v>734</v>
      </c>
      <c r="B728" s="1" t="s">
        <v>74</v>
      </c>
      <c r="C728" s="1" t="s">
        <v>120</v>
      </c>
      <c r="D728" s="1" t="s">
        <v>31</v>
      </c>
      <c r="E728" s="1">
        <v>15.6</v>
      </c>
      <c r="F728" s="1" t="s">
        <v>32</v>
      </c>
      <c r="G728" s="1" t="s">
        <v>67</v>
      </c>
      <c r="H728" s="1" t="s">
        <v>18</v>
      </c>
      <c r="I728" s="1" t="s">
        <v>104</v>
      </c>
      <c r="J728" s="1" t="s">
        <v>121</v>
      </c>
      <c r="K728" s="1" t="s">
        <v>53</v>
      </c>
      <c r="L728" s="1" t="s">
        <v>77</v>
      </c>
      <c r="M728" s="1">
        <v>719</v>
      </c>
    </row>
    <row r="729" spans="1:13" ht="15.75" customHeight="1">
      <c r="A729" s="1">
        <v>735</v>
      </c>
      <c r="B729" s="1" t="s">
        <v>74</v>
      </c>
      <c r="C729" s="1" t="s">
        <v>824</v>
      </c>
      <c r="D729" s="1" t="s">
        <v>111</v>
      </c>
      <c r="E729" s="1">
        <v>13.3</v>
      </c>
      <c r="F729" s="1" t="s">
        <v>112</v>
      </c>
      <c r="G729" s="1" t="s">
        <v>88</v>
      </c>
      <c r="H729" s="1" t="s">
        <v>50</v>
      </c>
      <c r="I729" s="1" t="s">
        <v>89</v>
      </c>
      <c r="J729" s="1" t="s">
        <v>35</v>
      </c>
      <c r="K729" s="1" t="s">
        <v>53</v>
      </c>
      <c r="L729" s="1" t="s">
        <v>825</v>
      </c>
      <c r="M729" s="1">
        <v>649</v>
      </c>
    </row>
    <row r="730" spans="1:13" ht="15.75" customHeight="1">
      <c r="A730" s="1">
        <v>736</v>
      </c>
      <c r="B730" s="1" t="s">
        <v>74</v>
      </c>
      <c r="C730" s="1" t="s">
        <v>279</v>
      </c>
      <c r="D730" s="1" t="s">
        <v>31</v>
      </c>
      <c r="E730" s="1">
        <v>15.6</v>
      </c>
      <c r="F730" s="1" t="s">
        <v>48</v>
      </c>
      <c r="G730" s="1" t="s">
        <v>33</v>
      </c>
      <c r="H730" s="1" t="s">
        <v>18</v>
      </c>
      <c r="I730" s="1" t="s">
        <v>89</v>
      </c>
      <c r="J730" s="1" t="s">
        <v>280</v>
      </c>
      <c r="K730" s="1" t="s">
        <v>147</v>
      </c>
      <c r="L730" s="1" t="s">
        <v>826</v>
      </c>
      <c r="M730" s="1">
        <v>589.52</v>
      </c>
    </row>
    <row r="731" spans="1:13" ht="15.75" customHeight="1">
      <c r="A731" s="1">
        <v>737</v>
      </c>
      <c r="B731" s="1" t="s">
        <v>29</v>
      </c>
      <c r="C731" s="1" t="s">
        <v>827</v>
      </c>
      <c r="D731" s="1" t="s">
        <v>31</v>
      </c>
      <c r="E731" s="1">
        <v>15.6</v>
      </c>
      <c r="F731" s="1" t="s">
        <v>32</v>
      </c>
      <c r="G731" s="1" t="s">
        <v>49</v>
      </c>
      <c r="H731" s="1" t="s">
        <v>50</v>
      </c>
      <c r="I731" s="1" t="s">
        <v>89</v>
      </c>
      <c r="J731" s="1" t="s">
        <v>185</v>
      </c>
      <c r="K731" s="1" t="s">
        <v>53</v>
      </c>
      <c r="L731" s="1" t="s">
        <v>54</v>
      </c>
      <c r="M731" s="1">
        <v>489</v>
      </c>
    </row>
    <row r="732" spans="1:13" ht="15.75" customHeight="1">
      <c r="A732" s="1">
        <v>738</v>
      </c>
      <c r="B732" s="1" t="s">
        <v>46</v>
      </c>
      <c r="C732" s="1" t="s">
        <v>828</v>
      </c>
      <c r="D732" s="1" t="s">
        <v>102</v>
      </c>
      <c r="E732" s="1">
        <v>17.3</v>
      </c>
      <c r="F732" s="1" t="s">
        <v>66</v>
      </c>
      <c r="G732" s="1" t="s">
        <v>624</v>
      </c>
      <c r="H732" s="1" t="s">
        <v>40</v>
      </c>
      <c r="I732" s="1" t="s">
        <v>104</v>
      </c>
      <c r="J732" s="1" t="s">
        <v>157</v>
      </c>
      <c r="K732" s="1" t="s">
        <v>53</v>
      </c>
      <c r="L732" s="1" t="s">
        <v>829</v>
      </c>
      <c r="M732" s="1">
        <v>1935</v>
      </c>
    </row>
    <row r="733" spans="1:13" ht="15.75" customHeight="1">
      <c r="A733" s="1">
        <v>739</v>
      </c>
      <c r="B733" s="1" t="s">
        <v>74</v>
      </c>
      <c r="C733" s="1" t="s">
        <v>75</v>
      </c>
      <c r="D733" s="1" t="s">
        <v>31</v>
      </c>
      <c r="E733" s="1">
        <v>15.6</v>
      </c>
      <c r="F733" s="1" t="s">
        <v>48</v>
      </c>
      <c r="G733" s="1" t="s">
        <v>33</v>
      </c>
      <c r="H733" s="1" t="s">
        <v>162</v>
      </c>
      <c r="I733" s="1" t="s">
        <v>89</v>
      </c>
      <c r="J733" s="1" t="s">
        <v>35</v>
      </c>
      <c r="K733" s="1" t="s">
        <v>53</v>
      </c>
      <c r="L733" s="1" t="s">
        <v>447</v>
      </c>
      <c r="M733" s="1">
        <v>649</v>
      </c>
    </row>
    <row r="734" spans="1:13" ht="15.75" customHeight="1">
      <c r="A734" s="1">
        <v>740</v>
      </c>
      <c r="B734" s="1" t="s">
        <v>29</v>
      </c>
      <c r="C734" s="1" t="s">
        <v>830</v>
      </c>
      <c r="D734" s="1" t="s">
        <v>31</v>
      </c>
      <c r="E734" s="1">
        <v>15.6</v>
      </c>
      <c r="F734" s="1" t="s">
        <v>32</v>
      </c>
      <c r="G734" s="1" t="s">
        <v>700</v>
      </c>
      <c r="H734" s="1" t="s">
        <v>246</v>
      </c>
      <c r="I734" s="1" t="s">
        <v>104</v>
      </c>
      <c r="J734" s="1" t="s">
        <v>185</v>
      </c>
      <c r="K734" s="1" t="s">
        <v>53</v>
      </c>
      <c r="L734" s="1" t="s">
        <v>54</v>
      </c>
      <c r="M734" s="1">
        <v>650</v>
      </c>
    </row>
    <row r="735" spans="1:13" ht="15.75" customHeight="1">
      <c r="A735" s="1">
        <v>741</v>
      </c>
      <c r="B735" s="1" t="s">
        <v>46</v>
      </c>
      <c r="C735" s="1" t="s">
        <v>831</v>
      </c>
      <c r="D735" s="1" t="s">
        <v>31</v>
      </c>
      <c r="E735" s="1">
        <v>15.6</v>
      </c>
      <c r="F735" s="1" t="s">
        <v>48</v>
      </c>
      <c r="G735" s="1" t="s">
        <v>33</v>
      </c>
      <c r="H735" s="1" t="s">
        <v>50</v>
      </c>
      <c r="I735" s="1" t="s">
        <v>51</v>
      </c>
      <c r="J735" s="1" t="s">
        <v>35</v>
      </c>
      <c r="K735" s="1" t="s">
        <v>53</v>
      </c>
      <c r="L735" s="1" t="s">
        <v>183</v>
      </c>
      <c r="M735" s="1">
        <v>559</v>
      </c>
    </row>
    <row r="736" spans="1:13" ht="15.75" customHeight="1">
      <c r="A736" s="1">
        <v>742</v>
      </c>
      <c r="B736" s="1" t="s">
        <v>86</v>
      </c>
      <c r="C736" s="1" t="s">
        <v>484</v>
      </c>
      <c r="D736" s="1" t="s">
        <v>31</v>
      </c>
      <c r="E736" s="1">
        <v>13.3</v>
      </c>
      <c r="F736" s="1" t="s">
        <v>66</v>
      </c>
      <c r="G736" s="1" t="s">
        <v>33</v>
      </c>
      <c r="H736" s="1" t="s">
        <v>18</v>
      </c>
      <c r="I736" s="1" t="s">
        <v>34</v>
      </c>
      <c r="J736" s="1" t="s">
        <v>35</v>
      </c>
      <c r="K736" s="1" t="s">
        <v>53</v>
      </c>
      <c r="L736" s="1" t="s">
        <v>145</v>
      </c>
      <c r="M736" s="1">
        <v>960</v>
      </c>
    </row>
    <row r="737" spans="1:13" ht="15.75" customHeight="1">
      <c r="A737" s="1">
        <v>743</v>
      </c>
      <c r="B737" s="1" t="s">
        <v>86</v>
      </c>
      <c r="C737" s="1" t="s">
        <v>832</v>
      </c>
      <c r="D737" s="1" t="s">
        <v>31</v>
      </c>
      <c r="E737" s="1">
        <v>15.6</v>
      </c>
      <c r="F737" s="1" t="s">
        <v>32</v>
      </c>
      <c r="G737" s="1" t="s">
        <v>83</v>
      </c>
      <c r="H737" s="1" t="s">
        <v>50</v>
      </c>
      <c r="I737" s="1" t="s">
        <v>89</v>
      </c>
      <c r="J737" s="1" t="s">
        <v>35</v>
      </c>
      <c r="K737" s="1" t="s">
        <v>53</v>
      </c>
      <c r="L737" s="1" t="s">
        <v>257</v>
      </c>
      <c r="M737" s="1">
        <v>779</v>
      </c>
    </row>
    <row r="738" spans="1:13" ht="15.75" customHeight="1">
      <c r="A738" s="1">
        <v>744</v>
      </c>
      <c r="B738" s="1" t="s">
        <v>29</v>
      </c>
      <c r="C738" s="1" t="s">
        <v>833</v>
      </c>
      <c r="D738" s="1" t="s">
        <v>378</v>
      </c>
      <c r="E738" s="1">
        <v>15.6</v>
      </c>
      <c r="F738" s="1" t="s">
        <v>32</v>
      </c>
      <c r="G738" s="1" t="s">
        <v>155</v>
      </c>
      <c r="H738" s="1" t="s">
        <v>40</v>
      </c>
      <c r="I738" s="1" t="s">
        <v>34</v>
      </c>
      <c r="J738" s="1" t="s">
        <v>834</v>
      </c>
      <c r="K738" s="1" t="s">
        <v>53</v>
      </c>
      <c r="L738" s="1" t="s">
        <v>516</v>
      </c>
      <c r="M738" s="1">
        <v>2419</v>
      </c>
    </row>
    <row r="739" spans="1:13" ht="15.75" customHeight="1">
      <c r="A739" s="1">
        <v>745</v>
      </c>
      <c r="B739" s="1" t="s">
        <v>74</v>
      </c>
      <c r="C739" s="1" t="s">
        <v>110</v>
      </c>
      <c r="D739" s="1" t="s">
        <v>111</v>
      </c>
      <c r="E739" s="1">
        <v>13.3</v>
      </c>
      <c r="F739" s="1" t="s">
        <v>112</v>
      </c>
      <c r="G739" s="1" t="s">
        <v>67</v>
      </c>
      <c r="H739" s="1" t="s">
        <v>18</v>
      </c>
      <c r="I739" s="1" t="s">
        <v>89</v>
      </c>
      <c r="J739" s="1" t="s">
        <v>68</v>
      </c>
      <c r="K739" s="1" t="s">
        <v>53</v>
      </c>
      <c r="L739" s="1" t="s">
        <v>835</v>
      </c>
      <c r="M739" s="1">
        <v>659</v>
      </c>
    </row>
    <row r="740" spans="1:13" ht="15.75" customHeight="1">
      <c r="A740" s="1">
        <v>746</v>
      </c>
      <c r="B740" s="1" t="s">
        <v>189</v>
      </c>
      <c r="C740" s="1" t="s">
        <v>728</v>
      </c>
      <c r="D740" s="1" t="s">
        <v>102</v>
      </c>
      <c r="E740" s="1">
        <v>15.6</v>
      </c>
      <c r="F740" s="1" t="s">
        <v>32</v>
      </c>
      <c r="G740" s="1" t="s">
        <v>155</v>
      </c>
      <c r="H740" s="1" t="s">
        <v>40</v>
      </c>
      <c r="I740" s="1" t="s">
        <v>156</v>
      </c>
      <c r="J740" s="1" t="s">
        <v>157</v>
      </c>
      <c r="K740" s="1" t="s">
        <v>53</v>
      </c>
      <c r="L740" s="1" t="s">
        <v>202</v>
      </c>
      <c r="M740" s="1">
        <v>2094.48</v>
      </c>
    </row>
    <row r="741" spans="1:13" ht="15.75" customHeight="1">
      <c r="A741" s="1">
        <v>747</v>
      </c>
      <c r="B741" s="1" t="s">
        <v>46</v>
      </c>
      <c r="C741" s="1" t="s">
        <v>600</v>
      </c>
      <c r="D741" s="1" t="s">
        <v>31</v>
      </c>
      <c r="E741" s="1">
        <v>15.6</v>
      </c>
      <c r="F741" s="1" t="s">
        <v>48</v>
      </c>
      <c r="G741" s="1" t="s">
        <v>70</v>
      </c>
      <c r="H741" s="1" t="s">
        <v>50</v>
      </c>
      <c r="I741" s="1" t="s">
        <v>51</v>
      </c>
      <c r="J741" s="1" t="s">
        <v>71</v>
      </c>
      <c r="K741" s="1" t="s">
        <v>53</v>
      </c>
      <c r="L741" s="1" t="s">
        <v>183</v>
      </c>
      <c r="M741" s="1">
        <v>410.8</v>
      </c>
    </row>
    <row r="742" spans="1:13" ht="15.75" customHeight="1">
      <c r="A742" s="1">
        <v>748</v>
      </c>
      <c r="B742" s="1" t="s">
        <v>74</v>
      </c>
      <c r="C742" s="1" t="s">
        <v>836</v>
      </c>
      <c r="D742" s="1" t="s">
        <v>31</v>
      </c>
      <c r="E742" s="1">
        <v>15.6</v>
      </c>
      <c r="F742" s="1" t="s">
        <v>32</v>
      </c>
      <c r="G742" s="1" t="s">
        <v>83</v>
      </c>
      <c r="H742" s="1" t="s">
        <v>18</v>
      </c>
      <c r="I742" s="1" t="s">
        <v>104</v>
      </c>
      <c r="J742" s="1" t="s">
        <v>90</v>
      </c>
      <c r="K742" s="1" t="s">
        <v>53</v>
      </c>
      <c r="L742" s="1" t="s">
        <v>347</v>
      </c>
      <c r="M742" s="1">
        <v>1207</v>
      </c>
    </row>
    <row r="743" spans="1:13" ht="15.75" customHeight="1">
      <c r="A743" s="1">
        <v>749</v>
      </c>
      <c r="B743" s="1" t="s">
        <v>74</v>
      </c>
      <c r="C743" s="1" t="s">
        <v>432</v>
      </c>
      <c r="D743" s="1" t="s">
        <v>31</v>
      </c>
      <c r="E743" s="1">
        <v>15.6</v>
      </c>
      <c r="F743" s="1" t="s">
        <v>48</v>
      </c>
      <c r="G743" s="1" t="s">
        <v>70</v>
      </c>
      <c r="H743" s="1" t="s">
        <v>18</v>
      </c>
      <c r="I743" s="1" t="s">
        <v>34</v>
      </c>
      <c r="J743" s="1" t="s">
        <v>71</v>
      </c>
      <c r="K743" s="1" t="s">
        <v>53</v>
      </c>
      <c r="L743" s="1" t="s">
        <v>153</v>
      </c>
      <c r="M743" s="1">
        <v>665</v>
      </c>
    </row>
    <row r="744" spans="1:13" ht="15.75" customHeight="1">
      <c r="A744" s="1">
        <v>750</v>
      </c>
      <c r="B744" s="1" t="s">
        <v>293</v>
      </c>
      <c r="C744" s="1" t="s">
        <v>837</v>
      </c>
      <c r="D744" s="1" t="s">
        <v>31</v>
      </c>
      <c r="E744" s="1">
        <v>14</v>
      </c>
      <c r="F744" s="1" t="s">
        <v>92</v>
      </c>
      <c r="G744" s="1" t="s">
        <v>33</v>
      </c>
      <c r="H744" s="1" t="s">
        <v>18</v>
      </c>
      <c r="I744" s="1" t="s">
        <v>34</v>
      </c>
      <c r="J744" s="1" t="s">
        <v>35</v>
      </c>
      <c r="K744" s="1" t="s">
        <v>53</v>
      </c>
      <c r="L744" s="1" t="s">
        <v>242</v>
      </c>
      <c r="M744" s="1">
        <v>1535</v>
      </c>
    </row>
    <row r="745" spans="1:13" ht="15.75" customHeight="1">
      <c r="A745" s="1">
        <v>751</v>
      </c>
      <c r="B745" s="1" t="s">
        <v>86</v>
      </c>
      <c r="C745" s="1" t="s">
        <v>838</v>
      </c>
      <c r="D745" s="1" t="s">
        <v>111</v>
      </c>
      <c r="E745" s="1">
        <v>14</v>
      </c>
      <c r="F745" s="1" t="s">
        <v>112</v>
      </c>
      <c r="G745" s="1" t="s">
        <v>33</v>
      </c>
      <c r="H745" s="1" t="s">
        <v>18</v>
      </c>
      <c r="I745" s="1" t="s">
        <v>34</v>
      </c>
      <c r="J745" s="1" t="s">
        <v>35</v>
      </c>
      <c r="K745" s="1" t="s">
        <v>53</v>
      </c>
      <c r="L745" s="1" t="s">
        <v>196</v>
      </c>
      <c r="M745" s="1">
        <v>999</v>
      </c>
    </row>
    <row r="746" spans="1:13" ht="15.75" customHeight="1">
      <c r="A746" s="1">
        <v>752</v>
      </c>
      <c r="B746" s="1" t="s">
        <v>86</v>
      </c>
      <c r="C746" s="1" t="s">
        <v>839</v>
      </c>
      <c r="D746" s="1" t="s">
        <v>378</v>
      </c>
      <c r="E746" s="1">
        <v>15.6</v>
      </c>
      <c r="F746" s="1" t="s">
        <v>372</v>
      </c>
      <c r="G746" s="1" t="s">
        <v>476</v>
      </c>
      <c r="H746" s="1" t="s">
        <v>40</v>
      </c>
      <c r="I746" s="1" t="s">
        <v>359</v>
      </c>
      <c r="J746" s="1" t="s">
        <v>809</v>
      </c>
      <c r="K746" s="1" t="s">
        <v>53</v>
      </c>
      <c r="L746" s="1" t="s">
        <v>106</v>
      </c>
      <c r="M746" s="1">
        <v>3299</v>
      </c>
    </row>
    <row r="747" spans="1:13" ht="15.75" customHeight="1">
      <c r="A747" s="1">
        <v>753</v>
      </c>
      <c r="B747" s="1" t="s">
        <v>46</v>
      </c>
      <c r="C747" s="1" t="s">
        <v>795</v>
      </c>
      <c r="D747" s="1" t="s">
        <v>31</v>
      </c>
      <c r="E747" s="1">
        <v>14</v>
      </c>
      <c r="F747" s="1" t="s">
        <v>48</v>
      </c>
      <c r="G747" s="1" t="s">
        <v>204</v>
      </c>
      <c r="H747" s="1" t="s">
        <v>97</v>
      </c>
      <c r="I747" s="1" t="s">
        <v>98</v>
      </c>
      <c r="J747" s="1" t="s">
        <v>99</v>
      </c>
      <c r="K747" s="1" t="s">
        <v>456</v>
      </c>
      <c r="L747" s="1" t="s">
        <v>423</v>
      </c>
      <c r="M747" s="1">
        <v>330</v>
      </c>
    </row>
    <row r="748" spans="1:13" ht="15.75" customHeight="1">
      <c r="A748" s="1">
        <v>754</v>
      </c>
      <c r="B748" s="1" t="s">
        <v>580</v>
      </c>
      <c r="C748" s="1" t="s">
        <v>840</v>
      </c>
      <c r="D748" s="1" t="s">
        <v>15</v>
      </c>
      <c r="E748" s="1">
        <v>13.3</v>
      </c>
      <c r="F748" s="1" t="s">
        <v>32</v>
      </c>
      <c r="G748" s="1" t="s">
        <v>83</v>
      </c>
      <c r="H748" s="1" t="s">
        <v>40</v>
      </c>
      <c r="I748" s="1" t="s">
        <v>34</v>
      </c>
      <c r="J748" s="1" t="s">
        <v>35</v>
      </c>
      <c r="K748" s="1" t="s">
        <v>53</v>
      </c>
      <c r="L748" s="1" t="s">
        <v>841</v>
      </c>
      <c r="M748" s="1">
        <v>1649</v>
      </c>
    </row>
    <row r="749" spans="1:13" ht="15.75" customHeight="1">
      <c r="A749" s="1">
        <v>755</v>
      </c>
      <c r="B749" s="1" t="s">
        <v>29</v>
      </c>
      <c r="C749" s="1" t="s">
        <v>30</v>
      </c>
      <c r="D749" s="1" t="s">
        <v>31</v>
      </c>
      <c r="E749" s="1">
        <v>15.6</v>
      </c>
      <c r="F749" s="1" t="s">
        <v>32</v>
      </c>
      <c r="G749" s="1" t="s">
        <v>70</v>
      </c>
      <c r="H749" s="1" t="s">
        <v>18</v>
      </c>
      <c r="I749" s="1" t="s">
        <v>34</v>
      </c>
      <c r="J749" s="1" t="s">
        <v>71</v>
      </c>
      <c r="K749" s="1" t="s">
        <v>53</v>
      </c>
      <c r="L749" s="1" t="s">
        <v>37</v>
      </c>
      <c r="M749" s="1">
        <v>539</v>
      </c>
    </row>
    <row r="750" spans="1:13" ht="15.75" customHeight="1">
      <c r="A750" s="1">
        <v>757</v>
      </c>
      <c r="B750" s="1" t="s">
        <v>74</v>
      </c>
      <c r="C750" s="1" t="s">
        <v>575</v>
      </c>
      <c r="D750" s="1" t="s">
        <v>31</v>
      </c>
      <c r="E750" s="1">
        <v>14</v>
      </c>
      <c r="F750" s="1" t="s">
        <v>48</v>
      </c>
      <c r="G750" s="1" t="s">
        <v>33</v>
      </c>
      <c r="H750" s="1" t="s">
        <v>18</v>
      </c>
      <c r="I750" s="1" t="s">
        <v>34</v>
      </c>
      <c r="J750" s="1" t="s">
        <v>35</v>
      </c>
      <c r="K750" s="1" t="s">
        <v>53</v>
      </c>
      <c r="L750" s="1" t="s">
        <v>69</v>
      </c>
      <c r="M750" s="1">
        <v>1126.71</v>
      </c>
    </row>
    <row r="751" spans="1:13" ht="15.75" customHeight="1">
      <c r="A751" s="1">
        <v>758</v>
      </c>
      <c r="B751" s="1" t="s">
        <v>29</v>
      </c>
      <c r="C751" s="1" t="s">
        <v>842</v>
      </c>
      <c r="D751" s="1" t="s">
        <v>378</v>
      </c>
      <c r="E751" s="1">
        <v>17.3</v>
      </c>
      <c r="F751" s="1" t="s">
        <v>66</v>
      </c>
      <c r="G751" s="1" t="s">
        <v>843</v>
      </c>
      <c r="H751" s="1" t="s">
        <v>40</v>
      </c>
      <c r="I751" s="1" t="s">
        <v>34</v>
      </c>
      <c r="J751" s="1" t="s">
        <v>844</v>
      </c>
      <c r="K751" s="1" t="s">
        <v>662</v>
      </c>
      <c r="L751" s="1" t="s">
        <v>209</v>
      </c>
      <c r="M751" s="1">
        <v>4389</v>
      </c>
    </row>
    <row r="752" spans="1:13" ht="15.75" customHeight="1">
      <c r="A752" s="1">
        <v>759</v>
      </c>
      <c r="B752" s="1" t="s">
        <v>86</v>
      </c>
      <c r="C752" s="1" t="s">
        <v>845</v>
      </c>
      <c r="D752" s="1" t="s">
        <v>95</v>
      </c>
      <c r="E752" s="1">
        <v>11.6</v>
      </c>
      <c r="F752" s="1" t="s">
        <v>382</v>
      </c>
      <c r="G752" s="1" t="s">
        <v>204</v>
      </c>
      <c r="H752" s="1" t="s">
        <v>50</v>
      </c>
      <c r="I752" s="1" t="s">
        <v>19</v>
      </c>
      <c r="J752" s="1" t="s">
        <v>99</v>
      </c>
      <c r="K752" s="1" t="s">
        <v>53</v>
      </c>
      <c r="L752" s="1" t="s">
        <v>199</v>
      </c>
      <c r="M752" s="1">
        <v>475</v>
      </c>
    </row>
    <row r="753" spans="1:13" ht="15.75" customHeight="1">
      <c r="A753" s="1">
        <v>760</v>
      </c>
      <c r="B753" s="1" t="s">
        <v>29</v>
      </c>
      <c r="C753" s="1" t="s">
        <v>724</v>
      </c>
      <c r="D753" s="1" t="s">
        <v>31</v>
      </c>
      <c r="E753" s="1">
        <v>15.6</v>
      </c>
      <c r="F753" s="1" t="s">
        <v>32</v>
      </c>
      <c r="G753" s="1" t="s">
        <v>765</v>
      </c>
      <c r="H753" s="1" t="s">
        <v>18</v>
      </c>
      <c r="I753" s="1" t="s">
        <v>34</v>
      </c>
      <c r="J753" s="1" t="s">
        <v>71</v>
      </c>
      <c r="K753" s="1" t="s">
        <v>53</v>
      </c>
      <c r="L753" s="1" t="s">
        <v>507</v>
      </c>
      <c r="M753" s="1">
        <v>1900</v>
      </c>
    </row>
    <row r="754" spans="1:13" ht="15.75" customHeight="1">
      <c r="A754" s="1">
        <v>761</v>
      </c>
      <c r="B754" s="1" t="s">
        <v>60</v>
      </c>
      <c r="C754" s="1" t="s">
        <v>846</v>
      </c>
      <c r="D754" s="1" t="s">
        <v>31</v>
      </c>
      <c r="E754" s="1">
        <v>15.6</v>
      </c>
      <c r="F754" s="1" t="s">
        <v>48</v>
      </c>
      <c r="G754" s="1" t="s">
        <v>811</v>
      </c>
      <c r="H754" s="1" t="s">
        <v>50</v>
      </c>
      <c r="I754" s="1" t="s">
        <v>89</v>
      </c>
      <c r="J754" s="1" t="s">
        <v>396</v>
      </c>
      <c r="K754" s="1" t="s">
        <v>36</v>
      </c>
      <c r="L754" s="1" t="s">
        <v>238</v>
      </c>
      <c r="M754" s="1">
        <v>579</v>
      </c>
    </row>
    <row r="755" spans="1:13" ht="15.75" customHeight="1">
      <c r="A755" s="1">
        <v>762</v>
      </c>
      <c r="B755" s="1" t="s">
        <v>86</v>
      </c>
      <c r="C755" s="1" t="s">
        <v>847</v>
      </c>
      <c r="D755" s="1" t="s">
        <v>15</v>
      </c>
      <c r="E755" s="1">
        <v>14</v>
      </c>
      <c r="F755" s="1" t="s">
        <v>32</v>
      </c>
      <c r="G755" s="1" t="s">
        <v>295</v>
      </c>
      <c r="H755" s="1" t="s">
        <v>50</v>
      </c>
      <c r="I755" s="1" t="s">
        <v>629</v>
      </c>
      <c r="J755" s="1" t="s">
        <v>71</v>
      </c>
      <c r="K755" s="1" t="s">
        <v>53</v>
      </c>
      <c r="L755" s="1" t="s">
        <v>196</v>
      </c>
      <c r="M755" s="1">
        <v>1096</v>
      </c>
    </row>
    <row r="756" spans="1:13" ht="15.75" customHeight="1">
      <c r="A756" s="1">
        <v>763</v>
      </c>
      <c r="B756" s="1" t="s">
        <v>60</v>
      </c>
      <c r="C756" s="1" t="s">
        <v>848</v>
      </c>
      <c r="D756" s="1" t="s">
        <v>31</v>
      </c>
      <c r="E756" s="1">
        <v>15.6</v>
      </c>
      <c r="F756" s="1" t="s">
        <v>48</v>
      </c>
      <c r="G756" s="1" t="s">
        <v>83</v>
      </c>
      <c r="H756" s="1" t="s">
        <v>50</v>
      </c>
      <c r="I756" s="1" t="s">
        <v>34</v>
      </c>
      <c r="J756" s="1" t="s">
        <v>35</v>
      </c>
      <c r="K756" s="1" t="s">
        <v>53</v>
      </c>
      <c r="L756" s="1" t="s">
        <v>401</v>
      </c>
      <c r="M756" s="1">
        <v>849.9</v>
      </c>
    </row>
    <row r="757" spans="1:13" ht="15.75" customHeight="1">
      <c r="A757" s="1">
        <v>764</v>
      </c>
      <c r="B757" s="1" t="s">
        <v>86</v>
      </c>
      <c r="C757" s="1" t="s">
        <v>849</v>
      </c>
      <c r="D757" s="1" t="s">
        <v>111</v>
      </c>
      <c r="E757" s="1">
        <v>13.3</v>
      </c>
      <c r="F757" s="1" t="s">
        <v>688</v>
      </c>
      <c r="G757" s="1" t="s">
        <v>850</v>
      </c>
      <c r="H757" s="1" t="s">
        <v>18</v>
      </c>
      <c r="I757" s="1" t="s">
        <v>34</v>
      </c>
      <c r="J757" s="1" t="s">
        <v>851</v>
      </c>
      <c r="K757" s="1" t="s">
        <v>53</v>
      </c>
      <c r="L757" s="1" t="s">
        <v>64</v>
      </c>
      <c r="M757" s="1">
        <v>1199</v>
      </c>
    </row>
    <row r="758" spans="1:13" ht="15.75" customHeight="1">
      <c r="A758" s="1">
        <v>765</v>
      </c>
      <c r="B758" s="1" t="s">
        <v>29</v>
      </c>
      <c r="C758" s="1" t="s">
        <v>852</v>
      </c>
      <c r="D758" s="1" t="s">
        <v>31</v>
      </c>
      <c r="E758" s="1">
        <v>15.6</v>
      </c>
      <c r="F758" s="1" t="s">
        <v>66</v>
      </c>
      <c r="G758" s="1" t="s">
        <v>103</v>
      </c>
      <c r="H758" s="1" t="s">
        <v>18</v>
      </c>
      <c r="I758" s="1" t="s">
        <v>104</v>
      </c>
      <c r="J758" s="1" t="s">
        <v>105</v>
      </c>
      <c r="K758" s="1" t="s">
        <v>53</v>
      </c>
      <c r="L758" s="1" t="s">
        <v>77</v>
      </c>
      <c r="M758" s="1">
        <v>1099</v>
      </c>
    </row>
    <row r="759" spans="1:13" ht="15.75" customHeight="1">
      <c r="A759" s="1">
        <v>766</v>
      </c>
      <c r="B759" s="1" t="s">
        <v>29</v>
      </c>
      <c r="C759" s="1" t="s">
        <v>833</v>
      </c>
      <c r="D759" s="1" t="s">
        <v>378</v>
      </c>
      <c r="E759" s="1">
        <v>15.6</v>
      </c>
      <c r="F759" s="1" t="s">
        <v>32</v>
      </c>
      <c r="G759" s="1" t="s">
        <v>624</v>
      </c>
      <c r="H759" s="1" t="s">
        <v>18</v>
      </c>
      <c r="I759" s="1" t="s">
        <v>34</v>
      </c>
      <c r="J759" s="1" t="s">
        <v>853</v>
      </c>
      <c r="K759" s="1" t="s">
        <v>662</v>
      </c>
      <c r="L759" s="1" t="s">
        <v>735</v>
      </c>
      <c r="M759" s="1">
        <v>1561</v>
      </c>
    </row>
    <row r="760" spans="1:13" ht="15.75" customHeight="1">
      <c r="A760" s="1">
        <v>767</v>
      </c>
      <c r="B760" s="1" t="s">
        <v>74</v>
      </c>
      <c r="C760" s="1" t="s">
        <v>390</v>
      </c>
      <c r="D760" s="1" t="s">
        <v>102</v>
      </c>
      <c r="E760" s="1">
        <v>15.6</v>
      </c>
      <c r="F760" s="1" t="s">
        <v>372</v>
      </c>
      <c r="G760" s="1" t="s">
        <v>155</v>
      </c>
      <c r="H760" s="1" t="s">
        <v>40</v>
      </c>
      <c r="I760" s="1" t="s">
        <v>156</v>
      </c>
      <c r="J760" s="1" t="s">
        <v>192</v>
      </c>
      <c r="K760" s="1" t="s">
        <v>53</v>
      </c>
      <c r="L760" s="1" t="s">
        <v>391</v>
      </c>
      <c r="M760" s="1">
        <v>2868.99</v>
      </c>
    </row>
    <row r="761" spans="1:13" ht="15.75" customHeight="1">
      <c r="A761" s="1">
        <v>768</v>
      </c>
      <c r="B761" s="1" t="s">
        <v>46</v>
      </c>
      <c r="C761" s="1" t="s">
        <v>47</v>
      </c>
      <c r="D761" s="1" t="s">
        <v>31</v>
      </c>
      <c r="E761" s="1">
        <v>15.6</v>
      </c>
      <c r="F761" s="1" t="s">
        <v>48</v>
      </c>
      <c r="G761" s="1" t="s">
        <v>33</v>
      </c>
      <c r="H761" s="1" t="s">
        <v>50</v>
      </c>
      <c r="I761" s="1" t="s">
        <v>34</v>
      </c>
      <c r="J761" s="1" t="s">
        <v>35</v>
      </c>
      <c r="K761" s="1" t="s">
        <v>53</v>
      </c>
      <c r="L761" s="1" t="s">
        <v>54</v>
      </c>
      <c r="M761" s="1">
        <v>599</v>
      </c>
    </row>
    <row r="762" spans="1:13" ht="15.75" customHeight="1">
      <c r="A762" s="1">
        <v>769</v>
      </c>
      <c r="B762" s="1" t="s">
        <v>86</v>
      </c>
      <c r="C762" s="1" t="s">
        <v>101</v>
      </c>
      <c r="D762" s="1" t="s">
        <v>102</v>
      </c>
      <c r="E762" s="1">
        <v>15.6</v>
      </c>
      <c r="F762" s="1" t="s">
        <v>66</v>
      </c>
      <c r="G762" s="1" t="s">
        <v>155</v>
      </c>
      <c r="H762" s="1" t="s">
        <v>18</v>
      </c>
      <c r="I762" s="1" t="s">
        <v>104</v>
      </c>
      <c r="J762" s="1" t="s">
        <v>105</v>
      </c>
      <c r="K762" s="1" t="s">
        <v>53</v>
      </c>
      <c r="L762" s="1" t="s">
        <v>106</v>
      </c>
      <c r="M762" s="1">
        <v>1048</v>
      </c>
    </row>
    <row r="763" spans="1:13" ht="15.75" customHeight="1">
      <c r="A763" s="1">
        <v>770</v>
      </c>
      <c r="B763" s="1" t="s">
        <v>74</v>
      </c>
      <c r="C763" s="1" t="s">
        <v>854</v>
      </c>
      <c r="D763" s="1" t="s">
        <v>15</v>
      </c>
      <c r="E763" s="1">
        <v>12.5</v>
      </c>
      <c r="F763" s="1" t="s">
        <v>32</v>
      </c>
      <c r="G763" s="1" t="s">
        <v>476</v>
      </c>
      <c r="H763" s="1" t="s">
        <v>40</v>
      </c>
      <c r="I763" s="1" t="s">
        <v>34</v>
      </c>
      <c r="J763" s="1" t="s">
        <v>35</v>
      </c>
      <c r="K763" s="1" t="s">
        <v>53</v>
      </c>
      <c r="L763" s="1" t="s">
        <v>855</v>
      </c>
      <c r="M763" s="1">
        <v>1859</v>
      </c>
    </row>
    <row r="764" spans="1:13" ht="15.75" customHeight="1">
      <c r="A764" s="1">
        <v>771</v>
      </c>
      <c r="B764" s="1" t="s">
        <v>588</v>
      </c>
      <c r="C764" s="1" t="s">
        <v>589</v>
      </c>
      <c r="D764" s="1" t="s">
        <v>15</v>
      </c>
      <c r="E764" s="1">
        <v>12.3</v>
      </c>
      <c r="F764" s="1" t="s">
        <v>590</v>
      </c>
      <c r="G764" s="1" t="s">
        <v>622</v>
      </c>
      <c r="H764" s="1" t="s">
        <v>18</v>
      </c>
      <c r="I764" s="1" t="s">
        <v>34</v>
      </c>
      <c r="J764" s="1" t="s">
        <v>81</v>
      </c>
      <c r="K764" s="1" t="s">
        <v>456</v>
      </c>
      <c r="L764" s="1" t="s">
        <v>319</v>
      </c>
      <c r="M764" s="1">
        <v>1559</v>
      </c>
    </row>
    <row r="765" spans="1:13" ht="15.75" customHeight="1">
      <c r="A765" s="1">
        <v>772</v>
      </c>
      <c r="B765" s="1" t="s">
        <v>60</v>
      </c>
      <c r="C765" s="1" t="s">
        <v>856</v>
      </c>
      <c r="D765" s="1" t="s">
        <v>15</v>
      </c>
      <c r="E765" s="1">
        <v>13.3</v>
      </c>
      <c r="F765" s="1" t="s">
        <v>672</v>
      </c>
      <c r="G765" s="1" t="s">
        <v>33</v>
      </c>
      <c r="H765" s="1" t="s">
        <v>18</v>
      </c>
      <c r="I765" s="1" t="s">
        <v>34</v>
      </c>
      <c r="J765" s="1" t="s">
        <v>35</v>
      </c>
      <c r="K765" s="1" t="s">
        <v>53</v>
      </c>
      <c r="L765" s="1" t="s">
        <v>141</v>
      </c>
      <c r="M765" s="1">
        <v>1129</v>
      </c>
    </row>
    <row r="766" spans="1:13" ht="15.75" customHeight="1">
      <c r="A766" s="1">
        <v>773</v>
      </c>
      <c r="B766" s="1" t="s">
        <v>74</v>
      </c>
      <c r="C766" s="1" t="s">
        <v>567</v>
      </c>
      <c r="D766" s="1" t="s">
        <v>31</v>
      </c>
      <c r="E766" s="1">
        <v>13.3</v>
      </c>
      <c r="F766" s="1" t="s">
        <v>48</v>
      </c>
      <c r="G766" s="1" t="s">
        <v>70</v>
      </c>
      <c r="H766" s="1" t="s">
        <v>50</v>
      </c>
      <c r="I766" s="1" t="s">
        <v>51</v>
      </c>
      <c r="J766" s="1" t="s">
        <v>71</v>
      </c>
      <c r="K766" s="1" t="s">
        <v>53</v>
      </c>
      <c r="L766" s="1" t="s">
        <v>136</v>
      </c>
      <c r="M766" s="1">
        <v>849</v>
      </c>
    </row>
    <row r="767" spans="1:13" ht="15.75" customHeight="1">
      <c r="A767" s="1">
        <v>774</v>
      </c>
      <c r="B767" s="1" t="s">
        <v>46</v>
      </c>
      <c r="C767" s="1" t="s">
        <v>857</v>
      </c>
      <c r="D767" s="1" t="s">
        <v>31</v>
      </c>
      <c r="E767" s="1">
        <v>13.3</v>
      </c>
      <c r="F767" s="1" t="s">
        <v>48</v>
      </c>
      <c r="G767" s="1" t="s">
        <v>295</v>
      </c>
      <c r="H767" s="1" t="s">
        <v>50</v>
      </c>
      <c r="I767" s="1" t="s">
        <v>19</v>
      </c>
      <c r="J767" s="1" t="s">
        <v>71</v>
      </c>
      <c r="K767" s="1" t="s">
        <v>53</v>
      </c>
      <c r="L767" s="1" t="s">
        <v>69</v>
      </c>
      <c r="M767" s="1">
        <v>655</v>
      </c>
    </row>
    <row r="768" spans="1:13" ht="15.75" customHeight="1">
      <c r="A768" s="1">
        <v>775</v>
      </c>
      <c r="B768" s="1" t="s">
        <v>60</v>
      </c>
      <c r="C768" s="1" t="s">
        <v>858</v>
      </c>
      <c r="D768" s="1" t="s">
        <v>31</v>
      </c>
      <c r="E768" s="1">
        <v>17.3</v>
      </c>
      <c r="F768" s="1" t="s">
        <v>48</v>
      </c>
      <c r="G768" s="1" t="s">
        <v>173</v>
      </c>
      <c r="H768" s="1" t="s">
        <v>50</v>
      </c>
      <c r="I768" s="1" t="s">
        <v>89</v>
      </c>
      <c r="J768" s="1" t="s">
        <v>174</v>
      </c>
      <c r="K768" s="1" t="s">
        <v>53</v>
      </c>
      <c r="L768" s="1" t="s">
        <v>149</v>
      </c>
      <c r="M768" s="1">
        <v>470.34</v>
      </c>
    </row>
    <row r="769" spans="1:13" ht="15.75" customHeight="1">
      <c r="A769" s="1">
        <v>776</v>
      </c>
      <c r="B769" s="1" t="s">
        <v>74</v>
      </c>
      <c r="C769" s="1" t="s">
        <v>733</v>
      </c>
      <c r="D769" s="1" t="s">
        <v>102</v>
      </c>
      <c r="E769" s="1">
        <v>15.6</v>
      </c>
      <c r="F769" s="1" t="s">
        <v>859</v>
      </c>
      <c r="G769" s="1" t="s">
        <v>624</v>
      </c>
      <c r="H769" s="1" t="s">
        <v>40</v>
      </c>
      <c r="I769" s="1" t="s">
        <v>104</v>
      </c>
      <c r="J769" s="1" t="s">
        <v>665</v>
      </c>
      <c r="K769" s="1" t="s">
        <v>53</v>
      </c>
      <c r="L769" s="1" t="s">
        <v>860</v>
      </c>
      <c r="M769" s="1">
        <v>1099</v>
      </c>
    </row>
    <row r="770" spans="1:13" ht="15.75" customHeight="1">
      <c r="A770" s="1">
        <v>777</v>
      </c>
      <c r="B770" s="1" t="s">
        <v>580</v>
      </c>
      <c r="C770" s="1" t="s">
        <v>840</v>
      </c>
      <c r="D770" s="1" t="s">
        <v>15</v>
      </c>
      <c r="E770" s="1">
        <v>13.3</v>
      </c>
      <c r="F770" s="1" t="s">
        <v>112</v>
      </c>
      <c r="G770" s="1" t="s">
        <v>83</v>
      </c>
      <c r="H770" s="1" t="s">
        <v>18</v>
      </c>
      <c r="I770" s="1" t="s">
        <v>34</v>
      </c>
      <c r="J770" s="1" t="s">
        <v>35</v>
      </c>
      <c r="K770" s="1" t="s">
        <v>53</v>
      </c>
      <c r="L770" s="1" t="s">
        <v>861</v>
      </c>
      <c r="M770" s="1">
        <v>1599</v>
      </c>
    </row>
    <row r="771" spans="1:13" ht="15.75" customHeight="1">
      <c r="A771" s="1">
        <v>778</v>
      </c>
      <c r="B771" s="1" t="s">
        <v>46</v>
      </c>
      <c r="C771" s="1" t="s">
        <v>327</v>
      </c>
      <c r="D771" s="1" t="s">
        <v>31</v>
      </c>
      <c r="E771" s="1">
        <v>15.6</v>
      </c>
      <c r="F771" s="1" t="s">
        <v>48</v>
      </c>
      <c r="G771" s="1" t="s">
        <v>173</v>
      </c>
      <c r="H771" s="1" t="s">
        <v>50</v>
      </c>
      <c r="I771" s="1" t="s">
        <v>89</v>
      </c>
      <c r="J771" s="1" t="s">
        <v>329</v>
      </c>
      <c r="K771" s="1" t="s">
        <v>147</v>
      </c>
      <c r="L771" s="1" t="s">
        <v>54</v>
      </c>
      <c r="M771" s="1">
        <v>298</v>
      </c>
    </row>
    <row r="772" spans="1:13" ht="15.75" customHeight="1">
      <c r="A772" s="1">
        <v>779</v>
      </c>
      <c r="B772" s="1" t="s">
        <v>74</v>
      </c>
      <c r="C772" s="1" t="s">
        <v>279</v>
      </c>
      <c r="D772" s="1" t="s">
        <v>31</v>
      </c>
      <c r="E772" s="1">
        <v>15.6</v>
      </c>
      <c r="F772" s="1" t="s">
        <v>32</v>
      </c>
      <c r="G772" s="1" t="s">
        <v>83</v>
      </c>
      <c r="H772" s="1" t="s">
        <v>40</v>
      </c>
      <c r="I772" s="1" t="s">
        <v>34</v>
      </c>
      <c r="J772" s="1" t="s">
        <v>280</v>
      </c>
      <c r="K772" s="1" t="s">
        <v>53</v>
      </c>
      <c r="L772" s="1" t="s">
        <v>116</v>
      </c>
      <c r="M772" s="1">
        <v>1181.27</v>
      </c>
    </row>
    <row r="773" spans="1:13" ht="15.75" customHeight="1">
      <c r="A773" s="1">
        <v>780</v>
      </c>
      <c r="B773" s="1" t="s">
        <v>580</v>
      </c>
      <c r="C773" s="1" t="s">
        <v>840</v>
      </c>
      <c r="D773" s="1" t="s">
        <v>111</v>
      </c>
      <c r="E773" s="1">
        <v>15</v>
      </c>
      <c r="F773" s="1" t="s">
        <v>112</v>
      </c>
      <c r="G773" s="1" t="s">
        <v>83</v>
      </c>
      <c r="H773" s="1" t="s">
        <v>40</v>
      </c>
      <c r="I773" s="1" t="s">
        <v>34</v>
      </c>
      <c r="J773" s="1" t="s">
        <v>862</v>
      </c>
      <c r="K773" s="1" t="s">
        <v>53</v>
      </c>
      <c r="L773" s="1" t="s">
        <v>825</v>
      </c>
      <c r="M773" s="1">
        <v>1799</v>
      </c>
    </row>
    <row r="774" spans="1:13" ht="15.75" customHeight="1">
      <c r="A774" s="1">
        <v>781</v>
      </c>
      <c r="B774" s="1" t="s">
        <v>293</v>
      </c>
      <c r="C774" s="1" t="s">
        <v>863</v>
      </c>
      <c r="D774" s="1" t="s">
        <v>31</v>
      </c>
      <c r="E774" s="1">
        <v>14</v>
      </c>
      <c r="F774" s="1" t="s">
        <v>267</v>
      </c>
      <c r="G774" s="1" t="s">
        <v>295</v>
      </c>
      <c r="H774" s="1" t="s">
        <v>50</v>
      </c>
      <c r="I774" s="1" t="s">
        <v>19</v>
      </c>
      <c r="J774" s="1" t="s">
        <v>71</v>
      </c>
      <c r="K774" s="1" t="s">
        <v>53</v>
      </c>
      <c r="L774" s="1" t="s">
        <v>291</v>
      </c>
      <c r="M774" s="1">
        <v>1020</v>
      </c>
    </row>
    <row r="775" spans="1:13" ht="15.75" customHeight="1">
      <c r="A775" s="1">
        <v>782</v>
      </c>
      <c r="B775" s="1" t="s">
        <v>74</v>
      </c>
      <c r="C775" s="1" t="s">
        <v>308</v>
      </c>
      <c r="D775" s="1" t="s">
        <v>102</v>
      </c>
      <c r="E775" s="1">
        <v>15.6</v>
      </c>
      <c r="F775" s="1" t="s">
        <v>32</v>
      </c>
      <c r="G775" s="1" t="s">
        <v>155</v>
      </c>
      <c r="H775" s="1" t="s">
        <v>18</v>
      </c>
      <c r="I775" s="1" t="s">
        <v>89</v>
      </c>
      <c r="J775" s="1" t="s">
        <v>105</v>
      </c>
      <c r="K775" s="1" t="s">
        <v>53</v>
      </c>
      <c r="L775" s="1" t="s">
        <v>249</v>
      </c>
      <c r="M775" s="1">
        <v>1099</v>
      </c>
    </row>
    <row r="776" spans="1:13" ht="15.75" customHeight="1">
      <c r="A776" s="1">
        <v>783</v>
      </c>
      <c r="B776" s="1" t="s">
        <v>29</v>
      </c>
      <c r="C776" s="1" t="s">
        <v>864</v>
      </c>
      <c r="D776" s="1" t="s">
        <v>15</v>
      </c>
      <c r="E776" s="1">
        <v>12.5</v>
      </c>
      <c r="F776" s="1" t="s">
        <v>48</v>
      </c>
      <c r="G776" s="1" t="s">
        <v>295</v>
      </c>
      <c r="H776" s="1" t="s">
        <v>50</v>
      </c>
      <c r="I776" s="1" t="s">
        <v>34</v>
      </c>
      <c r="J776" s="1" t="s">
        <v>71</v>
      </c>
      <c r="K776" s="1" t="s">
        <v>53</v>
      </c>
      <c r="L776" s="1" t="s">
        <v>269</v>
      </c>
      <c r="M776" s="1">
        <v>1244</v>
      </c>
    </row>
    <row r="777" spans="1:13" ht="15.75" customHeight="1">
      <c r="A777" s="1">
        <v>784</v>
      </c>
      <c r="B777" s="1" t="s">
        <v>60</v>
      </c>
      <c r="C777" s="1" t="s">
        <v>865</v>
      </c>
      <c r="D777" s="1" t="s">
        <v>111</v>
      </c>
      <c r="E777" s="1">
        <v>15.6</v>
      </c>
      <c r="F777" s="1" t="s">
        <v>112</v>
      </c>
      <c r="G777" s="1" t="s">
        <v>83</v>
      </c>
      <c r="H777" s="1" t="s">
        <v>162</v>
      </c>
      <c r="I777" s="1" t="s">
        <v>221</v>
      </c>
      <c r="J777" s="1" t="s">
        <v>90</v>
      </c>
      <c r="K777" s="1" t="s">
        <v>53</v>
      </c>
      <c r="L777" s="1" t="s">
        <v>116</v>
      </c>
      <c r="M777" s="1">
        <v>839</v>
      </c>
    </row>
    <row r="778" spans="1:13" ht="15.75" customHeight="1">
      <c r="A778" s="1">
        <v>785</v>
      </c>
      <c r="B778" s="1" t="s">
        <v>86</v>
      </c>
      <c r="C778" s="1" t="s">
        <v>866</v>
      </c>
      <c r="D778" s="1" t="s">
        <v>31</v>
      </c>
      <c r="E778" s="1">
        <v>15.6</v>
      </c>
      <c r="F778" s="1" t="s">
        <v>379</v>
      </c>
      <c r="G778" s="1" t="s">
        <v>546</v>
      </c>
      <c r="H778" s="1" t="s">
        <v>40</v>
      </c>
      <c r="I778" s="1" t="s">
        <v>41</v>
      </c>
      <c r="J778" s="1" t="s">
        <v>844</v>
      </c>
      <c r="K778" s="1" t="s">
        <v>662</v>
      </c>
      <c r="L778" s="1" t="s">
        <v>106</v>
      </c>
      <c r="M778" s="1">
        <v>2370</v>
      </c>
    </row>
    <row r="779" spans="1:13" ht="15.75" customHeight="1">
      <c r="A779" s="1">
        <v>786</v>
      </c>
      <c r="B779" s="1" t="s">
        <v>46</v>
      </c>
      <c r="C779" s="1" t="s">
        <v>65</v>
      </c>
      <c r="D779" s="1" t="s">
        <v>31</v>
      </c>
      <c r="E779" s="1">
        <v>14</v>
      </c>
      <c r="F779" s="1" t="s">
        <v>66</v>
      </c>
      <c r="G779" s="1" t="s">
        <v>88</v>
      </c>
      <c r="H779" s="1" t="s">
        <v>50</v>
      </c>
      <c r="I779" s="1" t="s">
        <v>19</v>
      </c>
      <c r="J779" s="1" t="s">
        <v>35</v>
      </c>
      <c r="K779" s="1" t="s">
        <v>53</v>
      </c>
      <c r="L779" s="1" t="s">
        <v>202</v>
      </c>
      <c r="M779" s="1">
        <v>636</v>
      </c>
    </row>
    <row r="780" spans="1:13" ht="15.75" customHeight="1">
      <c r="A780" s="1">
        <v>787</v>
      </c>
      <c r="B780" s="1" t="s">
        <v>365</v>
      </c>
      <c r="C780" s="1" t="s">
        <v>366</v>
      </c>
      <c r="D780" s="1" t="s">
        <v>102</v>
      </c>
      <c r="E780" s="1">
        <v>14</v>
      </c>
      <c r="F780" s="1" t="s">
        <v>32</v>
      </c>
      <c r="G780" s="1" t="s">
        <v>155</v>
      </c>
      <c r="H780" s="1" t="s">
        <v>40</v>
      </c>
      <c r="I780" s="1" t="s">
        <v>41</v>
      </c>
      <c r="J780" s="1" t="s">
        <v>157</v>
      </c>
      <c r="K780" s="1" t="s">
        <v>53</v>
      </c>
      <c r="L780" s="1" t="s">
        <v>350</v>
      </c>
      <c r="M780" s="1">
        <v>2899</v>
      </c>
    </row>
    <row r="781" spans="1:13" ht="15.75" customHeight="1">
      <c r="A781" s="1">
        <v>788</v>
      </c>
      <c r="B781" s="1" t="s">
        <v>60</v>
      </c>
      <c r="C781" s="1" t="s">
        <v>867</v>
      </c>
      <c r="D781" s="1" t="s">
        <v>31</v>
      </c>
      <c r="E781" s="1">
        <v>15.6</v>
      </c>
      <c r="F781" s="1" t="s">
        <v>768</v>
      </c>
      <c r="G781" s="1" t="s">
        <v>868</v>
      </c>
      <c r="H781" s="1" t="s">
        <v>18</v>
      </c>
      <c r="I781" s="1" t="s">
        <v>19</v>
      </c>
      <c r="J781" s="1" t="s">
        <v>329</v>
      </c>
      <c r="K781" s="1" t="s">
        <v>53</v>
      </c>
      <c r="L781" s="1" t="s">
        <v>153</v>
      </c>
      <c r="M781" s="1">
        <v>581.9</v>
      </c>
    </row>
    <row r="782" spans="1:13" ht="15.75" customHeight="1">
      <c r="A782" s="1">
        <v>789</v>
      </c>
      <c r="B782" s="1" t="s">
        <v>74</v>
      </c>
      <c r="C782" s="1" t="s">
        <v>390</v>
      </c>
      <c r="D782" s="1" t="s">
        <v>102</v>
      </c>
      <c r="E782" s="1">
        <v>17.3</v>
      </c>
      <c r="F782" s="1" t="s">
        <v>66</v>
      </c>
      <c r="G782" s="1" t="s">
        <v>155</v>
      </c>
      <c r="H782" s="1" t="s">
        <v>338</v>
      </c>
      <c r="I782" s="1" t="s">
        <v>821</v>
      </c>
      <c r="J782" s="1" t="s">
        <v>869</v>
      </c>
      <c r="K782" s="1" t="s">
        <v>53</v>
      </c>
      <c r="L782" s="1" t="s">
        <v>391</v>
      </c>
      <c r="M782" s="1">
        <v>3588.8</v>
      </c>
    </row>
    <row r="783" spans="1:13" ht="15.75" customHeight="1">
      <c r="A783" s="1">
        <v>790</v>
      </c>
      <c r="B783" s="1" t="s">
        <v>60</v>
      </c>
      <c r="C783" s="1" t="s">
        <v>870</v>
      </c>
      <c r="D783" s="1" t="s">
        <v>102</v>
      </c>
      <c r="E783" s="1">
        <v>17.3</v>
      </c>
      <c r="F783" s="1" t="s">
        <v>66</v>
      </c>
      <c r="G783" s="1" t="s">
        <v>624</v>
      </c>
      <c r="H783" s="1" t="s">
        <v>40</v>
      </c>
      <c r="I783" s="1" t="s">
        <v>156</v>
      </c>
      <c r="J783" s="1" t="s">
        <v>192</v>
      </c>
      <c r="K783" s="1" t="s">
        <v>53</v>
      </c>
      <c r="L783" s="1" t="s">
        <v>421</v>
      </c>
      <c r="M783" s="1">
        <v>2350</v>
      </c>
    </row>
    <row r="784" spans="1:13" ht="15.75" customHeight="1">
      <c r="A784" s="1">
        <v>791</v>
      </c>
      <c r="B784" s="1" t="s">
        <v>293</v>
      </c>
      <c r="C784" s="1" t="s">
        <v>871</v>
      </c>
      <c r="D784" s="1" t="s">
        <v>15</v>
      </c>
      <c r="E784" s="1">
        <v>14</v>
      </c>
      <c r="F784" s="1" t="s">
        <v>66</v>
      </c>
      <c r="G784" s="1" t="s">
        <v>442</v>
      </c>
      <c r="H784" s="1" t="s">
        <v>40</v>
      </c>
      <c r="I784" s="1" t="s">
        <v>41</v>
      </c>
      <c r="J784" s="1" t="s">
        <v>444</v>
      </c>
      <c r="K784" s="1" t="s">
        <v>53</v>
      </c>
      <c r="L784" s="1" t="s">
        <v>610</v>
      </c>
      <c r="M784" s="1">
        <v>1764</v>
      </c>
    </row>
    <row r="785" spans="1:13" ht="15.75" customHeight="1">
      <c r="A785" s="1">
        <v>792</v>
      </c>
      <c r="B785" s="1" t="s">
        <v>86</v>
      </c>
      <c r="C785" s="1" t="s">
        <v>872</v>
      </c>
      <c r="D785" s="1" t="s">
        <v>31</v>
      </c>
      <c r="E785" s="1">
        <v>15.6</v>
      </c>
      <c r="F785" s="1" t="s">
        <v>48</v>
      </c>
      <c r="G785" s="1" t="s">
        <v>873</v>
      </c>
      <c r="H785" s="1" t="s">
        <v>18</v>
      </c>
      <c r="I785" s="1" t="s">
        <v>89</v>
      </c>
      <c r="J785" s="1" t="s">
        <v>492</v>
      </c>
      <c r="K785" s="1" t="s">
        <v>36</v>
      </c>
      <c r="L785" s="1" t="s">
        <v>77</v>
      </c>
      <c r="M785" s="1">
        <v>329</v>
      </c>
    </row>
    <row r="786" spans="1:13" ht="15.75" customHeight="1">
      <c r="A786" s="1">
        <v>793</v>
      </c>
      <c r="B786" s="1" t="s">
        <v>86</v>
      </c>
      <c r="C786" s="1" t="s">
        <v>592</v>
      </c>
      <c r="D786" s="1" t="s">
        <v>15</v>
      </c>
      <c r="E786" s="1">
        <v>14</v>
      </c>
      <c r="F786" s="1" t="s">
        <v>32</v>
      </c>
      <c r="G786" s="1" t="s">
        <v>83</v>
      </c>
      <c r="H786" s="1" t="s">
        <v>40</v>
      </c>
      <c r="I786" s="1" t="s">
        <v>41</v>
      </c>
      <c r="J786" s="1" t="s">
        <v>35</v>
      </c>
      <c r="K786" s="1" t="s">
        <v>53</v>
      </c>
      <c r="L786" s="1" t="s">
        <v>196</v>
      </c>
      <c r="M786" s="1">
        <v>2299</v>
      </c>
    </row>
    <row r="787" spans="1:13" ht="15.75" customHeight="1">
      <c r="A787" s="1">
        <v>794</v>
      </c>
      <c r="B787" s="1" t="s">
        <v>189</v>
      </c>
      <c r="C787" s="1" t="s">
        <v>874</v>
      </c>
      <c r="D787" s="1" t="s">
        <v>102</v>
      </c>
      <c r="E787" s="1">
        <v>14</v>
      </c>
      <c r="F787" s="1" t="s">
        <v>66</v>
      </c>
      <c r="G787" s="1" t="s">
        <v>155</v>
      </c>
      <c r="H787" s="1" t="s">
        <v>40</v>
      </c>
      <c r="I787" s="1" t="s">
        <v>156</v>
      </c>
      <c r="J787" s="1" t="s">
        <v>157</v>
      </c>
      <c r="K787" s="1" t="s">
        <v>53</v>
      </c>
      <c r="L787" s="1" t="s">
        <v>69</v>
      </c>
      <c r="M787" s="1">
        <v>1891</v>
      </c>
    </row>
    <row r="788" spans="1:13" ht="15.75" customHeight="1">
      <c r="A788" s="1">
        <v>795</v>
      </c>
      <c r="B788" s="1" t="s">
        <v>189</v>
      </c>
      <c r="C788" s="1" t="s">
        <v>875</v>
      </c>
      <c r="D788" s="1" t="s">
        <v>102</v>
      </c>
      <c r="E788" s="1">
        <v>15.6</v>
      </c>
      <c r="F788" s="1" t="s">
        <v>32</v>
      </c>
      <c r="G788" s="1" t="s">
        <v>103</v>
      </c>
      <c r="H788" s="1" t="s">
        <v>18</v>
      </c>
      <c r="I788" s="1" t="s">
        <v>104</v>
      </c>
      <c r="J788" s="1" t="s">
        <v>105</v>
      </c>
      <c r="K788" s="1" t="s">
        <v>53</v>
      </c>
      <c r="L788" s="1" t="s">
        <v>77</v>
      </c>
      <c r="M788" s="1">
        <v>1089</v>
      </c>
    </row>
    <row r="789" spans="1:13" ht="15.75" customHeight="1">
      <c r="A789" s="1">
        <v>796</v>
      </c>
      <c r="B789" s="1" t="s">
        <v>86</v>
      </c>
      <c r="C789" s="1" t="s">
        <v>101</v>
      </c>
      <c r="D789" s="1" t="s">
        <v>102</v>
      </c>
      <c r="E789" s="1">
        <v>15.6</v>
      </c>
      <c r="F789" s="1" t="s">
        <v>66</v>
      </c>
      <c r="G789" s="1" t="s">
        <v>155</v>
      </c>
      <c r="H789" s="1" t="s">
        <v>50</v>
      </c>
      <c r="I789" s="1" t="s">
        <v>89</v>
      </c>
      <c r="J789" s="1" t="s">
        <v>105</v>
      </c>
      <c r="K789" s="1" t="s">
        <v>53</v>
      </c>
      <c r="L789" s="1" t="s">
        <v>183</v>
      </c>
      <c r="M789" s="1">
        <v>999</v>
      </c>
    </row>
    <row r="790" spans="1:13" ht="15.75" customHeight="1">
      <c r="A790" s="1">
        <v>797</v>
      </c>
      <c r="B790" s="1" t="s">
        <v>46</v>
      </c>
      <c r="C790" s="1" t="s">
        <v>876</v>
      </c>
      <c r="D790" s="1" t="s">
        <v>102</v>
      </c>
      <c r="E790" s="1">
        <v>17.3</v>
      </c>
      <c r="F790" s="1" t="s">
        <v>66</v>
      </c>
      <c r="G790" s="1" t="s">
        <v>155</v>
      </c>
      <c r="H790" s="1" t="s">
        <v>40</v>
      </c>
      <c r="I790" s="1" t="s">
        <v>156</v>
      </c>
      <c r="J790" s="1" t="s">
        <v>157</v>
      </c>
      <c r="K790" s="1" t="s">
        <v>53</v>
      </c>
      <c r="L790" s="1" t="s">
        <v>829</v>
      </c>
      <c r="M790" s="1">
        <v>2299</v>
      </c>
    </row>
    <row r="791" spans="1:13" ht="15.75" customHeight="1">
      <c r="A791" s="1">
        <v>798</v>
      </c>
      <c r="B791" s="1" t="s">
        <v>74</v>
      </c>
      <c r="C791" s="1" t="s">
        <v>308</v>
      </c>
      <c r="D791" s="1" t="s">
        <v>102</v>
      </c>
      <c r="E791" s="1">
        <v>15.6</v>
      </c>
      <c r="F791" s="1" t="s">
        <v>32</v>
      </c>
      <c r="G791" s="1" t="s">
        <v>103</v>
      </c>
      <c r="H791" s="1" t="s">
        <v>18</v>
      </c>
      <c r="I791" s="1" t="s">
        <v>34</v>
      </c>
      <c r="J791" s="1" t="s">
        <v>105</v>
      </c>
      <c r="K791" s="1" t="s">
        <v>53</v>
      </c>
      <c r="L791" s="1" t="s">
        <v>249</v>
      </c>
      <c r="M791" s="1">
        <v>985</v>
      </c>
    </row>
    <row r="792" spans="1:13" ht="15.75" customHeight="1">
      <c r="A792" s="1">
        <v>799</v>
      </c>
      <c r="B792" s="1" t="s">
        <v>60</v>
      </c>
      <c r="C792" s="1" t="s">
        <v>877</v>
      </c>
      <c r="D792" s="1" t="s">
        <v>102</v>
      </c>
      <c r="E792" s="1">
        <v>15.6</v>
      </c>
      <c r="F792" s="1" t="s">
        <v>32</v>
      </c>
      <c r="G792" s="1" t="s">
        <v>155</v>
      </c>
      <c r="H792" s="1" t="s">
        <v>18</v>
      </c>
      <c r="I792" s="1" t="s">
        <v>104</v>
      </c>
      <c r="J792" s="1" t="s">
        <v>878</v>
      </c>
      <c r="K792" s="1" t="s">
        <v>53</v>
      </c>
      <c r="L792" s="1" t="s">
        <v>434</v>
      </c>
      <c r="M792" s="1">
        <v>1339</v>
      </c>
    </row>
    <row r="793" spans="1:13" ht="15.75" customHeight="1">
      <c r="A793" s="1">
        <v>800</v>
      </c>
      <c r="B793" s="1" t="s">
        <v>361</v>
      </c>
      <c r="C793" s="1" t="s">
        <v>879</v>
      </c>
      <c r="D793" s="1" t="s">
        <v>31</v>
      </c>
      <c r="E793" s="1">
        <v>14</v>
      </c>
      <c r="F793" s="1" t="s">
        <v>768</v>
      </c>
      <c r="G793" s="1" t="s">
        <v>143</v>
      </c>
      <c r="H793" s="1" t="s">
        <v>50</v>
      </c>
      <c r="I793" s="1" t="s">
        <v>98</v>
      </c>
      <c r="J793" s="1" t="s">
        <v>144</v>
      </c>
      <c r="K793" s="1" t="s">
        <v>53</v>
      </c>
      <c r="L793" s="1" t="s">
        <v>93</v>
      </c>
      <c r="M793" s="1">
        <v>202.9</v>
      </c>
    </row>
    <row r="794" spans="1:13" ht="15.75" customHeight="1">
      <c r="A794" s="1">
        <v>801</v>
      </c>
      <c r="B794" s="1" t="s">
        <v>86</v>
      </c>
      <c r="C794" s="1" t="s">
        <v>265</v>
      </c>
      <c r="D794" s="1" t="s">
        <v>111</v>
      </c>
      <c r="E794" s="1">
        <v>13.3</v>
      </c>
      <c r="F794" s="1" t="s">
        <v>92</v>
      </c>
      <c r="G794" s="1" t="s">
        <v>83</v>
      </c>
      <c r="H794" s="1" t="s">
        <v>18</v>
      </c>
      <c r="I794" s="1" t="s">
        <v>41</v>
      </c>
      <c r="J794" s="1" t="s">
        <v>35</v>
      </c>
      <c r="K794" s="1" t="s">
        <v>53</v>
      </c>
      <c r="L794" s="1" t="s">
        <v>22</v>
      </c>
      <c r="M794" s="1">
        <v>1970</v>
      </c>
    </row>
    <row r="795" spans="1:13" ht="15.75" customHeight="1">
      <c r="A795" s="1">
        <v>802</v>
      </c>
      <c r="B795" s="1" t="s">
        <v>86</v>
      </c>
      <c r="C795" s="1" t="s">
        <v>880</v>
      </c>
      <c r="D795" s="1" t="s">
        <v>111</v>
      </c>
      <c r="E795" s="1">
        <v>15.6</v>
      </c>
      <c r="F795" s="1" t="s">
        <v>112</v>
      </c>
      <c r="G795" s="1" t="s">
        <v>33</v>
      </c>
      <c r="H795" s="1" t="s">
        <v>18</v>
      </c>
      <c r="I795" s="1" t="s">
        <v>34</v>
      </c>
      <c r="J795" s="1" t="s">
        <v>616</v>
      </c>
      <c r="K795" s="1" t="s">
        <v>53</v>
      </c>
      <c r="L795" s="1" t="s">
        <v>418</v>
      </c>
      <c r="M795" s="1">
        <v>959</v>
      </c>
    </row>
    <row r="796" spans="1:13" ht="15.75" customHeight="1">
      <c r="A796" s="1">
        <v>803</v>
      </c>
      <c r="B796" s="1" t="s">
        <v>13</v>
      </c>
      <c r="C796" s="1" t="s">
        <v>78</v>
      </c>
      <c r="D796" s="1" t="s">
        <v>15</v>
      </c>
      <c r="E796" s="1">
        <v>12</v>
      </c>
      <c r="F796" s="1" t="s">
        <v>79</v>
      </c>
      <c r="G796" s="1" t="s">
        <v>881</v>
      </c>
      <c r="H796" s="1" t="s">
        <v>18</v>
      </c>
      <c r="I796" s="1" t="s">
        <v>882</v>
      </c>
      <c r="J796" s="1" t="s">
        <v>883</v>
      </c>
      <c r="K796" s="1" t="s">
        <v>58</v>
      </c>
      <c r="L796" s="1" t="s">
        <v>884</v>
      </c>
      <c r="M796" s="1">
        <v>1165</v>
      </c>
    </row>
    <row r="797" spans="1:13" ht="15.75" customHeight="1">
      <c r="A797" s="1">
        <v>804</v>
      </c>
      <c r="B797" s="1" t="s">
        <v>86</v>
      </c>
      <c r="C797" s="1" t="s">
        <v>441</v>
      </c>
      <c r="D797" s="1" t="s">
        <v>111</v>
      </c>
      <c r="E797" s="1">
        <v>14</v>
      </c>
      <c r="F797" s="1" t="s">
        <v>885</v>
      </c>
      <c r="G797" s="1" t="s">
        <v>33</v>
      </c>
      <c r="H797" s="1" t="s">
        <v>18</v>
      </c>
      <c r="I797" s="1" t="s">
        <v>34</v>
      </c>
      <c r="J797" s="1" t="s">
        <v>35</v>
      </c>
      <c r="K797" s="1" t="s">
        <v>53</v>
      </c>
      <c r="L797" s="1" t="s">
        <v>360</v>
      </c>
      <c r="M797" s="1">
        <v>2330</v>
      </c>
    </row>
    <row r="798" spans="1:13" ht="15.75" customHeight="1">
      <c r="A798" s="1">
        <v>805</v>
      </c>
      <c r="B798" s="1" t="s">
        <v>60</v>
      </c>
      <c r="C798" s="1" t="s">
        <v>886</v>
      </c>
      <c r="D798" s="1" t="s">
        <v>31</v>
      </c>
      <c r="E798" s="1">
        <v>14</v>
      </c>
      <c r="F798" s="1" t="s">
        <v>48</v>
      </c>
      <c r="G798" s="1" t="s">
        <v>143</v>
      </c>
      <c r="H798" s="1" t="s">
        <v>50</v>
      </c>
      <c r="I798" s="1" t="s">
        <v>98</v>
      </c>
      <c r="J798" s="1" t="s">
        <v>144</v>
      </c>
      <c r="K798" s="1" t="s">
        <v>53</v>
      </c>
      <c r="L798" s="1" t="s">
        <v>227</v>
      </c>
      <c r="M798" s="1">
        <v>299</v>
      </c>
    </row>
    <row r="799" spans="1:13" ht="15.75" customHeight="1">
      <c r="A799" s="1">
        <v>806</v>
      </c>
      <c r="B799" s="1" t="s">
        <v>74</v>
      </c>
      <c r="C799" s="1" t="s">
        <v>771</v>
      </c>
      <c r="D799" s="1" t="s">
        <v>31</v>
      </c>
      <c r="E799" s="1">
        <v>15.6</v>
      </c>
      <c r="F799" s="1" t="s">
        <v>48</v>
      </c>
      <c r="G799" s="1" t="s">
        <v>33</v>
      </c>
      <c r="H799" s="1" t="s">
        <v>18</v>
      </c>
      <c r="I799" s="1" t="s">
        <v>19</v>
      </c>
      <c r="J799" s="1" t="s">
        <v>35</v>
      </c>
      <c r="K799" s="1" t="s">
        <v>53</v>
      </c>
      <c r="L799" s="1" t="s">
        <v>350</v>
      </c>
      <c r="M799" s="1">
        <v>810</v>
      </c>
    </row>
    <row r="800" spans="1:13" ht="15.75" customHeight="1">
      <c r="A800" s="1">
        <v>807</v>
      </c>
      <c r="B800" s="1" t="s">
        <v>86</v>
      </c>
      <c r="C800" s="1" t="s">
        <v>413</v>
      </c>
      <c r="D800" s="1" t="s">
        <v>111</v>
      </c>
      <c r="E800" s="1">
        <v>13.9</v>
      </c>
      <c r="F800" s="1" t="s">
        <v>92</v>
      </c>
      <c r="G800" s="1" t="s">
        <v>83</v>
      </c>
      <c r="H800" s="1" t="s">
        <v>18</v>
      </c>
      <c r="I800" s="1" t="s">
        <v>34</v>
      </c>
      <c r="J800" s="1" t="s">
        <v>35</v>
      </c>
      <c r="K800" s="1" t="s">
        <v>53</v>
      </c>
      <c r="L800" s="1" t="s">
        <v>253</v>
      </c>
      <c r="M800" s="1">
        <v>1349</v>
      </c>
    </row>
    <row r="801" spans="1:13" ht="15.75" customHeight="1">
      <c r="A801" s="1">
        <v>808</v>
      </c>
      <c r="B801" s="1" t="s">
        <v>74</v>
      </c>
      <c r="C801" s="1" t="s">
        <v>653</v>
      </c>
      <c r="D801" s="1" t="s">
        <v>31</v>
      </c>
      <c r="E801" s="1">
        <v>15.6</v>
      </c>
      <c r="F801" s="1" t="s">
        <v>32</v>
      </c>
      <c r="G801" s="1" t="s">
        <v>70</v>
      </c>
      <c r="H801" s="1" t="s">
        <v>18</v>
      </c>
      <c r="I801" s="1" t="s">
        <v>34</v>
      </c>
      <c r="J801" s="1" t="s">
        <v>887</v>
      </c>
      <c r="K801" s="1" t="s">
        <v>53</v>
      </c>
      <c r="L801" s="1" t="s">
        <v>153</v>
      </c>
      <c r="M801" s="1">
        <v>739</v>
      </c>
    </row>
    <row r="802" spans="1:13" ht="15.75" customHeight="1">
      <c r="A802" s="1">
        <v>809</v>
      </c>
      <c r="B802" s="1" t="s">
        <v>29</v>
      </c>
      <c r="C802" s="1" t="s">
        <v>695</v>
      </c>
      <c r="D802" s="1" t="s">
        <v>378</v>
      </c>
      <c r="E802" s="1">
        <v>15.6</v>
      </c>
      <c r="F802" s="1" t="s">
        <v>32</v>
      </c>
      <c r="G802" s="1" t="s">
        <v>155</v>
      </c>
      <c r="H802" s="1" t="s">
        <v>18</v>
      </c>
      <c r="I802" s="1" t="s">
        <v>34</v>
      </c>
      <c r="J802" s="1" t="s">
        <v>834</v>
      </c>
      <c r="K802" s="1" t="s">
        <v>53</v>
      </c>
      <c r="L802" s="1" t="s">
        <v>696</v>
      </c>
      <c r="M802" s="1">
        <v>2064.9</v>
      </c>
    </row>
    <row r="803" spans="1:13" ht="15.75" customHeight="1">
      <c r="A803" s="1">
        <v>810</v>
      </c>
      <c r="B803" s="1" t="s">
        <v>60</v>
      </c>
      <c r="C803" s="1" t="s">
        <v>888</v>
      </c>
      <c r="D803" s="1" t="s">
        <v>31</v>
      </c>
      <c r="E803" s="1">
        <v>15.6</v>
      </c>
      <c r="F803" s="1" t="s">
        <v>32</v>
      </c>
      <c r="G803" s="1" t="s">
        <v>33</v>
      </c>
      <c r="H803" s="1" t="s">
        <v>18</v>
      </c>
      <c r="I803" s="1" t="s">
        <v>34</v>
      </c>
      <c r="J803" s="1" t="s">
        <v>35</v>
      </c>
      <c r="K803" s="1" t="s">
        <v>53</v>
      </c>
      <c r="L803" s="1" t="s">
        <v>401</v>
      </c>
      <c r="M803" s="1">
        <v>1099</v>
      </c>
    </row>
    <row r="804" spans="1:13" ht="15.75" customHeight="1">
      <c r="A804" s="1">
        <v>811</v>
      </c>
      <c r="B804" s="1" t="s">
        <v>74</v>
      </c>
      <c r="C804" s="1" t="s">
        <v>91</v>
      </c>
      <c r="D804" s="1" t="s">
        <v>15</v>
      </c>
      <c r="E804" s="1">
        <v>13.3</v>
      </c>
      <c r="F804" s="1" t="s">
        <v>32</v>
      </c>
      <c r="G804" s="1" t="s">
        <v>33</v>
      </c>
      <c r="H804" s="1" t="s">
        <v>18</v>
      </c>
      <c r="I804" s="1" t="s">
        <v>34</v>
      </c>
      <c r="J804" s="1" t="s">
        <v>35</v>
      </c>
      <c r="K804" s="1" t="s">
        <v>53</v>
      </c>
      <c r="L804" s="1" t="s">
        <v>345</v>
      </c>
      <c r="M804" s="1">
        <v>1499</v>
      </c>
    </row>
    <row r="805" spans="1:13" ht="15.75" customHeight="1">
      <c r="A805" s="1">
        <v>812</v>
      </c>
      <c r="B805" s="1" t="s">
        <v>74</v>
      </c>
      <c r="C805" s="1" t="s">
        <v>351</v>
      </c>
      <c r="D805" s="1" t="s">
        <v>31</v>
      </c>
      <c r="E805" s="1">
        <v>15.6</v>
      </c>
      <c r="F805" s="1" t="s">
        <v>352</v>
      </c>
      <c r="G805" s="1" t="s">
        <v>103</v>
      </c>
      <c r="H805" s="1" t="s">
        <v>18</v>
      </c>
      <c r="I805" s="1" t="s">
        <v>34</v>
      </c>
      <c r="J805" s="1" t="s">
        <v>105</v>
      </c>
      <c r="K805" s="1" t="s">
        <v>53</v>
      </c>
      <c r="L805" s="1" t="s">
        <v>353</v>
      </c>
      <c r="M805" s="1">
        <v>1749</v>
      </c>
    </row>
    <row r="806" spans="1:13" ht="15.75" customHeight="1">
      <c r="A806" s="1">
        <v>813</v>
      </c>
      <c r="B806" s="1" t="s">
        <v>74</v>
      </c>
      <c r="C806" s="1" t="s">
        <v>889</v>
      </c>
      <c r="D806" s="1" t="s">
        <v>95</v>
      </c>
      <c r="E806" s="1">
        <v>11.6</v>
      </c>
      <c r="F806" s="1" t="s">
        <v>48</v>
      </c>
      <c r="G806" s="1" t="s">
        <v>173</v>
      </c>
      <c r="H806" s="1" t="s">
        <v>50</v>
      </c>
      <c r="I806" s="1" t="s">
        <v>19</v>
      </c>
      <c r="J806" s="1" t="s">
        <v>329</v>
      </c>
      <c r="K806" s="1" t="s">
        <v>53</v>
      </c>
      <c r="L806" s="1" t="s">
        <v>227</v>
      </c>
      <c r="M806" s="1">
        <v>744</v>
      </c>
    </row>
    <row r="807" spans="1:13" ht="15.75" customHeight="1">
      <c r="A807" s="1">
        <v>814</v>
      </c>
      <c r="B807" s="1" t="s">
        <v>29</v>
      </c>
      <c r="C807" s="1" t="s">
        <v>864</v>
      </c>
      <c r="D807" s="1" t="s">
        <v>95</v>
      </c>
      <c r="E807" s="1">
        <v>12.5</v>
      </c>
      <c r="F807" s="1" t="s">
        <v>48</v>
      </c>
      <c r="G807" s="1" t="s">
        <v>505</v>
      </c>
      <c r="H807" s="1" t="s">
        <v>18</v>
      </c>
      <c r="I807" s="1" t="s">
        <v>34</v>
      </c>
      <c r="J807" s="1" t="s">
        <v>35</v>
      </c>
      <c r="K807" s="1" t="s">
        <v>53</v>
      </c>
      <c r="L807" s="1" t="s">
        <v>269</v>
      </c>
      <c r="M807" s="1">
        <v>1389</v>
      </c>
    </row>
    <row r="808" spans="1:13" ht="15.75" customHeight="1">
      <c r="A808" s="1">
        <v>815</v>
      </c>
      <c r="B808" s="1" t="s">
        <v>293</v>
      </c>
      <c r="C808" s="1" t="s">
        <v>294</v>
      </c>
      <c r="D808" s="1" t="s">
        <v>31</v>
      </c>
      <c r="E808" s="1">
        <v>15.6</v>
      </c>
      <c r="F808" s="1" t="s">
        <v>48</v>
      </c>
      <c r="G808" s="1" t="s">
        <v>295</v>
      </c>
      <c r="H808" s="1" t="s">
        <v>50</v>
      </c>
      <c r="I808" s="1" t="s">
        <v>51</v>
      </c>
      <c r="J808" s="1" t="s">
        <v>71</v>
      </c>
      <c r="K808" s="1" t="s">
        <v>53</v>
      </c>
      <c r="L808" s="1" t="s">
        <v>54</v>
      </c>
      <c r="M808" s="1">
        <v>780</v>
      </c>
    </row>
    <row r="809" spans="1:13" ht="15.75" customHeight="1">
      <c r="A809" s="1">
        <v>816</v>
      </c>
      <c r="B809" s="1" t="s">
        <v>29</v>
      </c>
      <c r="C809" s="1" t="s">
        <v>890</v>
      </c>
      <c r="D809" s="1" t="s">
        <v>31</v>
      </c>
      <c r="E809" s="1">
        <v>15.6</v>
      </c>
      <c r="F809" s="1" t="s">
        <v>48</v>
      </c>
      <c r="G809" s="1" t="s">
        <v>891</v>
      </c>
      <c r="H809" s="1" t="s">
        <v>18</v>
      </c>
      <c r="I809" s="1" t="s">
        <v>221</v>
      </c>
      <c r="J809" s="1" t="s">
        <v>892</v>
      </c>
      <c r="K809" s="1" t="s">
        <v>53</v>
      </c>
      <c r="L809" s="1" t="s">
        <v>59</v>
      </c>
      <c r="M809" s="1">
        <v>629</v>
      </c>
    </row>
    <row r="810" spans="1:13" ht="15.75" customHeight="1">
      <c r="A810" s="1">
        <v>817</v>
      </c>
      <c r="B810" s="1" t="s">
        <v>74</v>
      </c>
      <c r="C810" s="1" t="s">
        <v>308</v>
      </c>
      <c r="D810" s="1" t="s">
        <v>102</v>
      </c>
      <c r="E810" s="1">
        <v>15.6</v>
      </c>
      <c r="F810" s="1" t="s">
        <v>379</v>
      </c>
      <c r="G810" s="1" t="s">
        <v>155</v>
      </c>
      <c r="H810" s="1" t="s">
        <v>40</v>
      </c>
      <c r="I810" s="1" t="s">
        <v>41</v>
      </c>
      <c r="J810" s="1" t="s">
        <v>201</v>
      </c>
      <c r="K810" s="1" t="s">
        <v>53</v>
      </c>
      <c r="L810" s="1" t="s">
        <v>249</v>
      </c>
      <c r="M810" s="1">
        <v>1679</v>
      </c>
    </row>
    <row r="811" spans="1:13" ht="15.75" customHeight="1">
      <c r="A811" s="1">
        <v>818</v>
      </c>
      <c r="B811" s="1" t="s">
        <v>86</v>
      </c>
      <c r="C811" s="1" t="s">
        <v>730</v>
      </c>
      <c r="D811" s="1" t="s">
        <v>31</v>
      </c>
      <c r="E811" s="1">
        <v>15.6</v>
      </c>
      <c r="F811" s="1" t="s">
        <v>32</v>
      </c>
      <c r="G811" s="1" t="s">
        <v>33</v>
      </c>
      <c r="H811" s="1" t="s">
        <v>50</v>
      </c>
      <c r="I811" s="1" t="s">
        <v>89</v>
      </c>
      <c r="J811" s="1" t="s">
        <v>247</v>
      </c>
      <c r="K811" s="1" t="s">
        <v>53</v>
      </c>
      <c r="L811" s="1" t="s">
        <v>183</v>
      </c>
      <c r="M811" s="1">
        <v>609</v>
      </c>
    </row>
    <row r="812" spans="1:13" ht="15.75" customHeight="1">
      <c r="A812" s="1">
        <v>819</v>
      </c>
      <c r="B812" s="1" t="s">
        <v>29</v>
      </c>
      <c r="C812" s="1" t="s">
        <v>893</v>
      </c>
      <c r="D812" s="1" t="s">
        <v>102</v>
      </c>
      <c r="E812" s="1">
        <v>17.3</v>
      </c>
      <c r="F812" s="1" t="s">
        <v>66</v>
      </c>
      <c r="G812" s="1" t="s">
        <v>155</v>
      </c>
      <c r="H812" s="1" t="s">
        <v>162</v>
      </c>
      <c r="I812" s="1" t="s">
        <v>89</v>
      </c>
      <c r="J812" s="1" t="s">
        <v>170</v>
      </c>
      <c r="K812" s="1" t="s">
        <v>53</v>
      </c>
      <c r="L812" s="1" t="s">
        <v>894</v>
      </c>
      <c r="M812" s="1">
        <v>1749</v>
      </c>
    </row>
    <row r="813" spans="1:13" ht="15.75" customHeight="1">
      <c r="A813" s="1">
        <v>820</v>
      </c>
      <c r="B813" s="1" t="s">
        <v>189</v>
      </c>
      <c r="C813" s="1" t="s">
        <v>303</v>
      </c>
      <c r="D813" s="1" t="s">
        <v>102</v>
      </c>
      <c r="E813" s="1">
        <v>17.3</v>
      </c>
      <c r="F813" s="1" t="s">
        <v>32</v>
      </c>
      <c r="G813" s="1" t="s">
        <v>155</v>
      </c>
      <c r="H813" s="1" t="s">
        <v>40</v>
      </c>
      <c r="I813" s="1" t="s">
        <v>339</v>
      </c>
      <c r="J813" s="1" t="s">
        <v>192</v>
      </c>
      <c r="K813" s="1" t="s">
        <v>53</v>
      </c>
      <c r="L813" s="1" t="s">
        <v>304</v>
      </c>
      <c r="M813" s="1">
        <v>2415</v>
      </c>
    </row>
    <row r="814" spans="1:13" ht="15.75" customHeight="1">
      <c r="A814" s="1">
        <v>821</v>
      </c>
      <c r="B814" s="1" t="s">
        <v>580</v>
      </c>
      <c r="C814" s="1" t="s">
        <v>840</v>
      </c>
      <c r="D814" s="1" t="s">
        <v>15</v>
      </c>
      <c r="E814" s="1">
        <v>13.3</v>
      </c>
      <c r="F814" s="1" t="s">
        <v>32</v>
      </c>
      <c r="G814" s="1" t="s">
        <v>33</v>
      </c>
      <c r="H814" s="1" t="s">
        <v>18</v>
      </c>
      <c r="I814" s="1" t="s">
        <v>34</v>
      </c>
      <c r="J814" s="1" t="s">
        <v>35</v>
      </c>
      <c r="K814" s="1" t="s">
        <v>53</v>
      </c>
      <c r="L814" s="1" t="s">
        <v>841</v>
      </c>
      <c r="M814" s="1">
        <v>1499</v>
      </c>
    </row>
    <row r="815" spans="1:13" ht="15.75" customHeight="1">
      <c r="A815" s="1">
        <v>822</v>
      </c>
      <c r="B815" s="1" t="s">
        <v>74</v>
      </c>
      <c r="C815" s="1" t="s">
        <v>653</v>
      </c>
      <c r="D815" s="1" t="s">
        <v>31</v>
      </c>
      <c r="E815" s="1">
        <v>15.6</v>
      </c>
      <c r="F815" s="1" t="s">
        <v>32</v>
      </c>
      <c r="G815" s="1" t="s">
        <v>83</v>
      </c>
      <c r="H815" s="1" t="s">
        <v>18</v>
      </c>
      <c r="I815" s="1" t="s">
        <v>89</v>
      </c>
      <c r="J815" s="1" t="s">
        <v>523</v>
      </c>
      <c r="K815" s="1" t="s">
        <v>53</v>
      </c>
      <c r="L815" s="1" t="s">
        <v>813</v>
      </c>
      <c r="M815" s="1">
        <v>961</v>
      </c>
    </row>
    <row r="816" spans="1:13" ht="15.75" customHeight="1">
      <c r="A816" s="1">
        <v>823</v>
      </c>
      <c r="B816" s="1" t="s">
        <v>74</v>
      </c>
      <c r="C816" s="1" t="s">
        <v>432</v>
      </c>
      <c r="D816" s="1" t="s">
        <v>31</v>
      </c>
      <c r="E816" s="1">
        <v>15.6</v>
      </c>
      <c r="F816" s="1" t="s">
        <v>32</v>
      </c>
      <c r="G816" s="1" t="s">
        <v>33</v>
      </c>
      <c r="H816" s="1" t="s">
        <v>18</v>
      </c>
      <c r="I816" s="1" t="s">
        <v>34</v>
      </c>
      <c r="J816" s="1" t="s">
        <v>324</v>
      </c>
      <c r="K816" s="1" t="s">
        <v>53</v>
      </c>
      <c r="L816" s="1" t="s">
        <v>433</v>
      </c>
      <c r="M816" s="1">
        <v>789.81</v>
      </c>
    </row>
    <row r="817" spans="1:13" ht="15.75" customHeight="1">
      <c r="A817" s="1">
        <v>824</v>
      </c>
      <c r="B817" s="1" t="s">
        <v>86</v>
      </c>
      <c r="C817" s="1" t="s">
        <v>895</v>
      </c>
      <c r="D817" s="1" t="s">
        <v>15</v>
      </c>
      <c r="E817" s="1">
        <v>14</v>
      </c>
      <c r="F817" s="1" t="s">
        <v>32</v>
      </c>
      <c r="G817" s="1" t="s">
        <v>83</v>
      </c>
      <c r="H817" s="1" t="s">
        <v>18</v>
      </c>
      <c r="I817" s="1" t="s">
        <v>34</v>
      </c>
      <c r="J817" s="1" t="s">
        <v>35</v>
      </c>
      <c r="K817" s="1" t="s">
        <v>53</v>
      </c>
      <c r="L817" s="1" t="s">
        <v>288</v>
      </c>
      <c r="M817" s="1">
        <v>1859</v>
      </c>
    </row>
    <row r="818" spans="1:13" ht="15.75" customHeight="1">
      <c r="A818" s="1">
        <v>825</v>
      </c>
      <c r="B818" s="1" t="s">
        <v>365</v>
      </c>
      <c r="C818" s="1" t="s">
        <v>896</v>
      </c>
      <c r="D818" s="1" t="s">
        <v>15</v>
      </c>
      <c r="E818" s="1">
        <v>12.5</v>
      </c>
      <c r="F818" s="1" t="s">
        <v>298</v>
      </c>
      <c r="G818" s="1" t="s">
        <v>897</v>
      </c>
      <c r="H818" s="1" t="s">
        <v>40</v>
      </c>
      <c r="I818" s="1" t="s">
        <v>41</v>
      </c>
      <c r="J818" s="1" t="s">
        <v>35</v>
      </c>
      <c r="K818" s="1" t="s">
        <v>53</v>
      </c>
      <c r="L818" s="1" t="s">
        <v>345</v>
      </c>
      <c r="M818" s="1">
        <v>1799</v>
      </c>
    </row>
    <row r="819" spans="1:13" ht="15.75" customHeight="1">
      <c r="A819" s="1">
        <v>826</v>
      </c>
      <c r="B819" s="1" t="s">
        <v>29</v>
      </c>
      <c r="C819" s="1" t="s">
        <v>709</v>
      </c>
      <c r="D819" s="1" t="s">
        <v>95</v>
      </c>
      <c r="E819" s="1">
        <v>11.6</v>
      </c>
      <c r="F819" s="1" t="s">
        <v>48</v>
      </c>
      <c r="G819" s="1" t="s">
        <v>204</v>
      </c>
      <c r="H819" s="1" t="s">
        <v>50</v>
      </c>
      <c r="I819" s="1" t="s">
        <v>486</v>
      </c>
      <c r="J819" s="1" t="s">
        <v>99</v>
      </c>
      <c r="K819" s="1" t="s">
        <v>456</v>
      </c>
      <c r="L819" s="1" t="s">
        <v>264</v>
      </c>
      <c r="M819" s="1">
        <v>385</v>
      </c>
    </row>
    <row r="820" spans="1:13" ht="15.75" customHeight="1">
      <c r="A820" s="1">
        <v>827</v>
      </c>
      <c r="B820" s="1" t="s">
        <v>74</v>
      </c>
      <c r="C820" s="1" t="s">
        <v>390</v>
      </c>
      <c r="D820" s="1" t="s">
        <v>102</v>
      </c>
      <c r="E820" s="1">
        <v>17.3</v>
      </c>
      <c r="F820" s="1" t="s">
        <v>66</v>
      </c>
      <c r="G820" s="1" t="s">
        <v>155</v>
      </c>
      <c r="H820" s="1" t="s">
        <v>40</v>
      </c>
      <c r="I820" s="1" t="s">
        <v>104</v>
      </c>
      <c r="J820" s="1" t="s">
        <v>157</v>
      </c>
      <c r="K820" s="1" t="s">
        <v>53</v>
      </c>
      <c r="L820" s="1" t="s">
        <v>822</v>
      </c>
      <c r="M820" s="1">
        <v>2505.02</v>
      </c>
    </row>
    <row r="821" spans="1:13" ht="15.75" customHeight="1">
      <c r="A821" s="1">
        <v>828</v>
      </c>
      <c r="B821" s="1" t="s">
        <v>74</v>
      </c>
      <c r="C821" s="1" t="s">
        <v>898</v>
      </c>
      <c r="D821" s="1" t="s">
        <v>31</v>
      </c>
      <c r="E821" s="1">
        <v>14</v>
      </c>
      <c r="F821" s="1" t="s">
        <v>48</v>
      </c>
      <c r="G821" s="1" t="s">
        <v>295</v>
      </c>
      <c r="H821" s="1" t="s">
        <v>50</v>
      </c>
      <c r="I821" s="1" t="s">
        <v>51</v>
      </c>
      <c r="J821" s="1" t="s">
        <v>71</v>
      </c>
      <c r="K821" s="1" t="s">
        <v>53</v>
      </c>
      <c r="L821" s="1" t="s">
        <v>899</v>
      </c>
      <c r="M821" s="1">
        <v>755</v>
      </c>
    </row>
    <row r="822" spans="1:13" ht="15.75" customHeight="1">
      <c r="A822" s="1">
        <v>829</v>
      </c>
      <c r="B822" s="1" t="s">
        <v>86</v>
      </c>
      <c r="C822" s="1" t="s">
        <v>900</v>
      </c>
      <c r="D822" s="1" t="s">
        <v>31</v>
      </c>
      <c r="E822" s="1">
        <v>15.6</v>
      </c>
      <c r="F822" s="1" t="s">
        <v>48</v>
      </c>
      <c r="G822" s="1" t="s">
        <v>70</v>
      </c>
      <c r="H822" s="1" t="s">
        <v>50</v>
      </c>
      <c r="I822" s="1" t="s">
        <v>51</v>
      </c>
      <c r="J822" s="1" t="s">
        <v>71</v>
      </c>
      <c r="K822" s="1" t="s">
        <v>53</v>
      </c>
      <c r="L822" s="1" t="s">
        <v>54</v>
      </c>
      <c r="M822" s="1">
        <v>489.9</v>
      </c>
    </row>
    <row r="823" spans="1:13" ht="15.75" customHeight="1">
      <c r="A823" s="1">
        <v>830</v>
      </c>
      <c r="B823" s="1" t="s">
        <v>293</v>
      </c>
      <c r="C823" s="1" t="s">
        <v>901</v>
      </c>
      <c r="D823" s="1" t="s">
        <v>15</v>
      </c>
      <c r="E823" s="1">
        <v>14</v>
      </c>
      <c r="F823" s="1" t="s">
        <v>48</v>
      </c>
      <c r="G823" s="1" t="s">
        <v>33</v>
      </c>
      <c r="H823" s="1" t="s">
        <v>50</v>
      </c>
      <c r="I823" s="1" t="s">
        <v>19</v>
      </c>
      <c r="J823" s="1" t="s">
        <v>35</v>
      </c>
      <c r="K823" s="1" t="s">
        <v>53</v>
      </c>
      <c r="L823" s="1" t="s">
        <v>242</v>
      </c>
      <c r="M823" s="1">
        <v>1090</v>
      </c>
    </row>
    <row r="824" spans="1:13" ht="15.75" customHeight="1">
      <c r="A824" s="1">
        <v>831</v>
      </c>
      <c r="B824" s="1" t="s">
        <v>86</v>
      </c>
      <c r="C824" s="1" t="s">
        <v>538</v>
      </c>
      <c r="D824" s="1" t="s">
        <v>15</v>
      </c>
      <c r="E824" s="1">
        <v>14</v>
      </c>
      <c r="F824" s="1" t="s">
        <v>66</v>
      </c>
      <c r="G824" s="1" t="s">
        <v>83</v>
      </c>
      <c r="H824" s="1" t="s">
        <v>18</v>
      </c>
      <c r="I824" s="1" t="s">
        <v>41</v>
      </c>
      <c r="J824" s="1" t="s">
        <v>35</v>
      </c>
      <c r="K824" s="1" t="s">
        <v>53</v>
      </c>
      <c r="L824" s="1" t="s">
        <v>540</v>
      </c>
      <c r="M824" s="1">
        <v>2499</v>
      </c>
    </row>
    <row r="825" spans="1:13" ht="15.75" customHeight="1">
      <c r="A825" s="1">
        <v>832</v>
      </c>
      <c r="B825" s="1" t="s">
        <v>189</v>
      </c>
      <c r="C825" s="1" t="s">
        <v>902</v>
      </c>
      <c r="D825" s="1" t="s">
        <v>102</v>
      </c>
      <c r="E825" s="1">
        <v>15.6</v>
      </c>
      <c r="F825" s="1" t="s">
        <v>32</v>
      </c>
      <c r="G825" s="1" t="s">
        <v>103</v>
      </c>
      <c r="H825" s="1" t="s">
        <v>18</v>
      </c>
      <c r="I825" s="1" t="s">
        <v>34</v>
      </c>
      <c r="J825" s="1" t="s">
        <v>105</v>
      </c>
      <c r="K825" s="1" t="s">
        <v>53</v>
      </c>
      <c r="L825" s="1" t="s">
        <v>183</v>
      </c>
      <c r="M825" s="1">
        <v>1199</v>
      </c>
    </row>
    <row r="826" spans="1:13" ht="15.75" customHeight="1">
      <c r="A826" s="1">
        <v>833</v>
      </c>
      <c r="B826" s="1" t="s">
        <v>86</v>
      </c>
      <c r="C826" s="1" t="s">
        <v>441</v>
      </c>
      <c r="D826" s="1" t="s">
        <v>15</v>
      </c>
      <c r="E826" s="1">
        <v>14</v>
      </c>
      <c r="F826" s="1" t="s">
        <v>66</v>
      </c>
      <c r="G826" s="1" t="s">
        <v>33</v>
      </c>
      <c r="H826" s="1" t="s">
        <v>18</v>
      </c>
      <c r="I826" s="1" t="s">
        <v>56</v>
      </c>
      <c r="J826" s="1" t="s">
        <v>35</v>
      </c>
      <c r="K826" s="1" t="s">
        <v>53</v>
      </c>
      <c r="L826" s="1" t="s">
        <v>540</v>
      </c>
      <c r="M826" s="1">
        <v>1875</v>
      </c>
    </row>
    <row r="827" spans="1:13" ht="15.75" customHeight="1">
      <c r="A827" s="1">
        <v>834</v>
      </c>
      <c r="B827" s="1" t="s">
        <v>293</v>
      </c>
      <c r="C827" s="1" t="s">
        <v>294</v>
      </c>
      <c r="D827" s="1" t="s">
        <v>31</v>
      </c>
      <c r="E827" s="1">
        <v>14</v>
      </c>
      <c r="F827" s="1" t="s">
        <v>48</v>
      </c>
      <c r="G827" s="1" t="s">
        <v>903</v>
      </c>
      <c r="H827" s="1" t="s">
        <v>50</v>
      </c>
      <c r="I827" s="1" t="s">
        <v>19</v>
      </c>
      <c r="J827" s="1" t="s">
        <v>487</v>
      </c>
      <c r="K827" s="1" t="s">
        <v>53</v>
      </c>
      <c r="L827" s="1" t="s">
        <v>291</v>
      </c>
      <c r="M827" s="1">
        <v>499</v>
      </c>
    </row>
    <row r="828" spans="1:13" ht="15.75" customHeight="1">
      <c r="A828" s="1">
        <v>835</v>
      </c>
      <c r="B828" s="1" t="s">
        <v>60</v>
      </c>
      <c r="C828" s="1" t="s">
        <v>318</v>
      </c>
      <c r="D828" s="1" t="s">
        <v>111</v>
      </c>
      <c r="E828" s="1">
        <v>13.3</v>
      </c>
      <c r="F828" s="1" t="s">
        <v>904</v>
      </c>
      <c r="G828" s="1" t="s">
        <v>33</v>
      </c>
      <c r="H828" s="1" t="s">
        <v>18</v>
      </c>
      <c r="I828" s="1" t="s">
        <v>34</v>
      </c>
      <c r="J828" s="1" t="s">
        <v>35</v>
      </c>
      <c r="K828" s="1" t="s">
        <v>53</v>
      </c>
      <c r="L828" s="1" t="s">
        <v>319</v>
      </c>
      <c r="M828" s="1">
        <v>1358</v>
      </c>
    </row>
    <row r="829" spans="1:13" ht="15.75" customHeight="1">
      <c r="A829" s="1">
        <v>836</v>
      </c>
      <c r="B829" s="1" t="s">
        <v>74</v>
      </c>
      <c r="C829" s="1" t="s">
        <v>898</v>
      </c>
      <c r="D829" s="1" t="s">
        <v>31</v>
      </c>
      <c r="E829" s="1">
        <v>14</v>
      </c>
      <c r="F829" s="1" t="s">
        <v>48</v>
      </c>
      <c r="G829" s="1" t="s">
        <v>70</v>
      </c>
      <c r="H829" s="1" t="s">
        <v>50</v>
      </c>
      <c r="I829" s="1" t="s">
        <v>51</v>
      </c>
      <c r="J829" s="1" t="s">
        <v>71</v>
      </c>
      <c r="K829" s="1" t="s">
        <v>53</v>
      </c>
      <c r="L829" s="1" t="s">
        <v>899</v>
      </c>
      <c r="M829" s="1">
        <v>585</v>
      </c>
    </row>
    <row r="830" spans="1:13" ht="15.75" customHeight="1">
      <c r="A830" s="1">
        <v>837</v>
      </c>
      <c r="B830" s="1" t="s">
        <v>46</v>
      </c>
      <c r="C830" s="1" t="s">
        <v>709</v>
      </c>
      <c r="D830" s="1" t="s">
        <v>95</v>
      </c>
      <c r="E830" s="1">
        <v>11.6</v>
      </c>
      <c r="F830" s="1" t="s">
        <v>267</v>
      </c>
      <c r="G830" s="1" t="s">
        <v>204</v>
      </c>
      <c r="H830" s="1" t="s">
        <v>50</v>
      </c>
      <c r="I830" s="1" t="s">
        <v>98</v>
      </c>
      <c r="J830" s="1" t="s">
        <v>99</v>
      </c>
      <c r="K830" s="1" t="s">
        <v>456</v>
      </c>
      <c r="L830" s="1" t="s">
        <v>119</v>
      </c>
      <c r="M830" s="1">
        <v>355</v>
      </c>
    </row>
    <row r="831" spans="1:13" ht="15.75" customHeight="1">
      <c r="A831" s="1">
        <v>838</v>
      </c>
      <c r="B831" s="1" t="s">
        <v>46</v>
      </c>
      <c r="C831" s="1" t="s">
        <v>65</v>
      </c>
      <c r="D831" s="1" t="s">
        <v>31</v>
      </c>
      <c r="E831" s="1">
        <v>14</v>
      </c>
      <c r="F831" s="1" t="s">
        <v>66</v>
      </c>
      <c r="G831" s="1" t="s">
        <v>88</v>
      </c>
      <c r="H831" s="1" t="s">
        <v>18</v>
      </c>
      <c r="I831" s="1" t="s">
        <v>19</v>
      </c>
      <c r="J831" s="1" t="s">
        <v>35</v>
      </c>
      <c r="K831" s="1" t="s">
        <v>53</v>
      </c>
      <c r="L831" s="1" t="s">
        <v>244</v>
      </c>
      <c r="M831" s="1">
        <v>619</v>
      </c>
    </row>
    <row r="832" spans="1:13" ht="15.75" customHeight="1">
      <c r="A832" s="1">
        <v>839</v>
      </c>
      <c r="B832" s="1" t="s">
        <v>365</v>
      </c>
      <c r="C832" s="1" t="s">
        <v>366</v>
      </c>
      <c r="D832" s="1" t="s">
        <v>102</v>
      </c>
      <c r="E832" s="1">
        <v>17.3</v>
      </c>
      <c r="F832" s="1" t="s">
        <v>352</v>
      </c>
      <c r="G832" s="1" t="s">
        <v>367</v>
      </c>
      <c r="H832" s="1" t="s">
        <v>338</v>
      </c>
      <c r="I832" s="1" t="s">
        <v>41</v>
      </c>
      <c r="J832" s="1" t="s">
        <v>368</v>
      </c>
      <c r="K832" s="1" t="s">
        <v>53</v>
      </c>
      <c r="L832" s="1" t="s">
        <v>369</v>
      </c>
      <c r="M832" s="1">
        <v>5499</v>
      </c>
    </row>
    <row r="833" spans="1:13" ht="15.75" customHeight="1">
      <c r="A833" s="1">
        <v>840</v>
      </c>
      <c r="B833" s="1" t="s">
        <v>86</v>
      </c>
      <c r="C833" s="1" t="s">
        <v>538</v>
      </c>
      <c r="D833" s="1" t="s">
        <v>15</v>
      </c>
      <c r="E833" s="1">
        <v>14</v>
      </c>
      <c r="F833" s="1" t="s">
        <v>621</v>
      </c>
      <c r="G833" s="1" t="s">
        <v>442</v>
      </c>
      <c r="H833" s="1" t="s">
        <v>40</v>
      </c>
      <c r="I833" s="1" t="s">
        <v>41</v>
      </c>
      <c r="J833" s="1" t="s">
        <v>71</v>
      </c>
      <c r="K833" s="1" t="s">
        <v>53</v>
      </c>
      <c r="L833" s="1" t="s">
        <v>319</v>
      </c>
      <c r="M833" s="1">
        <v>2099</v>
      </c>
    </row>
    <row r="834" spans="1:13" ht="15.75" customHeight="1">
      <c r="A834" s="1">
        <v>841</v>
      </c>
      <c r="B834" s="1" t="s">
        <v>60</v>
      </c>
      <c r="C834" s="1" t="s">
        <v>188</v>
      </c>
      <c r="D834" s="1" t="s">
        <v>31</v>
      </c>
      <c r="E834" s="1">
        <v>15.6</v>
      </c>
      <c r="F834" s="1" t="s">
        <v>32</v>
      </c>
      <c r="G834" s="1" t="s">
        <v>33</v>
      </c>
      <c r="H834" s="1" t="s">
        <v>50</v>
      </c>
      <c r="I834" s="1" t="s">
        <v>89</v>
      </c>
      <c r="J834" s="1" t="s">
        <v>905</v>
      </c>
      <c r="K834" s="1" t="s">
        <v>147</v>
      </c>
      <c r="L834" s="1" t="s">
        <v>54</v>
      </c>
      <c r="M834" s="1">
        <v>519</v>
      </c>
    </row>
    <row r="835" spans="1:13" ht="15.75" customHeight="1">
      <c r="A835" s="1">
        <v>842</v>
      </c>
      <c r="B835" s="1" t="s">
        <v>86</v>
      </c>
      <c r="C835" s="1" t="s">
        <v>847</v>
      </c>
      <c r="D835" s="1" t="s">
        <v>31</v>
      </c>
      <c r="E835" s="1">
        <v>14</v>
      </c>
      <c r="F835" s="1" t="s">
        <v>32</v>
      </c>
      <c r="G835" s="1" t="s">
        <v>295</v>
      </c>
      <c r="H835" s="1" t="s">
        <v>18</v>
      </c>
      <c r="I835" s="1" t="s">
        <v>34</v>
      </c>
      <c r="J835" s="1" t="s">
        <v>71</v>
      </c>
      <c r="K835" s="1" t="s">
        <v>53</v>
      </c>
      <c r="L835" s="1" t="s">
        <v>196</v>
      </c>
      <c r="M835" s="1">
        <v>1186</v>
      </c>
    </row>
    <row r="836" spans="1:13" ht="15.75" customHeight="1">
      <c r="A836" s="1">
        <v>843</v>
      </c>
      <c r="B836" s="1" t="s">
        <v>86</v>
      </c>
      <c r="C836" s="1" t="s">
        <v>592</v>
      </c>
      <c r="D836" s="1" t="s">
        <v>31</v>
      </c>
      <c r="E836" s="1">
        <v>14</v>
      </c>
      <c r="F836" s="1" t="s">
        <v>66</v>
      </c>
      <c r="G836" s="1" t="s">
        <v>505</v>
      </c>
      <c r="H836" s="1" t="s">
        <v>18</v>
      </c>
      <c r="I836" s="1" t="s">
        <v>34</v>
      </c>
      <c r="J836" s="1" t="s">
        <v>35</v>
      </c>
      <c r="K836" s="1" t="s">
        <v>53</v>
      </c>
      <c r="L836" s="1" t="s">
        <v>288</v>
      </c>
      <c r="M836" s="1">
        <v>1650</v>
      </c>
    </row>
    <row r="837" spans="1:13" ht="15.75" customHeight="1">
      <c r="A837" s="1">
        <v>844</v>
      </c>
      <c r="B837" s="1" t="s">
        <v>74</v>
      </c>
      <c r="C837" s="1" t="s">
        <v>786</v>
      </c>
      <c r="D837" s="1" t="s">
        <v>102</v>
      </c>
      <c r="E837" s="1">
        <v>15.6</v>
      </c>
      <c r="F837" s="1" t="s">
        <v>32</v>
      </c>
      <c r="G837" s="1" t="s">
        <v>155</v>
      </c>
      <c r="H837" s="1" t="s">
        <v>40</v>
      </c>
      <c r="I837" s="1" t="s">
        <v>156</v>
      </c>
      <c r="J837" s="1" t="s">
        <v>192</v>
      </c>
      <c r="K837" s="1" t="s">
        <v>53</v>
      </c>
      <c r="L837" s="1" t="s">
        <v>787</v>
      </c>
      <c r="M837" s="1">
        <v>2774.63</v>
      </c>
    </row>
    <row r="838" spans="1:13" ht="15.75" customHeight="1">
      <c r="A838" s="1">
        <v>845</v>
      </c>
      <c r="B838" s="1" t="s">
        <v>60</v>
      </c>
      <c r="C838" s="1" t="s">
        <v>906</v>
      </c>
      <c r="D838" s="1" t="s">
        <v>102</v>
      </c>
      <c r="E838" s="1">
        <v>17.3</v>
      </c>
      <c r="F838" s="1" t="s">
        <v>32</v>
      </c>
      <c r="G838" s="1" t="s">
        <v>155</v>
      </c>
      <c r="H838" s="1" t="s">
        <v>40</v>
      </c>
      <c r="I838" s="1" t="s">
        <v>156</v>
      </c>
      <c r="J838" s="1" t="s">
        <v>192</v>
      </c>
      <c r="K838" s="1" t="s">
        <v>53</v>
      </c>
      <c r="L838" s="1" t="s">
        <v>304</v>
      </c>
      <c r="M838" s="1">
        <v>2419</v>
      </c>
    </row>
    <row r="839" spans="1:13" ht="15.75" customHeight="1">
      <c r="A839" s="1">
        <v>846</v>
      </c>
      <c r="B839" s="1" t="s">
        <v>293</v>
      </c>
      <c r="C839" s="1" t="s">
        <v>294</v>
      </c>
      <c r="D839" s="1" t="s">
        <v>31</v>
      </c>
      <c r="E839" s="1">
        <v>15.6</v>
      </c>
      <c r="F839" s="1" t="s">
        <v>48</v>
      </c>
      <c r="G839" s="1" t="s">
        <v>88</v>
      </c>
      <c r="H839" s="1" t="s">
        <v>50</v>
      </c>
      <c r="I839" s="1" t="s">
        <v>51</v>
      </c>
      <c r="J839" s="1" t="s">
        <v>35</v>
      </c>
      <c r="K839" s="1" t="s">
        <v>53</v>
      </c>
      <c r="L839" s="1" t="s">
        <v>347</v>
      </c>
      <c r="M839" s="1">
        <v>669</v>
      </c>
    </row>
    <row r="840" spans="1:13" ht="15.75" customHeight="1">
      <c r="A840" s="1">
        <v>847</v>
      </c>
      <c r="B840" s="1" t="s">
        <v>86</v>
      </c>
      <c r="C840" s="1" t="s">
        <v>907</v>
      </c>
      <c r="D840" s="1" t="s">
        <v>31</v>
      </c>
      <c r="E840" s="1">
        <v>14</v>
      </c>
      <c r="F840" s="1" t="s">
        <v>48</v>
      </c>
      <c r="G840" s="1" t="s">
        <v>741</v>
      </c>
      <c r="H840" s="1" t="s">
        <v>50</v>
      </c>
      <c r="I840" s="1" t="s">
        <v>486</v>
      </c>
      <c r="J840" s="1" t="s">
        <v>99</v>
      </c>
      <c r="K840" s="1" t="s">
        <v>456</v>
      </c>
      <c r="L840" s="1" t="s">
        <v>244</v>
      </c>
      <c r="M840" s="1">
        <v>325</v>
      </c>
    </row>
    <row r="841" spans="1:13" ht="15.75" customHeight="1">
      <c r="A841" s="1">
        <v>848</v>
      </c>
      <c r="B841" s="1" t="s">
        <v>60</v>
      </c>
      <c r="C841" s="1" t="s">
        <v>908</v>
      </c>
      <c r="D841" s="1" t="s">
        <v>31</v>
      </c>
      <c r="E841" s="1">
        <v>15.6</v>
      </c>
      <c r="F841" s="1" t="s">
        <v>32</v>
      </c>
      <c r="G841" s="1" t="s">
        <v>33</v>
      </c>
      <c r="H841" s="1" t="s">
        <v>18</v>
      </c>
      <c r="I841" s="1" t="s">
        <v>909</v>
      </c>
      <c r="J841" s="1" t="s">
        <v>35</v>
      </c>
      <c r="K841" s="1" t="s">
        <v>53</v>
      </c>
      <c r="L841" s="1" t="s">
        <v>116</v>
      </c>
      <c r="M841" s="1">
        <v>590</v>
      </c>
    </row>
    <row r="842" spans="1:13" ht="15.75" customHeight="1">
      <c r="A842" s="1">
        <v>849</v>
      </c>
      <c r="B842" s="1" t="s">
        <v>60</v>
      </c>
      <c r="C842" s="1" t="s">
        <v>910</v>
      </c>
      <c r="D842" s="1" t="s">
        <v>102</v>
      </c>
      <c r="E842" s="1">
        <v>17.3</v>
      </c>
      <c r="F842" s="1" t="s">
        <v>32</v>
      </c>
      <c r="G842" s="1" t="s">
        <v>624</v>
      </c>
      <c r="H842" s="1" t="s">
        <v>40</v>
      </c>
      <c r="I842" s="1" t="s">
        <v>339</v>
      </c>
      <c r="J842" s="1" t="s">
        <v>157</v>
      </c>
      <c r="K842" s="1" t="s">
        <v>53</v>
      </c>
      <c r="L842" s="1" t="s">
        <v>714</v>
      </c>
      <c r="M842" s="1">
        <v>1799</v>
      </c>
    </row>
    <row r="843" spans="1:13" ht="15.75" customHeight="1">
      <c r="A843" s="1">
        <v>851</v>
      </c>
      <c r="B843" s="1" t="s">
        <v>74</v>
      </c>
      <c r="C843" s="1" t="s">
        <v>390</v>
      </c>
      <c r="D843" s="1" t="s">
        <v>102</v>
      </c>
      <c r="E843" s="1">
        <v>17.3</v>
      </c>
      <c r="F843" s="1" t="s">
        <v>66</v>
      </c>
      <c r="G843" s="1" t="s">
        <v>155</v>
      </c>
      <c r="H843" s="1" t="s">
        <v>338</v>
      </c>
      <c r="I843" s="1" t="s">
        <v>339</v>
      </c>
      <c r="J843" s="1" t="s">
        <v>192</v>
      </c>
      <c r="K843" s="1" t="s">
        <v>53</v>
      </c>
      <c r="L843" s="1" t="s">
        <v>391</v>
      </c>
      <c r="M843" s="1">
        <v>3072.89</v>
      </c>
    </row>
    <row r="844" spans="1:13" ht="15.75" customHeight="1">
      <c r="A844" s="1">
        <v>852</v>
      </c>
      <c r="B844" s="1" t="s">
        <v>29</v>
      </c>
      <c r="C844" s="1" t="s">
        <v>126</v>
      </c>
      <c r="D844" s="1" t="s">
        <v>31</v>
      </c>
      <c r="E844" s="1">
        <v>17.3</v>
      </c>
      <c r="F844" s="1" t="s">
        <v>364</v>
      </c>
      <c r="G844" s="1" t="s">
        <v>33</v>
      </c>
      <c r="H844" s="1" t="s">
        <v>18</v>
      </c>
      <c r="I844" s="1" t="s">
        <v>89</v>
      </c>
      <c r="J844" s="1" t="s">
        <v>127</v>
      </c>
      <c r="K844" s="1" t="s">
        <v>53</v>
      </c>
      <c r="L844" s="1" t="s">
        <v>680</v>
      </c>
      <c r="M844" s="1">
        <v>910</v>
      </c>
    </row>
    <row r="845" spans="1:13" ht="15.75" customHeight="1">
      <c r="A845" s="1">
        <v>853</v>
      </c>
      <c r="B845" s="1" t="s">
        <v>74</v>
      </c>
      <c r="C845" s="1" t="s">
        <v>432</v>
      </c>
      <c r="D845" s="1" t="s">
        <v>31</v>
      </c>
      <c r="E845" s="1">
        <v>15.6</v>
      </c>
      <c r="F845" s="1" t="s">
        <v>48</v>
      </c>
      <c r="G845" s="1" t="s">
        <v>33</v>
      </c>
      <c r="H845" s="1" t="s">
        <v>18</v>
      </c>
      <c r="I845" s="1" t="s">
        <v>19</v>
      </c>
      <c r="J845" s="1" t="s">
        <v>35</v>
      </c>
      <c r="K845" s="1" t="s">
        <v>53</v>
      </c>
      <c r="L845" s="1" t="s">
        <v>433</v>
      </c>
      <c r="M845" s="1">
        <v>713.99</v>
      </c>
    </row>
    <row r="846" spans="1:13" ht="15.75" customHeight="1">
      <c r="A846" s="1">
        <v>854</v>
      </c>
      <c r="B846" s="1" t="s">
        <v>29</v>
      </c>
      <c r="C846" s="1" t="s">
        <v>312</v>
      </c>
      <c r="D846" s="1" t="s">
        <v>15</v>
      </c>
      <c r="E846" s="1">
        <v>14</v>
      </c>
      <c r="F846" s="1" t="s">
        <v>32</v>
      </c>
      <c r="G846" s="1" t="s">
        <v>389</v>
      </c>
      <c r="H846" s="1" t="s">
        <v>18</v>
      </c>
      <c r="I846" s="1" t="s">
        <v>41</v>
      </c>
      <c r="J846" s="1" t="s">
        <v>71</v>
      </c>
      <c r="K846" s="1" t="s">
        <v>662</v>
      </c>
      <c r="L846" s="1" t="s">
        <v>911</v>
      </c>
      <c r="M846" s="1">
        <v>1870</v>
      </c>
    </row>
    <row r="847" spans="1:13" ht="15.75" customHeight="1">
      <c r="A847" s="1">
        <v>855</v>
      </c>
      <c r="B847" s="1" t="s">
        <v>74</v>
      </c>
      <c r="C847" s="1" t="s">
        <v>432</v>
      </c>
      <c r="D847" s="1" t="s">
        <v>31</v>
      </c>
      <c r="E847" s="1">
        <v>15.6</v>
      </c>
      <c r="F847" s="1" t="s">
        <v>32</v>
      </c>
      <c r="G847" s="1" t="s">
        <v>83</v>
      </c>
      <c r="H847" s="1" t="s">
        <v>50</v>
      </c>
      <c r="I847" s="1" t="s">
        <v>34</v>
      </c>
      <c r="J847" s="1" t="s">
        <v>324</v>
      </c>
      <c r="K847" s="1" t="s">
        <v>53</v>
      </c>
      <c r="L847" s="1" t="s">
        <v>433</v>
      </c>
      <c r="M847" s="1">
        <v>739</v>
      </c>
    </row>
    <row r="848" spans="1:13" ht="15.75" customHeight="1">
      <c r="A848" s="1">
        <v>856</v>
      </c>
      <c r="B848" s="1" t="s">
        <v>29</v>
      </c>
      <c r="C848" s="1" t="s">
        <v>779</v>
      </c>
      <c r="D848" s="1" t="s">
        <v>111</v>
      </c>
      <c r="E848" s="1">
        <v>11.6</v>
      </c>
      <c r="F848" s="1" t="s">
        <v>382</v>
      </c>
      <c r="G848" s="1" t="s">
        <v>143</v>
      </c>
      <c r="H848" s="1" t="s">
        <v>50</v>
      </c>
      <c r="I848" s="1" t="s">
        <v>98</v>
      </c>
      <c r="J848" s="1" t="s">
        <v>144</v>
      </c>
      <c r="K848" s="1" t="s">
        <v>456</v>
      </c>
      <c r="L848" s="1" t="s">
        <v>199</v>
      </c>
      <c r="M848" s="1">
        <v>615</v>
      </c>
    </row>
    <row r="849" spans="1:13" ht="15.75" customHeight="1">
      <c r="A849" s="1">
        <v>857</v>
      </c>
      <c r="B849" s="1" t="s">
        <v>60</v>
      </c>
      <c r="C849" s="1" t="s">
        <v>912</v>
      </c>
      <c r="D849" s="1" t="s">
        <v>15</v>
      </c>
      <c r="E849" s="1">
        <v>13.3</v>
      </c>
      <c r="F849" s="1" t="s">
        <v>66</v>
      </c>
      <c r="G849" s="1" t="s">
        <v>295</v>
      </c>
      <c r="H849" s="1" t="s">
        <v>18</v>
      </c>
      <c r="I849" s="1" t="s">
        <v>41</v>
      </c>
      <c r="J849" s="1" t="s">
        <v>913</v>
      </c>
      <c r="K849" s="1" t="s">
        <v>53</v>
      </c>
      <c r="L849" s="1" t="s">
        <v>488</v>
      </c>
      <c r="M849" s="1">
        <v>1026</v>
      </c>
    </row>
    <row r="850" spans="1:13" ht="15.75" customHeight="1">
      <c r="A850" s="1">
        <v>858</v>
      </c>
      <c r="B850" s="1" t="s">
        <v>29</v>
      </c>
      <c r="C850" s="1" t="s">
        <v>475</v>
      </c>
      <c r="D850" s="1" t="s">
        <v>111</v>
      </c>
      <c r="E850" s="1">
        <v>13.3</v>
      </c>
      <c r="F850" s="1" t="s">
        <v>112</v>
      </c>
      <c r="G850" s="1" t="s">
        <v>33</v>
      </c>
      <c r="H850" s="1" t="s">
        <v>18</v>
      </c>
      <c r="I850" s="1" t="s">
        <v>34</v>
      </c>
      <c r="J850" s="1" t="s">
        <v>35</v>
      </c>
      <c r="K850" s="1" t="s">
        <v>53</v>
      </c>
      <c r="L850" s="1" t="s">
        <v>477</v>
      </c>
      <c r="M850" s="1">
        <v>2277</v>
      </c>
    </row>
    <row r="851" spans="1:13" ht="15.75" customHeight="1">
      <c r="A851" s="1">
        <v>859</v>
      </c>
      <c r="B851" s="1" t="s">
        <v>29</v>
      </c>
      <c r="C851" s="1" t="s">
        <v>312</v>
      </c>
      <c r="D851" s="1" t="s">
        <v>15</v>
      </c>
      <c r="E851" s="1">
        <v>14</v>
      </c>
      <c r="F851" s="1" t="s">
        <v>32</v>
      </c>
      <c r="G851" s="1" t="s">
        <v>389</v>
      </c>
      <c r="H851" s="1" t="s">
        <v>18</v>
      </c>
      <c r="I851" s="1" t="s">
        <v>41</v>
      </c>
      <c r="J851" s="1" t="s">
        <v>71</v>
      </c>
      <c r="K851" s="1" t="s">
        <v>53</v>
      </c>
      <c r="L851" s="1" t="s">
        <v>911</v>
      </c>
      <c r="M851" s="1">
        <v>1468</v>
      </c>
    </row>
    <row r="852" spans="1:13" ht="15.75" customHeight="1">
      <c r="A852" s="1">
        <v>860</v>
      </c>
      <c r="B852" s="1" t="s">
        <v>29</v>
      </c>
      <c r="C852" s="1" t="s">
        <v>30</v>
      </c>
      <c r="D852" s="1" t="s">
        <v>31</v>
      </c>
      <c r="E852" s="1">
        <v>15.6</v>
      </c>
      <c r="F852" s="1" t="s">
        <v>48</v>
      </c>
      <c r="G852" s="1" t="s">
        <v>204</v>
      </c>
      <c r="H852" s="1" t="s">
        <v>50</v>
      </c>
      <c r="I852" s="1" t="s">
        <v>19</v>
      </c>
      <c r="J852" s="1" t="s">
        <v>99</v>
      </c>
      <c r="K852" s="1" t="s">
        <v>36</v>
      </c>
      <c r="L852" s="1" t="s">
        <v>37</v>
      </c>
      <c r="M852" s="1">
        <v>299</v>
      </c>
    </row>
    <row r="853" spans="1:13" ht="15.75" customHeight="1">
      <c r="A853" s="1">
        <v>862</v>
      </c>
      <c r="B853" s="1" t="s">
        <v>60</v>
      </c>
      <c r="C853" s="1" t="s">
        <v>914</v>
      </c>
      <c r="D853" s="1" t="s">
        <v>102</v>
      </c>
      <c r="E853" s="1">
        <v>15.6</v>
      </c>
      <c r="F853" s="1" t="s">
        <v>32</v>
      </c>
      <c r="G853" s="1" t="s">
        <v>155</v>
      </c>
      <c r="H853" s="1" t="s">
        <v>40</v>
      </c>
      <c r="I853" s="1" t="s">
        <v>104</v>
      </c>
      <c r="J853" s="1" t="s">
        <v>157</v>
      </c>
      <c r="K853" s="1" t="s">
        <v>53</v>
      </c>
      <c r="L853" s="1" t="s">
        <v>54</v>
      </c>
      <c r="M853" s="1">
        <v>1899</v>
      </c>
    </row>
    <row r="854" spans="1:13" ht="15.75" customHeight="1">
      <c r="A854" s="1">
        <v>863</v>
      </c>
      <c r="B854" s="1" t="s">
        <v>74</v>
      </c>
      <c r="C854" s="1" t="s">
        <v>915</v>
      </c>
      <c r="D854" s="1" t="s">
        <v>31</v>
      </c>
      <c r="E854" s="1">
        <v>17.3</v>
      </c>
      <c r="F854" s="1" t="s">
        <v>32</v>
      </c>
      <c r="G854" s="1" t="s">
        <v>83</v>
      </c>
      <c r="H854" s="1" t="s">
        <v>18</v>
      </c>
      <c r="I854" s="1" t="s">
        <v>89</v>
      </c>
      <c r="J854" s="1" t="s">
        <v>280</v>
      </c>
      <c r="K854" s="1" t="s">
        <v>147</v>
      </c>
      <c r="L854" s="1" t="s">
        <v>916</v>
      </c>
      <c r="M854" s="1">
        <v>865</v>
      </c>
    </row>
    <row r="855" spans="1:13" ht="15.75" customHeight="1">
      <c r="A855" s="1">
        <v>864</v>
      </c>
      <c r="B855" s="1" t="s">
        <v>86</v>
      </c>
      <c r="C855" s="1" t="s">
        <v>917</v>
      </c>
      <c r="D855" s="1" t="s">
        <v>15</v>
      </c>
      <c r="E855" s="1">
        <v>14</v>
      </c>
      <c r="F855" s="1" t="s">
        <v>66</v>
      </c>
      <c r="G855" s="1" t="s">
        <v>155</v>
      </c>
      <c r="H855" s="1" t="s">
        <v>18</v>
      </c>
      <c r="I855" s="1" t="s">
        <v>34</v>
      </c>
      <c r="J855" s="1" t="s">
        <v>523</v>
      </c>
      <c r="K855" s="1" t="s">
        <v>53</v>
      </c>
      <c r="L855" s="1" t="s">
        <v>232</v>
      </c>
      <c r="M855" s="1">
        <v>1903</v>
      </c>
    </row>
    <row r="856" spans="1:13" ht="15.75" customHeight="1">
      <c r="A856" s="1">
        <v>865</v>
      </c>
      <c r="B856" s="1" t="s">
        <v>60</v>
      </c>
      <c r="C856" s="1" t="s">
        <v>918</v>
      </c>
      <c r="D856" s="1" t="s">
        <v>31</v>
      </c>
      <c r="E856" s="1">
        <v>15.6</v>
      </c>
      <c r="F856" s="1" t="s">
        <v>66</v>
      </c>
      <c r="G856" s="1" t="s">
        <v>83</v>
      </c>
      <c r="H856" s="1" t="s">
        <v>18</v>
      </c>
      <c r="I856" s="1" t="s">
        <v>34</v>
      </c>
      <c r="J856" s="1" t="s">
        <v>919</v>
      </c>
      <c r="K856" s="1" t="s">
        <v>53</v>
      </c>
      <c r="L856" s="1" t="s">
        <v>116</v>
      </c>
      <c r="M856" s="1">
        <v>787</v>
      </c>
    </row>
    <row r="857" spans="1:13" ht="15.75" customHeight="1">
      <c r="A857" s="1">
        <v>866</v>
      </c>
      <c r="B857" s="1" t="s">
        <v>74</v>
      </c>
      <c r="C857" s="1" t="s">
        <v>663</v>
      </c>
      <c r="D857" s="1" t="s">
        <v>31</v>
      </c>
      <c r="E857" s="1">
        <v>15.6</v>
      </c>
      <c r="F857" s="1" t="s">
        <v>32</v>
      </c>
      <c r="G857" s="1" t="s">
        <v>33</v>
      </c>
      <c r="H857" s="1" t="s">
        <v>18</v>
      </c>
      <c r="I857" s="1" t="s">
        <v>19</v>
      </c>
      <c r="J857" s="1" t="s">
        <v>35</v>
      </c>
      <c r="K857" s="1" t="s">
        <v>53</v>
      </c>
      <c r="L857" s="1" t="s">
        <v>207</v>
      </c>
      <c r="M857" s="1">
        <v>945</v>
      </c>
    </row>
    <row r="858" spans="1:13" ht="15.75" customHeight="1">
      <c r="A858" s="1">
        <v>867</v>
      </c>
      <c r="B858" s="1" t="s">
        <v>60</v>
      </c>
      <c r="C858" s="1" t="s">
        <v>920</v>
      </c>
      <c r="D858" s="1" t="s">
        <v>31</v>
      </c>
      <c r="E858" s="1">
        <v>15.6</v>
      </c>
      <c r="F858" s="1" t="s">
        <v>48</v>
      </c>
      <c r="G858" s="1" t="s">
        <v>173</v>
      </c>
      <c r="H858" s="1" t="s">
        <v>50</v>
      </c>
      <c r="I858" s="1" t="s">
        <v>89</v>
      </c>
      <c r="J858" s="1" t="s">
        <v>329</v>
      </c>
      <c r="K858" s="1" t="s">
        <v>53</v>
      </c>
      <c r="L858" s="1" t="s">
        <v>153</v>
      </c>
      <c r="M858" s="1">
        <v>449</v>
      </c>
    </row>
    <row r="859" spans="1:13" ht="15.75" customHeight="1">
      <c r="A859" s="1">
        <v>868</v>
      </c>
      <c r="B859" s="1" t="s">
        <v>29</v>
      </c>
      <c r="C859" s="1" t="s">
        <v>475</v>
      </c>
      <c r="D859" s="1" t="s">
        <v>111</v>
      </c>
      <c r="E859" s="1">
        <v>13.3</v>
      </c>
      <c r="F859" s="1" t="s">
        <v>112</v>
      </c>
      <c r="G859" s="1" t="s">
        <v>476</v>
      </c>
      <c r="H859" s="1" t="s">
        <v>18</v>
      </c>
      <c r="I859" s="1" t="s">
        <v>34</v>
      </c>
      <c r="J859" s="1" t="s">
        <v>35</v>
      </c>
      <c r="K859" s="1" t="s">
        <v>53</v>
      </c>
      <c r="L859" s="1" t="s">
        <v>477</v>
      </c>
      <c r="M859" s="1">
        <v>2559</v>
      </c>
    </row>
    <row r="860" spans="1:13" ht="15.75" customHeight="1">
      <c r="A860" s="1">
        <v>869</v>
      </c>
      <c r="B860" s="1" t="s">
        <v>74</v>
      </c>
      <c r="C860" s="1" t="s">
        <v>921</v>
      </c>
      <c r="D860" s="1" t="s">
        <v>31</v>
      </c>
      <c r="E860" s="1">
        <v>13.3</v>
      </c>
      <c r="F860" s="1" t="s">
        <v>112</v>
      </c>
      <c r="G860" s="1" t="s">
        <v>295</v>
      </c>
      <c r="H860" s="1" t="s">
        <v>18</v>
      </c>
      <c r="I860" s="1" t="s">
        <v>89</v>
      </c>
      <c r="J860" s="1" t="s">
        <v>71</v>
      </c>
      <c r="K860" s="1" t="s">
        <v>53</v>
      </c>
      <c r="L860" s="1" t="s">
        <v>113</v>
      </c>
      <c r="M860" s="1">
        <v>649</v>
      </c>
    </row>
    <row r="861" spans="1:13" ht="15.75" customHeight="1">
      <c r="A861" s="1">
        <v>870</v>
      </c>
      <c r="B861" s="1" t="s">
        <v>86</v>
      </c>
      <c r="C861" s="1" t="s">
        <v>721</v>
      </c>
      <c r="D861" s="1" t="s">
        <v>31</v>
      </c>
      <c r="E861" s="1">
        <v>15.6</v>
      </c>
      <c r="F861" s="1" t="s">
        <v>32</v>
      </c>
      <c r="G861" s="1" t="s">
        <v>446</v>
      </c>
      <c r="H861" s="1" t="s">
        <v>50</v>
      </c>
      <c r="I861" s="1" t="s">
        <v>89</v>
      </c>
      <c r="J861" s="1" t="s">
        <v>71</v>
      </c>
      <c r="K861" s="1" t="s">
        <v>36</v>
      </c>
      <c r="L861" s="1" t="s">
        <v>77</v>
      </c>
      <c r="M861" s="1">
        <v>469</v>
      </c>
    </row>
    <row r="862" spans="1:13" ht="15.75" customHeight="1">
      <c r="A862" s="1">
        <v>871</v>
      </c>
      <c r="B862" s="1" t="s">
        <v>86</v>
      </c>
      <c r="C862" s="1" t="s">
        <v>632</v>
      </c>
      <c r="D862" s="1" t="s">
        <v>31</v>
      </c>
      <c r="E862" s="1">
        <v>15.6</v>
      </c>
      <c r="F862" s="1" t="s">
        <v>66</v>
      </c>
      <c r="G862" s="1" t="s">
        <v>33</v>
      </c>
      <c r="H862" s="1" t="s">
        <v>18</v>
      </c>
      <c r="I862" s="1" t="s">
        <v>89</v>
      </c>
      <c r="J862" s="1" t="s">
        <v>35</v>
      </c>
      <c r="K862" s="1" t="s">
        <v>53</v>
      </c>
      <c r="L862" s="1" t="s">
        <v>116</v>
      </c>
      <c r="M862" s="1">
        <v>850.66</v>
      </c>
    </row>
    <row r="863" spans="1:13" ht="15.75" customHeight="1">
      <c r="A863" s="1">
        <v>872</v>
      </c>
      <c r="B863" s="1" t="s">
        <v>29</v>
      </c>
      <c r="C863" s="1" t="s">
        <v>724</v>
      </c>
      <c r="D863" s="1" t="s">
        <v>31</v>
      </c>
      <c r="E863" s="1">
        <v>15.6</v>
      </c>
      <c r="F863" s="1" t="s">
        <v>32</v>
      </c>
      <c r="G863" s="1" t="s">
        <v>505</v>
      </c>
      <c r="H863" s="1" t="s">
        <v>18</v>
      </c>
      <c r="I863" s="1" t="s">
        <v>34</v>
      </c>
      <c r="J863" s="1" t="s">
        <v>922</v>
      </c>
      <c r="K863" s="1" t="s">
        <v>53</v>
      </c>
      <c r="L863" s="1" t="s">
        <v>507</v>
      </c>
      <c r="M863" s="1">
        <v>1349</v>
      </c>
    </row>
    <row r="864" spans="1:13" ht="15.75" customHeight="1">
      <c r="A864" s="1">
        <v>873</v>
      </c>
      <c r="B864" s="1" t="s">
        <v>293</v>
      </c>
      <c r="C864" s="1" t="s">
        <v>923</v>
      </c>
      <c r="D864" s="1" t="s">
        <v>31</v>
      </c>
      <c r="E864" s="1">
        <v>13.3</v>
      </c>
      <c r="F864" s="1" t="s">
        <v>32</v>
      </c>
      <c r="G864" s="1" t="s">
        <v>33</v>
      </c>
      <c r="H864" s="1" t="s">
        <v>50</v>
      </c>
      <c r="I864" s="1" t="s">
        <v>19</v>
      </c>
      <c r="J864" s="1" t="s">
        <v>35</v>
      </c>
      <c r="K864" s="1" t="s">
        <v>53</v>
      </c>
      <c r="L864" s="1" t="s">
        <v>333</v>
      </c>
      <c r="M864" s="1">
        <v>1285</v>
      </c>
    </row>
    <row r="865" spans="1:13" ht="15.75" customHeight="1">
      <c r="A865" s="1">
        <v>874</v>
      </c>
      <c r="B865" s="1" t="s">
        <v>86</v>
      </c>
      <c r="C865" s="1" t="s">
        <v>101</v>
      </c>
      <c r="D865" s="1" t="s">
        <v>102</v>
      </c>
      <c r="E865" s="1">
        <v>15.6</v>
      </c>
      <c r="F865" s="1" t="s">
        <v>66</v>
      </c>
      <c r="G865" s="1" t="s">
        <v>103</v>
      </c>
      <c r="H865" s="1" t="s">
        <v>18</v>
      </c>
      <c r="I865" s="1" t="s">
        <v>89</v>
      </c>
      <c r="J865" s="1" t="s">
        <v>105</v>
      </c>
      <c r="K865" s="1" t="s">
        <v>36</v>
      </c>
      <c r="L865" s="1" t="s">
        <v>106</v>
      </c>
      <c r="M865" s="1">
        <v>1017</v>
      </c>
    </row>
    <row r="866" spans="1:13" ht="15.75" customHeight="1">
      <c r="A866" s="1">
        <v>875</v>
      </c>
      <c r="B866" s="1" t="s">
        <v>74</v>
      </c>
      <c r="C866" s="1" t="s">
        <v>91</v>
      </c>
      <c r="D866" s="1" t="s">
        <v>15</v>
      </c>
      <c r="E866" s="1">
        <v>13.3</v>
      </c>
      <c r="F866" s="1" t="s">
        <v>262</v>
      </c>
      <c r="G866" s="1" t="s">
        <v>605</v>
      </c>
      <c r="H866" s="1" t="s">
        <v>40</v>
      </c>
      <c r="I866" s="1" t="s">
        <v>41</v>
      </c>
      <c r="J866" s="1" t="s">
        <v>20</v>
      </c>
      <c r="K866" s="1" t="s">
        <v>53</v>
      </c>
      <c r="L866" s="1" t="s">
        <v>345</v>
      </c>
      <c r="M866" s="1">
        <v>2240</v>
      </c>
    </row>
    <row r="867" spans="1:13" ht="15.75" customHeight="1">
      <c r="A867" s="1">
        <v>876</v>
      </c>
      <c r="B867" s="1" t="s">
        <v>29</v>
      </c>
      <c r="C867" s="1" t="s">
        <v>658</v>
      </c>
      <c r="D867" s="1" t="s">
        <v>31</v>
      </c>
      <c r="E867" s="1">
        <v>15.6</v>
      </c>
      <c r="F867" s="1" t="s">
        <v>32</v>
      </c>
      <c r="G867" s="1" t="s">
        <v>295</v>
      </c>
      <c r="H867" s="1" t="s">
        <v>50</v>
      </c>
      <c r="I867" s="1" t="s">
        <v>51</v>
      </c>
      <c r="J867" s="1" t="s">
        <v>71</v>
      </c>
      <c r="K867" s="1" t="s">
        <v>53</v>
      </c>
      <c r="L867" s="1" t="s">
        <v>924</v>
      </c>
      <c r="M867" s="1">
        <v>910</v>
      </c>
    </row>
    <row r="868" spans="1:13" ht="15.75" customHeight="1">
      <c r="A868" s="1">
        <v>877</v>
      </c>
      <c r="B868" s="1" t="s">
        <v>293</v>
      </c>
      <c r="C868" s="1" t="s">
        <v>925</v>
      </c>
      <c r="D868" s="1" t="s">
        <v>15</v>
      </c>
      <c r="E868" s="1">
        <v>13.3</v>
      </c>
      <c r="F868" s="1" t="s">
        <v>48</v>
      </c>
      <c r="G868" s="1" t="s">
        <v>295</v>
      </c>
      <c r="H868" s="1" t="s">
        <v>18</v>
      </c>
      <c r="I868" s="1" t="s">
        <v>34</v>
      </c>
      <c r="J868" s="1" t="s">
        <v>71</v>
      </c>
      <c r="K868" s="1" t="s">
        <v>53</v>
      </c>
      <c r="L868" s="1" t="s">
        <v>141</v>
      </c>
      <c r="M868" s="1">
        <v>1095</v>
      </c>
    </row>
    <row r="869" spans="1:13" ht="15.75" customHeight="1">
      <c r="A869" s="1">
        <v>878</v>
      </c>
      <c r="B869" s="1" t="s">
        <v>86</v>
      </c>
      <c r="C869" s="1" t="s">
        <v>265</v>
      </c>
      <c r="D869" s="1" t="s">
        <v>111</v>
      </c>
      <c r="E869" s="1">
        <v>13.3</v>
      </c>
      <c r="F869" s="1" t="s">
        <v>92</v>
      </c>
      <c r="G869" s="1" t="s">
        <v>83</v>
      </c>
      <c r="H869" s="1" t="s">
        <v>18</v>
      </c>
      <c r="I869" s="1" t="s">
        <v>34</v>
      </c>
      <c r="J869" s="1" t="s">
        <v>35</v>
      </c>
      <c r="K869" s="1" t="s">
        <v>53</v>
      </c>
      <c r="L869" s="1" t="s">
        <v>22</v>
      </c>
      <c r="M869" s="1">
        <v>1950</v>
      </c>
    </row>
    <row r="870" spans="1:13" ht="15.75" customHeight="1">
      <c r="A870" s="1">
        <v>879</v>
      </c>
      <c r="B870" s="1" t="s">
        <v>46</v>
      </c>
      <c r="C870" s="1" t="s">
        <v>926</v>
      </c>
      <c r="D870" s="1" t="s">
        <v>31</v>
      </c>
      <c r="E870" s="1">
        <v>14</v>
      </c>
      <c r="F870" s="1" t="s">
        <v>66</v>
      </c>
      <c r="G870" s="1" t="s">
        <v>33</v>
      </c>
      <c r="H870" s="1" t="s">
        <v>18</v>
      </c>
      <c r="I870" s="1" t="s">
        <v>34</v>
      </c>
      <c r="J870" s="1" t="s">
        <v>35</v>
      </c>
      <c r="K870" s="1" t="s">
        <v>53</v>
      </c>
      <c r="L870" s="1" t="s">
        <v>321</v>
      </c>
      <c r="M870" s="1">
        <v>902</v>
      </c>
    </row>
    <row r="871" spans="1:13" ht="15.75" customHeight="1">
      <c r="A871" s="1">
        <v>880</v>
      </c>
      <c r="B871" s="1" t="s">
        <v>74</v>
      </c>
      <c r="C871" s="1" t="s">
        <v>601</v>
      </c>
      <c r="D871" s="1" t="s">
        <v>378</v>
      </c>
      <c r="E871" s="1">
        <v>15.6</v>
      </c>
      <c r="F871" s="1" t="s">
        <v>32</v>
      </c>
      <c r="G871" s="1" t="s">
        <v>155</v>
      </c>
      <c r="H871" s="1" t="s">
        <v>18</v>
      </c>
      <c r="I871" s="1" t="s">
        <v>89</v>
      </c>
      <c r="J871" s="1" t="s">
        <v>603</v>
      </c>
      <c r="K871" s="1" t="s">
        <v>53</v>
      </c>
      <c r="L871" s="1" t="s">
        <v>375</v>
      </c>
      <c r="M871" s="1">
        <v>1778</v>
      </c>
    </row>
    <row r="872" spans="1:13" ht="15.75" customHeight="1">
      <c r="A872" s="1">
        <v>881</v>
      </c>
      <c r="B872" s="1" t="s">
        <v>86</v>
      </c>
      <c r="C872" s="1" t="s">
        <v>645</v>
      </c>
      <c r="D872" s="1" t="s">
        <v>31</v>
      </c>
      <c r="E872" s="1">
        <v>15.6</v>
      </c>
      <c r="F872" s="1" t="s">
        <v>48</v>
      </c>
      <c r="G872" s="1" t="s">
        <v>33</v>
      </c>
      <c r="H872" s="1" t="s">
        <v>50</v>
      </c>
      <c r="I872" s="1" t="s">
        <v>51</v>
      </c>
      <c r="J872" s="1" t="s">
        <v>35</v>
      </c>
      <c r="K872" s="1" t="s">
        <v>53</v>
      </c>
      <c r="L872" s="1" t="s">
        <v>927</v>
      </c>
      <c r="M872" s="1">
        <v>1055</v>
      </c>
    </row>
    <row r="873" spans="1:13" ht="15.75" customHeight="1">
      <c r="A873" s="1">
        <v>882</v>
      </c>
      <c r="B873" s="1" t="s">
        <v>86</v>
      </c>
      <c r="C873" s="1" t="s">
        <v>721</v>
      </c>
      <c r="D873" s="1" t="s">
        <v>31</v>
      </c>
      <c r="E873" s="1">
        <v>15.6</v>
      </c>
      <c r="F873" s="1" t="s">
        <v>32</v>
      </c>
      <c r="G873" s="1" t="s">
        <v>70</v>
      </c>
      <c r="H873" s="1" t="s">
        <v>50</v>
      </c>
      <c r="I873" s="1" t="s">
        <v>89</v>
      </c>
      <c r="J873" s="1" t="s">
        <v>76</v>
      </c>
      <c r="K873" s="1" t="s">
        <v>36</v>
      </c>
      <c r="L873" s="1" t="s">
        <v>77</v>
      </c>
      <c r="M873" s="1">
        <v>479</v>
      </c>
    </row>
    <row r="874" spans="1:13" ht="15.75" customHeight="1">
      <c r="A874" s="1">
        <v>883</v>
      </c>
      <c r="B874" s="1" t="s">
        <v>293</v>
      </c>
      <c r="C874" s="1" t="s">
        <v>928</v>
      </c>
      <c r="D874" s="1" t="s">
        <v>31</v>
      </c>
      <c r="E874" s="1">
        <v>15.6</v>
      </c>
      <c r="F874" s="1" t="s">
        <v>66</v>
      </c>
      <c r="G874" s="1" t="s">
        <v>83</v>
      </c>
      <c r="H874" s="1" t="s">
        <v>18</v>
      </c>
      <c r="I874" s="1" t="s">
        <v>34</v>
      </c>
      <c r="J874" s="1" t="s">
        <v>35</v>
      </c>
      <c r="K874" s="1" t="s">
        <v>53</v>
      </c>
      <c r="L874" s="1" t="s">
        <v>347</v>
      </c>
      <c r="M874" s="1">
        <v>1388</v>
      </c>
    </row>
    <row r="875" spans="1:13" ht="15.75" customHeight="1">
      <c r="A875" s="1">
        <v>884</v>
      </c>
      <c r="B875" s="1" t="s">
        <v>86</v>
      </c>
      <c r="C875" s="1" t="s">
        <v>582</v>
      </c>
      <c r="D875" s="1" t="s">
        <v>31</v>
      </c>
      <c r="E875" s="1">
        <v>13.3</v>
      </c>
      <c r="F875" s="1" t="s">
        <v>66</v>
      </c>
      <c r="G875" s="1" t="s">
        <v>88</v>
      </c>
      <c r="H875" s="1" t="s">
        <v>50</v>
      </c>
      <c r="I875" s="1" t="s">
        <v>629</v>
      </c>
      <c r="J875" s="1" t="s">
        <v>35</v>
      </c>
      <c r="K875" s="1" t="s">
        <v>53</v>
      </c>
      <c r="L875" s="1" t="s">
        <v>145</v>
      </c>
      <c r="M875" s="1">
        <v>735</v>
      </c>
    </row>
    <row r="876" spans="1:13" ht="15.75" customHeight="1">
      <c r="A876" s="1">
        <v>885</v>
      </c>
      <c r="B876" s="1" t="s">
        <v>580</v>
      </c>
      <c r="C876" s="1" t="s">
        <v>840</v>
      </c>
      <c r="D876" s="1" t="s">
        <v>15</v>
      </c>
      <c r="E876" s="1">
        <v>15</v>
      </c>
      <c r="F876" s="1" t="s">
        <v>32</v>
      </c>
      <c r="G876" s="1" t="s">
        <v>83</v>
      </c>
      <c r="H876" s="1" t="s">
        <v>40</v>
      </c>
      <c r="I876" s="1" t="s">
        <v>34</v>
      </c>
      <c r="J876" s="1" t="s">
        <v>90</v>
      </c>
      <c r="K876" s="1" t="s">
        <v>53</v>
      </c>
      <c r="L876" s="1" t="s">
        <v>264</v>
      </c>
      <c r="M876" s="1">
        <v>1849</v>
      </c>
    </row>
    <row r="877" spans="1:13" ht="15.75" customHeight="1">
      <c r="A877" s="1">
        <v>886</v>
      </c>
      <c r="B877" s="1" t="s">
        <v>74</v>
      </c>
      <c r="C877" s="1" t="s">
        <v>854</v>
      </c>
      <c r="D877" s="1" t="s">
        <v>15</v>
      </c>
      <c r="E877" s="1">
        <v>12.5</v>
      </c>
      <c r="F877" s="1" t="s">
        <v>32</v>
      </c>
      <c r="G877" s="1" t="s">
        <v>476</v>
      </c>
      <c r="H877" s="1" t="s">
        <v>18</v>
      </c>
      <c r="I877" s="1" t="s">
        <v>34</v>
      </c>
      <c r="J877" s="1" t="s">
        <v>35</v>
      </c>
      <c r="K877" s="1" t="s">
        <v>53</v>
      </c>
      <c r="L877" s="1" t="s">
        <v>69</v>
      </c>
      <c r="M877" s="1">
        <v>1690</v>
      </c>
    </row>
    <row r="878" spans="1:13" ht="15.75" customHeight="1">
      <c r="A878" s="1">
        <v>887</v>
      </c>
      <c r="B878" s="1" t="s">
        <v>60</v>
      </c>
      <c r="C878" s="1" t="s">
        <v>929</v>
      </c>
      <c r="D878" s="1" t="s">
        <v>31</v>
      </c>
      <c r="E878" s="1">
        <v>15.6</v>
      </c>
      <c r="F878" s="1" t="s">
        <v>48</v>
      </c>
      <c r="G878" s="1" t="s">
        <v>173</v>
      </c>
      <c r="H878" s="1" t="s">
        <v>50</v>
      </c>
      <c r="I878" s="1" t="s">
        <v>89</v>
      </c>
      <c r="J878" s="1" t="s">
        <v>329</v>
      </c>
      <c r="K878" s="1" t="s">
        <v>147</v>
      </c>
      <c r="L878" s="1" t="s">
        <v>153</v>
      </c>
      <c r="M878" s="1">
        <v>398.99</v>
      </c>
    </row>
    <row r="879" spans="1:13" ht="15.75" customHeight="1">
      <c r="A879" s="1">
        <v>888</v>
      </c>
      <c r="B879" s="1" t="s">
        <v>348</v>
      </c>
      <c r="C879" s="1" t="s">
        <v>349</v>
      </c>
      <c r="D879" s="1" t="s">
        <v>15</v>
      </c>
      <c r="E879" s="1">
        <v>13.3</v>
      </c>
      <c r="F879" s="1" t="s">
        <v>66</v>
      </c>
      <c r="G879" s="1" t="s">
        <v>295</v>
      </c>
      <c r="H879" s="1" t="s">
        <v>18</v>
      </c>
      <c r="I879" s="1" t="s">
        <v>34</v>
      </c>
      <c r="J879" s="1" t="s">
        <v>90</v>
      </c>
      <c r="K879" s="1" t="s">
        <v>53</v>
      </c>
      <c r="L879" s="1" t="s">
        <v>477</v>
      </c>
      <c r="M879" s="1">
        <v>935</v>
      </c>
    </row>
    <row r="880" spans="1:13" ht="15.75" customHeight="1">
      <c r="A880" s="1">
        <v>889</v>
      </c>
      <c r="B880" s="1" t="s">
        <v>74</v>
      </c>
      <c r="C880" s="1" t="s">
        <v>653</v>
      </c>
      <c r="D880" s="1" t="s">
        <v>31</v>
      </c>
      <c r="E880" s="1">
        <v>15.6</v>
      </c>
      <c r="F880" s="1" t="s">
        <v>32</v>
      </c>
      <c r="G880" s="1" t="s">
        <v>33</v>
      </c>
      <c r="H880" s="1" t="s">
        <v>50</v>
      </c>
      <c r="I880" s="1" t="s">
        <v>104</v>
      </c>
      <c r="J880" s="1" t="s">
        <v>90</v>
      </c>
      <c r="K880" s="1" t="s">
        <v>53</v>
      </c>
      <c r="L880" s="1" t="s">
        <v>433</v>
      </c>
      <c r="M880" s="1">
        <v>912.5</v>
      </c>
    </row>
    <row r="881" spans="1:13" ht="15.75" customHeight="1">
      <c r="A881" s="1">
        <v>890</v>
      </c>
      <c r="B881" s="1" t="s">
        <v>29</v>
      </c>
      <c r="C881" s="1" t="s">
        <v>150</v>
      </c>
      <c r="D881" s="1" t="s">
        <v>31</v>
      </c>
      <c r="E881" s="1">
        <v>15.6</v>
      </c>
      <c r="F881" s="1" t="s">
        <v>32</v>
      </c>
      <c r="G881" s="1" t="s">
        <v>33</v>
      </c>
      <c r="H881" s="1" t="s">
        <v>50</v>
      </c>
      <c r="I881" s="1" t="s">
        <v>34</v>
      </c>
      <c r="J881" s="1" t="s">
        <v>35</v>
      </c>
      <c r="K881" s="1" t="s">
        <v>53</v>
      </c>
      <c r="L881" s="1" t="s">
        <v>59</v>
      </c>
      <c r="M881" s="1">
        <v>839</v>
      </c>
    </row>
    <row r="882" spans="1:13" ht="15.75" customHeight="1">
      <c r="A882" s="1">
        <v>891</v>
      </c>
      <c r="B882" s="1" t="s">
        <v>29</v>
      </c>
      <c r="C882" s="1" t="s">
        <v>475</v>
      </c>
      <c r="D882" s="1" t="s">
        <v>111</v>
      </c>
      <c r="E882" s="1">
        <v>13.3</v>
      </c>
      <c r="F882" s="1" t="s">
        <v>112</v>
      </c>
      <c r="G882" s="1" t="s">
        <v>33</v>
      </c>
      <c r="H882" s="1" t="s">
        <v>50</v>
      </c>
      <c r="I882" s="1" t="s">
        <v>34</v>
      </c>
      <c r="J882" s="1" t="s">
        <v>35</v>
      </c>
      <c r="K882" s="1" t="s">
        <v>53</v>
      </c>
      <c r="L882" s="1" t="s">
        <v>477</v>
      </c>
      <c r="M882" s="1">
        <v>1700</v>
      </c>
    </row>
    <row r="883" spans="1:13" ht="15.75" customHeight="1">
      <c r="A883" s="1">
        <v>892</v>
      </c>
      <c r="B883" s="1" t="s">
        <v>29</v>
      </c>
      <c r="C883" s="1" t="s">
        <v>930</v>
      </c>
      <c r="D883" s="1" t="s">
        <v>111</v>
      </c>
      <c r="E883" s="1">
        <v>15.6</v>
      </c>
      <c r="F883" s="1" t="s">
        <v>382</v>
      </c>
      <c r="G883" s="1" t="s">
        <v>33</v>
      </c>
      <c r="H883" s="1" t="s">
        <v>50</v>
      </c>
      <c r="I883" s="1" t="s">
        <v>51</v>
      </c>
      <c r="J883" s="1" t="s">
        <v>35</v>
      </c>
      <c r="K883" s="1" t="s">
        <v>53</v>
      </c>
      <c r="L883" s="1" t="s">
        <v>116</v>
      </c>
      <c r="M883" s="1">
        <v>684.8</v>
      </c>
    </row>
    <row r="884" spans="1:13" ht="15.75" customHeight="1">
      <c r="A884" s="1">
        <v>893</v>
      </c>
      <c r="B884" s="1" t="s">
        <v>60</v>
      </c>
      <c r="C884" s="1" t="s">
        <v>931</v>
      </c>
      <c r="D884" s="1" t="s">
        <v>31</v>
      </c>
      <c r="E884" s="1">
        <v>14.1</v>
      </c>
      <c r="F884" s="1" t="s">
        <v>48</v>
      </c>
      <c r="G884" s="1" t="s">
        <v>143</v>
      </c>
      <c r="H884" s="1" t="s">
        <v>50</v>
      </c>
      <c r="I884" s="1" t="s">
        <v>98</v>
      </c>
      <c r="J884" s="1" t="s">
        <v>144</v>
      </c>
      <c r="K884" s="1" t="s">
        <v>53</v>
      </c>
      <c r="L884" s="1" t="s">
        <v>136</v>
      </c>
      <c r="M884" s="1">
        <v>348</v>
      </c>
    </row>
    <row r="885" spans="1:13" ht="15.75" customHeight="1">
      <c r="A885" s="1">
        <v>894</v>
      </c>
      <c r="B885" s="1" t="s">
        <v>86</v>
      </c>
      <c r="C885" s="1" t="s">
        <v>932</v>
      </c>
      <c r="D885" s="1" t="s">
        <v>31</v>
      </c>
      <c r="E885" s="1">
        <v>15.6</v>
      </c>
      <c r="F885" s="1" t="s">
        <v>66</v>
      </c>
      <c r="G885" s="1" t="s">
        <v>389</v>
      </c>
      <c r="H885" s="1" t="s">
        <v>18</v>
      </c>
      <c r="I885" s="1" t="s">
        <v>89</v>
      </c>
      <c r="J885" s="1" t="s">
        <v>90</v>
      </c>
      <c r="K885" s="1" t="s">
        <v>53</v>
      </c>
      <c r="L885" s="1" t="s">
        <v>77</v>
      </c>
      <c r="M885" s="1">
        <v>669</v>
      </c>
    </row>
    <row r="886" spans="1:13" ht="15.75" customHeight="1">
      <c r="A886" s="1">
        <v>895</v>
      </c>
      <c r="B886" s="1" t="s">
        <v>74</v>
      </c>
      <c r="C886" s="1" t="s">
        <v>509</v>
      </c>
      <c r="D886" s="1" t="s">
        <v>31</v>
      </c>
      <c r="E886" s="1">
        <v>15.6</v>
      </c>
      <c r="F886" s="1" t="s">
        <v>48</v>
      </c>
      <c r="G886" s="1" t="s">
        <v>491</v>
      </c>
      <c r="H886" s="1" t="s">
        <v>50</v>
      </c>
      <c r="I886" s="1" t="s">
        <v>51</v>
      </c>
      <c r="J886" s="1" t="s">
        <v>132</v>
      </c>
      <c r="K886" s="1" t="s">
        <v>53</v>
      </c>
      <c r="L886" s="1" t="s">
        <v>77</v>
      </c>
      <c r="M886" s="1">
        <v>369</v>
      </c>
    </row>
    <row r="887" spans="1:13" ht="15.75" customHeight="1">
      <c r="A887" s="1">
        <v>896</v>
      </c>
      <c r="B887" s="1" t="s">
        <v>29</v>
      </c>
      <c r="C887" s="1" t="s">
        <v>475</v>
      </c>
      <c r="D887" s="1" t="s">
        <v>111</v>
      </c>
      <c r="E887" s="1">
        <v>13.3</v>
      </c>
      <c r="F887" s="1" t="s">
        <v>112</v>
      </c>
      <c r="G887" s="1" t="s">
        <v>33</v>
      </c>
      <c r="H887" s="1" t="s">
        <v>50</v>
      </c>
      <c r="I887" s="1" t="s">
        <v>34</v>
      </c>
      <c r="J887" s="1" t="s">
        <v>35</v>
      </c>
      <c r="K887" s="1" t="s">
        <v>53</v>
      </c>
      <c r="L887" s="1" t="s">
        <v>477</v>
      </c>
      <c r="M887" s="1">
        <v>1799</v>
      </c>
    </row>
    <row r="888" spans="1:13" ht="15.75" customHeight="1">
      <c r="A888" s="1">
        <v>897</v>
      </c>
      <c r="B888" s="1" t="s">
        <v>74</v>
      </c>
      <c r="C888" s="1" t="s">
        <v>432</v>
      </c>
      <c r="D888" s="1" t="s">
        <v>31</v>
      </c>
      <c r="E888" s="1">
        <v>15.6</v>
      </c>
      <c r="F888" s="1" t="s">
        <v>48</v>
      </c>
      <c r="G888" s="1" t="s">
        <v>446</v>
      </c>
      <c r="H888" s="1" t="s">
        <v>50</v>
      </c>
      <c r="I888" s="1" t="s">
        <v>89</v>
      </c>
      <c r="J888" s="1" t="s">
        <v>887</v>
      </c>
      <c r="K888" s="1" t="s">
        <v>147</v>
      </c>
      <c r="L888" s="1" t="s">
        <v>433</v>
      </c>
      <c r="M888" s="1">
        <v>455.7</v>
      </c>
    </row>
    <row r="889" spans="1:13" ht="15.75" customHeight="1">
      <c r="A889" s="1">
        <v>898</v>
      </c>
      <c r="B889" s="1" t="s">
        <v>60</v>
      </c>
      <c r="C889" s="1" t="s">
        <v>933</v>
      </c>
      <c r="D889" s="1" t="s">
        <v>102</v>
      </c>
      <c r="E889" s="1">
        <v>17.3</v>
      </c>
      <c r="F889" s="1" t="s">
        <v>32</v>
      </c>
      <c r="G889" s="1" t="s">
        <v>103</v>
      </c>
      <c r="H889" s="1" t="s">
        <v>162</v>
      </c>
      <c r="I889" s="1" t="s">
        <v>104</v>
      </c>
      <c r="J889" s="1" t="s">
        <v>105</v>
      </c>
      <c r="K889" s="1" t="s">
        <v>53</v>
      </c>
      <c r="L889" s="1" t="s">
        <v>77</v>
      </c>
      <c r="M889" s="1">
        <v>1369.9</v>
      </c>
    </row>
    <row r="890" spans="1:13" ht="15.75" customHeight="1">
      <c r="A890" s="1">
        <v>899</v>
      </c>
      <c r="B890" s="1" t="s">
        <v>46</v>
      </c>
      <c r="C890" s="1" t="s">
        <v>934</v>
      </c>
      <c r="D890" s="1" t="s">
        <v>95</v>
      </c>
      <c r="E890" s="1">
        <v>11.6</v>
      </c>
      <c r="F890" s="1" t="s">
        <v>267</v>
      </c>
      <c r="G890" s="1" t="s">
        <v>204</v>
      </c>
      <c r="H890" s="1" t="s">
        <v>50</v>
      </c>
      <c r="I890" s="1" t="s">
        <v>98</v>
      </c>
      <c r="J890" s="1" t="s">
        <v>99</v>
      </c>
      <c r="K890" s="1" t="s">
        <v>456</v>
      </c>
      <c r="L890" s="1" t="s">
        <v>242</v>
      </c>
      <c r="M890" s="1">
        <v>297</v>
      </c>
    </row>
    <row r="891" spans="1:13" ht="15.75" customHeight="1">
      <c r="A891" s="1">
        <v>900</v>
      </c>
      <c r="B891" s="1" t="s">
        <v>86</v>
      </c>
      <c r="C891" s="1" t="s">
        <v>526</v>
      </c>
      <c r="D891" s="1" t="s">
        <v>31</v>
      </c>
      <c r="E891" s="1">
        <v>17.3</v>
      </c>
      <c r="F891" s="1" t="s">
        <v>364</v>
      </c>
      <c r="G891" s="1" t="s">
        <v>935</v>
      </c>
      <c r="H891" s="1" t="s">
        <v>50</v>
      </c>
      <c r="I891" s="1" t="s">
        <v>51</v>
      </c>
      <c r="J891" s="1" t="s">
        <v>936</v>
      </c>
      <c r="K891" s="1" t="s">
        <v>53</v>
      </c>
      <c r="L891" s="1" t="s">
        <v>149</v>
      </c>
      <c r="M891" s="1">
        <v>379</v>
      </c>
    </row>
    <row r="892" spans="1:13" ht="15.75" customHeight="1">
      <c r="A892" s="1">
        <v>901</v>
      </c>
      <c r="B892" s="1" t="s">
        <v>29</v>
      </c>
      <c r="C892" s="1" t="s">
        <v>937</v>
      </c>
      <c r="D892" s="1" t="s">
        <v>31</v>
      </c>
      <c r="E892" s="1">
        <v>14</v>
      </c>
      <c r="F892" s="1" t="s">
        <v>32</v>
      </c>
      <c r="G892" s="1" t="s">
        <v>33</v>
      </c>
      <c r="H892" s="1" t="s">
        <v>50</v>
      </c>
      <c r="I892" s="1" t="s">
        <v>19</v>
      </c>
      <c r="J892" s="1" t="s">
        <v>35</v>
      </c>
      <c r="K892" s="1" t="s">
        <v>53</v>
      </c>
      <c r="L892" s="1" t="s">
        <v>350</v>
      </c>
      <c r="M892" s="1">
        <v>1265</v>
      </c>
    </row>
    <row r="893" spans="1:13" ht="15.75" customHeight="1">
      <c r="A893" s="1">
        <v>902</v>
      </c>
      <c r="B893" s="1" t="s">
        <v>29</v>
      </c>
      <c r="C893" s="1" t="s">
        <v>938</v>
      </c>
      <c r="D893" s="1" t="s">
        <v>111</v>
      </c>
      <c r="E893" s="1">
        <v>13.3</v>
      </c>
      <c r="F893" s="1" t="s">
        <v>262</v>
      </c>
      <c r="G893" s="1" t="s">
        <v>83</v>
      </c>
      <c r="H893" s="1" t="s">
        <v>40</v>
      </c>
      <c r="I893" s="1" t="s">
        <v>34</v>
      </c>
      <c r="J893" s="1" t="s">
        <v>35</v>
      </c>
      <c r="K893" s="1" t="s">
        <v>53</v>
      </c>
      <c r="L893" s="1" t="s">
        <v>360</v>
      </c>
      <c r="M893" s="1">
        <v>1399</v>
      </c>
    </row>
    <row r="894" spans="1:13" ht="15.75" customHeight="1">
      <c r="A894" s="1">
        <v>903</v>
      </c>
      <c r="B894" s="1" t="s">
        <v>580</v>
      </c>
      <c r="C894" s="1" t="s">
        <v>840</v>
      </c>
      <c r="D894" s="1" t="s">
        <v>15</v>
      </c>
      <c r="E894" s="1">
        <v>15</v>
      </c>
      <c r="F894" s="1" t="s">
        <v>32</v>
      </c>
      <c r="G894" s="1" t="s">
        <v>83</v>
      </c>
      <c r="H894" s="1" t="s">
        <v>18</v>
      </c>
      <c r="I894" s="1" t="s">
        <v>34</v>
      </c>
      <c r="J894" s="1" t="s">
        <v>35</v>
      </c>
      <c r="K894" s="1" t="s">
        <v>53</v>
      </c>
      <c r="L894" s="1" t="s">
        <v>820</v>
      </c>
      <c r="M894" s="1">
        <v>1699</v>
      </c>
    </row>
    <row r="895" spans="1:13" ht="15.75" customHeight="1">
      <c r="A895" s="1">
        <v>904</v>
      </c>
      <c r="B895" s="1" t="s">
        <v>86</v>
      </c>
      <c r="C895" s="1" t="s">
        <v>592</v>
      </c>
      <c r="D895" s="1" t="s">
        <v>15</v>
      </c>
      <c r="E895" s="1">
        <v>14</v>
      </c>
      <c r="F895" s="1" t="s">
        <v>66</v>
      </c>
      <c r="G895" s="1" t="s">
        <v>33</v>
      </c>
      <c r="H895" s="1" t="s">
        <v>18</v>
      </c>
      <c r="I895" s="1" t="s">
        <v>34</v>
      </c>
      <c r="J895" s="1" t="s">
        <v>35</v>
      </c>
      <c r="K895" s="1" t="s">
        <v>53</v>
      </c>
      <c r="L895" s="1" t="s">
        <v>288</v>
      </c>
      <c r="M895" s="1">
        <v>1799</v>
      </c>
    </row>
    <row r="896" spans="1:13" ht="15.75" customHeight="1">
      <c r="A896" s="1">
        <v>905</v>
      </c>
      <c r="B896" s="1" t="s">
        <v>189</v>
      </c>
      <c r="C896" s="1" t="s">
        <v>939</v>
      </c>
      <c r="D896" s="1" t="s">
        <v>102</v>
      </c>
      <c r="E896" s="1">
        <v>17.3</v>
      </c>
      <c r="F896" s="1" t="s">
        <v>372</v>
      </c>
      <c r="G896" s="1" t="s">
        <v>624</v>
      </c>
      <c r="H896" s="1" t="s">
        <v>40</v>
      </c>
      <c r="I896" s="1" t="s">
        <v>522</v>
      </c>
      <c r="J896" s="1" t="s">
        <v>157</v>
      </c>
      <c r="K896" s="1" t="s">
        <v>53</v>
      </c>
      <c r="L896" s="1" t="s">
        <v>193</v>
      </c>
      <c r="M896" s="1">
        <v>2649</v>
      </c>
    </row>
    <row r="897" spans="1:13" ht="15.75" customHeight="1">
      <c r="A897" s="1">
        <v>906</v>
      </c>
      <c r="B897" s="1" t="s">
        <v>293</v>
      </c>
      <c r="C897" s="1" t="s">
        <v>940</v>
      </c>
      <c r="D897" s="1" t="s">
        <v>31</v>
      </c>
      <c r="E897" s="1">
        <v>13.3</v>
      </c>
      <c r="F897" s="1" t="s">
        <v>32</v>
      </c>
      <c r="G897" s="1" t="s">
        <v>33</v>
      </c>
      <c r="H897" s="1" t="s">
        <v>18</v>
      </c>
      <c r="I897" s="1" t="s">
        <v>34</v>
      </c>
      <c r="J897" s="1" t="s">
        <v>35</v>
      </c>
      <c r="K897" s="1" t="s">
        <v>53</v>
      </c>
      <c r="L897" s="1" t="s">
        <v>333</v>
      </c>
      <c r="M897" s="1">
        <v>1475</v>
      </c>
    </row>
    <row r="898" spans="1:13" ht="15.75" customHeight="1">
      <c r="A898" s="1">
        <v>908</v>
      </c>
      <c r="B898" s="1" t="s">
        <v>74</v>
      </c>
      <c r="C898" s="1" t="s">
        <v>308</v>
      </c>
      <c r="D898" s="1" t="s">
        <v>102</v>
      </c>
      <c r="E898" s="1">
        <v>15.6</v>
      </c>
      <c r="F898" s="1" t="s">
        <v>32</v>
      </c>
      <c r="G898" s="1" t="s">
        <v>155</v>
      </c>
      <c r="H898" s="1" t="s">
        <v>18</v>
      </c>
      <c r="I898" s="1" t="s">
        <v>89</v>
      </c>
      <c r="J898" s="1" t="s">
        <v>941</v>
      </c>
      <c r="K898" s="1" t="s">
        <v>147</v>
      </c>
      <c r="L898" s="1" t="s">
        <v>249</v>
      </c>
      <c r="M898" s="1">
        <v>929</v>
      </c>
    </row>
    <row r="899" spans="1:13" ht="15.75" customHeight="1">
      <c r="A899" s="1">
        <v>909</v>
      </c>
      <c r="B899" s="1" t="s">
        <v>29</v>
      </c>
      <c r="C899" s="1" t="s">
        <v>150</v>
      </c>
      <c r="D899" s="1" t="s">
        <v>31</v>
      </c>
      <c r="E899" s="1">
        <v>15.6</v>
      </c>
      <c r="F899" s="1" t="s">
        <v>32</v>
      </c>
      <c r="G899" s="1" t="s">
        <v>83</v>
      </c>
      <c r="H899" s="1" t="s">
        <v>18</v>
      </c>
      <c r="I899" s="1" t="s">
        <v>89</v>
      </c>
      <c r="J899" s="1" t="s">
        <v>127</v>
      </c>
      <c r="K899" s="1" t="s">
        <v>53</v>
      </c>
      <c r="L899" s="1" t="s">
        <v>59</v>
      </c>
      <c r="M899" s="1">
        <v>900</v>
      </c>
    </row>
    <row r="900" spans="1:13" ht="15.75" customHeight="1">
      <c r="A900" s="1">
        <v>910</v>
      </c>
      <c r="B900" s="1" t="s">
        <v>74</v>
      </c>
      <c r="C900" s="1" t="s">
        <v>432</v>
      </c>
      <c r="D900" s="1" t="s">
        <v>31</v>
      </c>
      <c r="E900" s="1">
        <v>15.6</v>
      </c>
      <c r="F900" s="1" t="s">
        <v>48</v>
      </c>
      <c r="G900" s="1" t="s">
        <v>446</v>
      </c>
      <c r="H900" s="1" t="s">
        <v>50</v>
      </c>
      <c r="I900" s="1" t="s">
        <v>89</v>
      </c>
      <c r="J900" s="1" t="s">
        <v>887</v>
      </c>
      <c r="K900" s="1" t="s">
        <v>53</v>
      </c>
      <c r="L900" s="1" t="s">
        <v>433</v>
      </c>
      <c r="M900" s="1">
        <v>614</v>
      </c>
    </row>
    <row r="901" spans="1:13" ht="15.75" customHeight="1">
      <c r="A901" s="1">
        <v>911</v>
      </c>
      <c r="B901" s="1" t="s">
        <v>74</v>
      </c>
      <c r="C901" s="1" t="s">
        <v>663</v>
      </c>
      <c r="D901" s="1" t="s">
        <v>31</v>
      </c>
      <c r="E901" s="1">
        <v>15.6</v>
      </c>
      <c r="F901" s="1" t="s">
        <v>32</v>
      </c>
      <c r="G901" s="1" t="s">
        <v>505</v>
      </c>
      <c r="H901" s="1" t="s">
        <v>18</v>
      </c>
      <c r="I901" s="1" t="s">
        <v>51</v>
      </c>
      <c r="J901" s="1" t="s">
        <v>35</v>
      </c>
      <c r="K901" s="1" t="s">
        <v>53</v>
      </c>
      <c r="L901" s="1" t="s">
        <v>207</v>
      </c>
      <c r="M901" s="1">
        <v>935</v>
      </c>
    </row>
    <row r="902" spans="1:13" ht="15.75" customHeight="1">
      <c r="A902" s="1">
        <v>912</v>
      </c>
      <c r="B902" s="1" t="s">
        <v>74</v>
      </c>
      <c r="C902" s="1" t="s">
        <v>91</v>
      </c>
      <c r="D902" s="1" t="s">
        <v>111</v>
      </c>
      <c r="E902" s="1">
        <v>13.3</v>
      </c>
      <c r="F902" s="1" t="s">
        <v>262</v>
      </c>
      <c r="G902" s="1" t="s">
        <v>591</v>
      </c>
      <c r="H902" s="1" t="s">
        <v>18</v>
      </c>
      <c r="I902" s="1" t="s">
        <v>41</v>
      </c>
      <c r="J902" s="1" t="s">
        <v>81</v>
      </c>
      <c r="K902" s="1" t="s">
        <v>53</v>
      </c>
      <c r="L902" s="1" t="s">
        <v>704</v>
      </c>
      <c r="M902" s="1">
        <v>2013.1</v>
      </c>
    </row>
    <row r="903" spans="1:13" ht="15.75" customHeight="1">
      <c r="A903" s="1">
        <v>913</v>
      </c>
      <c r="B903" s="1" t="s">
        <v>60</v>
      </c>
      <c r="C903" s="1" t="s">
        <v>942</v>
      </c>
      <c r="D903" s="1" t="s">
        <v>102</v>
      </c>
      <c r="E903" s="1">
        <v>17.3</v>
      </c>
      <c r="F903" s="1" t="s">
        <v>66</v>
      </c>
      <c r="G903" s="1" t="s">
        <v>706</v>
      </c>
      <c r="H903" s="1" t="s">
        <v>338</v>
      </c>
      <c r="I903" s="1" t="s">
        <v>124</v>
      </c>
      <c r="J903" s="1" t="s">
        <v>420</v>
      </c>
      <c r="K903" s="1" t="s">
        <v>53</v>
      </c>
      <c r="L903" s="1" t="s">
        <v>943</v>
      </c>
      <c r="M903" s="1">
        <v>1279</v>
      </c>
    </row>
    <row r="904" spans="1:13" ht="15.75" customHeight="1">
      <c r="A904" s="1">
        <v>914</v>
      </c>
      <c r="B904" s="1" t="s">
        <v>74</v>
      </c>
      <c r="C904" s="1" t="s">
        <v>91</v>
      </c>
      <c r="D904" s="1" t="s">
        <v>111</v>
      </c>
      <c r="E904" s="1">
        <v>13.3</v>
      </c>
      <c r="F904" s="1" t="s">
        <v>112</v>
      </c>
      <c r="G904" s="1" t="s">
        <v>591</v>
      </c>
      <c r="H904" s="1" t="s">
        <v>40</v>
      </c>
      <c r="I904" s="1" t="s">
        <v>34</v>
      </c>
      <c r="J904" s="1" t="s">
        <v>81</v>
      </c>
      <c r="K904" s="1" t="s">
        <v>53</v>
      </c>
      <c r="L904" s="1" t="s">
        <v>93</v>
      </c>
      <c r="M904" s="1">
        <v>1649</v>
      </c>
    </row>
    <row r="905" spans="1:13" ht="15.75" customHeight="1">
      <c r="A905" s="1">
        <v>915</v>
      </c>
      <c r="B905" s="1" t="s">
        <v>86</v>
      </c>
      <c r="C905" s="1" t="s">
        <v>441</v>
      </c>
      <c r="D905" s="1" t="s">
        <v>15</v>
      </c>
      <c r="E905" s="1">
        <v>14</v>
      </c>
      <c r="F905" s="1" t="s">
        <v>66</v>
      </c>
      <c r="G905" s="1" t="s">
        <v>83</v>
      </c>
      <c r="H905" s="1" t="s">
        <v>18</v>
      </c>
      <c r="I905" s="1" t="s">
        <v>56</v>
      </c>
      <c r="J905" s="1" t="s">
        <v>35</v>
      </c>
      <c r="K905" s="1" t="s">
        <v>53</v>
      </c>
      <c r="L905" s="1" t="s">
        <v>540</v>
      </c>
      <c r="M905" s="1">
        <v>2049</v>
      </c>
    </row>
    <row r="906" spans="1:13" ht="15.75" customHeight="1">
      <c r="A906" s="1">
        <v>916</v>
      </c>
      <c r="B906" s="1" t="s">
        <v>86</v>
      </c>
      <c r="C906" s="1" t="s">
        <v>678</v>
      </c>
      <c r="D906" s="1" t="s">
        <v>31</v>
      </c>
      <c r="E906" s="1">
        <v>15.6</v>
      </c>
      <c r="F906" s="1" t="s">
        <v>66</v>
      </c>
      <c r="G906" s="1" t="s">
        <v>33</v>
      </c>
      <c r="H906" s="1" t="s">
        <v>18</v>
      </c>
      <c r="I906" s="1" t="s">
        <v>41</v>
      </c>
      <c r="J906" s="1" t="s">
        <v>35</v>
      </c>
      <c r="K906" s="1" t="s">
        <v>53</v>
      </c>
      <c r="L906" s="1" t="s">
        <v>350</v>
      </c>
      <c r="M906" s="1">
        <v>1962.99</v>
      </c>
    </row>
    <row r="907" spans="1:13" ht="15.75" customHeight="1">
      <c r="A907" s="1">
        <v>917</v>
      </c>
      <c r="B907" s="1" t="s">
        <v>780</v>
      </c>
      <c r="C907" s="1" t="s">
        <v>944</v>
      </c>
      <c r="D907" s="1" t="s">
        <v>15</v>
      </c>
      <c r="E907" s="1">
        <v>15.6</v>
      </c>
      <c r="F907" s="1" t="s">
        <v>92</v>
      </c>
      <c r="G907" s="1" t="s">
        <v>83</v>
      </c>
      <c r="H907" s="1" t="s">
        <v>40</v>
      </c>
      <c r="I907" s="1" t="s">
        <v>41</v>
      </c>
      <c r="J907" s="1" t="s">
        <v>35</v>
      </c>
      <c r="K907" s="1" t="s">
        <v>53</v>
      </c>
      <c r="L907" s="1" t="s">
        <v>945</v>
      </c>
      <c r="M907" s="1">
        <v>2099</v>
      </c>
    </row>
    <row r="908" spans="1:13" ht="15.75" customHeight="1">
      <c r="A908" s="1">
        <v>918</v>
      </c>
      <c r="B908" s="1" t="s">
        <v>29</v>
      </c>
      <c r="C908" s="1" t="s">
        <v>500</v>
      </c>
      <c r="D908" s="1" t="s">
        <v>95</v>
      </c>
      <c r="E908" s="1">
        <v>12.5</v>
      </c>
      <c r="F908" s="1" t="s">
        <v>32</v>
      </c>
      <c r="G908" s="1" t="s">
        <v>83</v>
      </c>
      <c r="H908" s="1" t="s">
        <v>18</v>
      </c>
      <c r="I908" s="1" t="s">
        <v>41</v>
      </c>
      <c r="J908" s="1" t="s">
        <v>35</v>
      </c>
      <c r="K908" s="1" t="s">
        <v>53</v>
      </c>
      <c r="L908" s="1" t="s">
        <v>269</v>
      </c>
      <c r="M908" s="1">
        <v>1483</v>
      </c>
    </row>
    <row r="909" spans="1:13" ht="15.75" customHeight="1">
      <c r="A909" s="1">
        <v>919</v>
      </c>
      <c r="B909" s="1" t="s">
        <v>46</v>
      </c>
      <c r="C909" s="1" t="s">
        <v>946</v>
      </c>
      <c r="D909" s="1" t="s">
        <v>31</v>
      </c>
      <c r="E909" s="1">
        <v>15.6</v>
      </c>
      <c r="F909" s="1" t="s">
        <v>66</v>
      </c>
      <c r="G909" s="1" t="s">
        <v>454</v>
      </c>
      <c r="H909" s="1" t="s">
        <v>50</v>
      </c>
      <c r="I909" s="1" t="s">
        <v>486</v>
      </c>
      <c r="J909" s="1" t="s">
        <v>132</v>
      </c>
      <c r="K909" s="1" t="s">
        <v>456</v>
      </c>
      <c r="L909" s="1" t="s">
        <v>947</v>
      </c>
      <c r="M909" s="1">
        <v>359</v>
      </c>
    </row>
    <row r="910" spans="1:13" ht="15.75" customHeight="1">
      <c r="A910" s="1">
        <v>920</v>
      </c>
      <c r="B910" s="1" t="s">
        <v>86</v>
      </c>
      <c r="C910" s="1" t="s">
        <v>761</v>
      </c>
      <c r="D910" s="1" t="s">
        <v>31</v>
      </c>
      <c r="E910" s="1">
        <v>15.6</v>
      </c>
      <c r="F910" s="1" t="s">
        <v>66</v>
      </c>
      <c r="G910" s="1" t="s">
        <v>811</v>
      </c>
      <c r="H910" s="1" t="s">
        <v>18</v>
      </c>
      <c r="I910" s="1" t="s">
        <v>104</v>
      </c>
      <c r="J910" s="1" t="s">
        <v>665</v>
      </c>
      <c r="K910" s="1" t="s">
        <v>53</v>
      </c>
      <c r="L910" s="1" t="s">
        <v>516</v>
      </c>
      <c r="M910" s="1">
        <v>789</v>
      </c>
    </row>
    <row r="911" spans="1:13" ht="15.75" customHeight="1">
      <c r="A911" s="1">
        <v>922</v>
      </c>
      <c r="B911" s="1" t="s">
        <v>780</v>
      </c>
      <c r="C911" s="1" t="s">
        <v>948</v>
      </c>
      <c r="D911" s="1" t="s">
        <v>15</v>
      </c>
      <c r="E911" s="1">
        <v>14</v>
      </c>
      <c r="F911" s="1" t="s">
        <v>92</v>
      </c>
      <c r="G911" s="1" t="s">
        <v>83</v>
      </c>
      <c r="H911" s="1" t="s">
        <v>18</v>
      </c>
      <c r="I911" s="1" t="s">
        <v>41</v>
      </c>
      <c r="J911" s="1" t="s">
        <v>35</v>
      </c>
      <c r="K911" s="1" t="s">
        <v>53</v>
      </c>
      <c r="L911" s="1" t="s">
        <v>100</v>
      </c>
      <c r="M911" s="1">
        <v>1899</v>
      </c>
    </row>
    <row r="912" spans="1:13" ht="15.75" customHeight="1">
      <c r="A912" s="1">
        <v>923</v>
      </c>
      <c r="B912" s="1" t="s">
        <v>74</v>
      </c>
      <c r="C912" s="1" t="s">
        <v>575</v>
      </c>
      <c r="D912" s="1" t="s">
        <v>31</v>
      </c>
      <c r="E912" s="1">
        <v>14</v>
      </c>
      <c r="F912" s="1" t="s">
        <v>32</v>
      </c>
      <c r="G912" s="1" t="s">
        <v>598</v>
      </c>
      <c r="H912" s="1" t="s">
        <v>18</v>
      </c>
      <c r="I912" s="1" t="s">
        <v>34</v>
      </c>
      <c r="J912" s="1" t="s">
        <v>35</v>
      </c>
      <c r="K912" s="1" t="s">
        <v>53</v>
      </c>
      <c r="L912" s="1" t="s">
        <v>69</v>
      </c>
      <c r="M912" s="1">
        <v>1205</v>
      </c>
    </row>
    <row r="913" spans="1:13" ht="15.75" customHeight="1">
      <c r="A913" s="1">
        <v>924</v>
      </c>
      <c r="B913" s="1" t="s">
        <v>29</v>
      </c>
      <c r="C913" s="1" t="s">
        <v>949</v>
      </c>
      <c r="D913" s="1" t="s">
        <v>15</v>
      </c>
      <c r="E913" s="1">
        <v>12.5</v>
      </c>
      <c r="F913" s="1" t="s">
        <v>352</v>
      </c>
      <c r="G913" s="1" t="s">
        <v>299</v>
      </c>
      <c r="H913" s="1" t="s">
        <v>18</v>
      </c>
      <c r="I913" s="1" t="s">
        <v>950</v>
      </c>
      <c r="J913" s="1" t="s">
        <v>300</v>
      </c>
      <c r="K913" s="1" t="s">
        <v>53</v>
      </c>
      <c r="L913" s="1" t="s">
        <v>782</v>
      </c>
      <c r="M913" s="1">
        <v>3100</v>
      </c>
    </row>
    <row r="914" spans="1:13" ht="15.75" customHeight="1">
      <c r="A914" s="1">
        <v>925</v>
      </c>
      <c r="B914" s="1" t="s">
        <v>86</v>
      </c>
      <c r="C914" s="1" t="s">
        <v>951</v>
      </c>
      <c r="D914" s="1" t="s">
        <v>31</v>
      </c>
      <c r="E914" s="1">
        <v>15.6</v>
      </c>
      <c r="F914" s="1" t="s">
        <v>32</v>
      </c>
      <c r="G914" s="1" t="s">
        <v>83</v>
      </c>
      <c r="H914" s="1" t="s">
        <v>246</v>
      </c>
      <c r="I914" s="1" t="s">
        <v>34</v>
      </c>
      <c r="J914" s="1" t="s">
        <v>90</v>
      </c>
      <c r="K914" s="1" t="s">
        <v>53</v>
      </c>
      <c r="L914" s="1" t="s">
        <v>77</v>
      </c>
      <c r="M914" s="1">
        <v>789</v>
      </c>
    </row>
    <row r="915" spans="1:13" ht="15.75" customHeight="1">
      <c r="A915" s="1">
        <v>926</v>
      </c>
      <c r="B915" s="1" t="s">
        <v>29</v>
      </c>
      <c r="C915" s="1" t="s">
        <v>150</v>
      </c>
      <c r="D915" s="1" t="s">
        <v>31</v>
      </c>
      <c r="E915" s="1">
        <v>15.6</v>
      </c>
      <c r="F915" s="1" t="s">
        <v>32</v>
      </c>
      <c r="G915" s="1" t="s">
        <v>83</v>
      </c>
      <c r="H915" s="1" t="s">
        <v>18</v>
      </c>
      <c r="I915" s="1" t="s">
        <v>34</v>
      </c>
      <c r="J915" s="1" t="s">
        <v>127</v>
      </c>
      <c r="K915" s="1" t="s">
        <v>53</v>
      </c>
      <c r="L915" s="1" t="s">
        <v>59</v>
      </c>
      <c r="M915" s="1">
        <v>1018.99</v>
      </c>
    </row>
    <row r="916" spans="1:13" ht="15.75" customHeight="1">
      <c r="A916" s="1">
        <v>927</v>
      </c>
      <c r="B916" s="1" t="s">
        <v>46</v>
      </c>
      <c r="C916" s="1" t="s">
        <v>499</v>
      </c>
      <c r="D916" s="1" t="s">
        <v>31</v>
      </c>
      <c r="E916" s="1">
        <v>15.6</v>
      </c>
      <c r="F916" s="1" t="s">
        <v>32</v>
      </c>
      <c r="G916" s="1" t="s">
        <v>88</v>
      </c>
      <c r="H916" s="1" t="s">
        <v>50</v>
      </c>
      <c r="I916" s="1" t="s">
        <v>89</v>
      </c>
      <c r="J916" s="1" t="s">
        <v>35</v>
      </c>
      <c r="K916" s="1" t="s">
        <v>53</v>
      </c>
      <c r="L916" s="1" t="s">
        <v>183</v>
      </c>
      <c r="M916" s="1">
        <v>499</v>
      </c>
    </row>
    <row r="917" spans="1:13" ht="15.75" customHeight="1">
      <c r="A917" s="1">
        <v>928</v>
      </c>
      <c r="B917" s="1" t="s">
        <v>86</v>
      </c>
      <c r="C917" s="1" t="s">
        <v>484</v>
      </c>
      <c r="D917" s="1" t="s">
        <v>31</v>
      </c>
      <c r="E917" s="1">
        <v>13.3</v>
      </c>
      <c r="F917" s="1" t="s">
        <v>32</v>
      </c>
      <c r="G917" s="1" t="s">
        <v>33</v>
      </c>
      <c r="H917" s="1" t="s">
        <v>50</v>
      </c>
      <c r="I917" s="1" t="s">
        <v>19</v>
      </c>
      <c r="J917" s="1" t="s">
        <v>35</v>
      </c>
      <c r="K917" s="1" t="s">
        <v>53</v>
      </c>
      <c r="L917" s="1" t="s">
        <v>145</v>
      </c>
      <c r="M917" s="1">
        <v>881</v>
      </c>
    </row>
    <row r="918" spans="1:13" ht="15.75" customHeight="1">
      <c r="A918" s="1">
        <v>930</v>
      </c>
      <c r="B918" s="1" t="s">
        <v>29</v>
      </c>
      <c r="C918" s="1" t="s">
        <v>240</v>
      </c>
      <c r="D918" s="1" t="s">
        <v>31</v>
      </c>
      <c r="E918" s="1">
        <v>13.3</v>
      </c>
      <c r="F918" s="1" t="s">
        <v>32</v>
      </c>
      <c r="G918" s="1" t="s">
        <v>33</v>
      </c>
      <c r="H918" s="1" t="s">
        <v>18</v>
      </c>
      <c r="I918" s="1" t="s">
        <v>34</v>
      </c>
      <c r="J918" s="1" t="s">
        <v>35</v>
      </c>
      <c r="K918" s="1" t="s">
        <v>53</v>
      </c>
      <c r="L918" s="1" t="s">
        <v>182</v>
      </c>
      <c r="M918" s="1">
        <v>960</v>
      </c>
    </row>
    <row r="919" spans="1:13" ht="15.75" customHeight="1">
      <c r="A919" s="1">
        <v>931</v>
      </c>
      <c r="B919" s="1" t="s">
        <v>189</v>
      </c>
      <c r="C919" s="1" t="s">
        <v>952</v>
      </c>
      <c r="D919" s="1" t="s">
        <v>102</v>
      </c>
      <c r="E919" s="1">
        <v>17.3</v>
      </c>
      <c r="F919" s="1" t="s">
        <v>32</v>
      </c>
      <c r="G919" s="1" t="s">
        <v>155</v>
      </c>
      <c r="H919" s="1" t="s">
        <v>40</v>
      </c>
      <c r="I919" s="1" t="s">
        <v>156</v>
      </c>
      <c r="J919" s="1" t="s">
        <v>201</v>
      </c>
      <c r="K919" s="1" t="s">
        <v>53</v>
      </c>
      <c r="L919" s="1" t="s">
        <v>217</v>
      </c>
      <c r="M919" s="1">
        <v>1599</v>
      </c>
    </row>
    <row r="920" spans="1:13" ht="15.75" customHeight="1">
      <c r="A920" s="1">
        <v>932</v>
      </c>
      <c r="B920" s="1" t="s">
        <v>74</v>
      </c>
      <c r="C920" s="1" t="s">
        <v>308</v>
      </c>
      <c r="D920" s="1" t="s">
        <v>102</v>
      </c>
      <c r="E920" s="1">
        <v>15.6</v>
      </c>
      <c r="F920" s="1" t="s">
        <v>32</v>
      </c>
      <c r="G920" s="1" t="s">
        <v>155</v>
      </c>
      <c r="H920" s="1" t="s">
        <v>40</v>
      </c>
      <c r="I920" s="1" t="s">
        <v>104</v>
      </c>
      <c r="J920" s="1" t="s">
        <v>201</v>
      </c>
      <c r="K920" s="1" t="s">
        <v>53</v>
      </c>
      <c r="L920" s="1" t="s">
        <v>516</v>
      </c>
      <c r="M920" s="1">
        <v>1349</v>
      </c>
    </row>
    <row r="921" spans="1:13" ht="15.75" customHeight="1">
      <c r="A921" s="1">
        <v>933</v>
      </c>
      <c r="B921" s="1" t="s">
        <v>189</v>
      </c>
      <c r="C921" s="1" t="s">
        <v>902</v>
      </c>
      <c r="D921" s="1" t="s">
        <v>102</v>
      </c>
      <c r="E921" s="1">
        <v>15.6</v>
      </c>
      <c r="F921" s="1" t="s">
        <v>32</v>
      </c>
      <c r="G921" s="1" t="s">
        <v>103</v>
      </c>
      <c r="H921" s="1" t="s">
        <v>18</v>
      </c>
      <c r="I921" s="1" t="s">
        <v>104</v>
      </c>
      <c r="J921" s="1" t="s">
        <v>105</v>
      </c>
      <c r="K921" s="1" t="s">
        <v>53</v>
      </c>
      <c r="L921" s="1" t="s">
        <v>77</v>
      </c>
      <c r="M921" s="1">
        <v>1119.9100000000001</v>
      </c>
    </row>
    <row r="922" spans="1:13" ht="15.75" customHeight="1">
      <c r="A922" s="1">
        <v>934</v>
      </c>
      <c r="B922" s="1" t="s">
        <v>74</v>
      </c>
      <c r="C922" s="1" t="s">
        <v>432</v>
      </c>
      <c r="D922" s="1" t="s">
        <v>31</v>
      </c>
      <c r="E922" s="1">
        <v>15.6</v>
      </c>
      <c r="F922" s="1" t="s">
        <v>48</v>
      </c>
      <c r="G922" s="1" t="s">
        <v>33</v>
      </c>
      <c r="H922" s="1" t="s">
        <v>50</v>
      </c>
      <c r="I922" s="1" t="s">
        <v>89</v>
      </c>
      <c r="J922" s="1" t="s">
        <v>324</v>
      </c>
      <c r="K922" s="1" t="s">
        <v>53</v>
      </c>
      <c r="L922" s="1" t="s">
        <v>433</v>
      </c>
      <c r="M922" s="1">
        <v>684.99</v>
      </c>
    </row>
    <row r="923" spans="1:13" ht="15.75" customHeight="1">
      <c r="A923" s="1">
        <v>935</v>
      </c>
      <c r="B923" s="1" t="s">
        <v>29</v>
      </c>
      <c r="C923" s="1" t="s">
        <v>724</v>
      </c>
      <c r="D923" s="1" t="s">
        <v>15</v>
      </c>
      <c r="E923" s="1">
        <v>15.6</v>
      </c>
      <c r="F923" s="1" t="s">
        <v>32</v>
      </c>
      <c r="G923" s="1" t="s">
        <v>389</v>
      </c>
      <c r="H923" s="1" t="s">
        <v>18</v>
      </c>
      <c r="I923" s="1" t="s">
        <v>34</v>
      </c>
      <c r="J923" s="1" t="s">
        <v>953</v>
      </c>
      <c r="K923" s="1" t="s">
        <v>53</v>
      </c>
      <c r="L923" s="1" t="s">
        <v>507</v>
      </c>
      <c r="M923" s="1">
        <v>1296.99</v>
      </c>
    </row>
    <row r="924" spans="1:13" ht="15.75" customHeight="1">
      <c r="A924" s="1">
        <v>936</v>
      </c>
      <c r="B924" s="1" t="s">
        <v>29</v>
      </c>
      <c r="C924" s="1" t="s">
        <v>954</v>
      </c>
      <c r="D924" s="1" t="s">
        <v>15</v>
      </c>
      <c r="E924" s="1">
        <v>13.3</v>
      </c>
      <c r="F924" s="1" t="s">
        <v>262</v>
      </c>
      <c r="G924" s="1" t="s">
        <v>83</v>
      </c>
      <c r="H924" s="1" t="s">
        <v>18</v>
      </c>
      <c r="I924" s="1" t="s">
        <v>34</v>
      </c>
      <c r="J924" s="1" t="s">
        <v>35</v>
      </c>
      <c r="K924" s="1" t="s">
        <v>53</v>
      </c>
      <c r="L924" s="1" t="s">
        <v>718</v>
      </c>
      <c r="M924" s="1">
        <v>1149</v>
      </c>
    </row>
    <row r="925" spans="1:13" ht="15.75" customHeight="1">
      <c r="A925" s="1">
        <v>937</v>
      </c>
      <c r="B925" s="1" t="s">
        <v>293</v>
      </c>
      <c r="C925" s="1" t="s">
        <v>955</v>
      </c>
      <c r="D925" s="1" t="s">
        <v>31</v>
      </c>
      <c r="E925" s="1">
        <v>15.6</v>
      </c>
      <c r="F925" s="1" t="s">
        <v>66</v>
      </c>
      <c r="G925" s="1" t="s">
        <v>442</v>
      </c>
      <c r="H925" s="1" t="s">
        <v>40</v>
      </c>
      <c r="I925" s="1" t="s">
        <v>34</v>
      </c>
      <c r="J925" s="1" t="s">
        <v>444</v>
      </c>
      <c r="K925" s="1" t="s">
        <v>53</v>
      </c>
      <c r="L925" s="1" t="s">
        <v>183</v>
      </c>
      <c r="M925" s="1">
        <v>1975</v>
      </c>
    </row>
    <row r="926" spans="1:13" ht="15.75" customHeight="1">
      <c r="A926" s="1">
        <v>938</v>
      </c>
      <c r="B926" s="1" t="s">
        <v>86</v>
      </c>
      <c r="C926" s="1" t="s">
        <v>265</v>
      </c>
      <c r="D926" s="1" t="s">
        <v>111</v>
      </c>
      <c r="E926" s="1">
        <v>13.3</v>
      </c>
      <c r="F926" s="1" t="s">
        <v>92</v>
      </c>
      <c r="G926" s="1" t="s">
        <v>33</v>
      </c>
      <c r="H926" s="1" t="s">
        <v>18</v>
      </c>
      <c r="I926" s="1" t="s">
        <v>41</v>
      </c>
      <c r="J926" s="1" t="s">
        <v>35</v>
      </c>
      <c r="K926" s="1" t="s">
        <v>53</v>
      </c>
      <c r="L926" s="1" t="s">
        <v>22</v>
      </c>
      <c r="M926" s="1">
        <v>1825</v>
      </c>
    </row>
    <row r="927" spans="1:13" ht="15.75" customHeight="1">
      <c r="A927" s="1">
        <v>939</v>
      </c>
      <c r="B927" s="1" t="s">
        <v>74</v>
      </c>
      <c r="C927" s="1" t="s">
        <v>771</v>
      </c>
      <c r="D927" s="1" t="s">
        <v>31</v>
      </c>
      <c r="E927" s="1">
        <v>15.6</v>
      </c>
      <c r="F927" s="1" t="s">
        <v>48</v>
      </c>
      <c r="G927" s="1" t="s">
        <v>295</v>
      </c>
      <c r="H927" s="1" t="s">
        <v>50</v>
      </c>
      <c r="I927" s="1" t="s">
        <v>51</v>
      </c>
      <c r="J927" s="1" t="s">
        <v>71</v>
      </c>
      <c r="K927" s="1" t="s">
        <v>53</v>
      </c>
      <c r="L927" s="1" t="s">
        <v>350</v>
      </c>
      <c r="M927" s="1">
        <v>729.9</v>
      </c>
    </row>
    <row r="928" spans="1:13" ht="15.75" customHeight="1">
      <c r="A928" s="1">
        <v>940</v>
      </c>
      <c r="B928" s="1" t="s">
        <v>86</v>
      </c>
      <c r="C928" s="1" t="s">
        <v>633</v>
      </c>
      <c r="D928" s="1" t="s">
        <v>15</v>
      </c>
      <c r="E928" s="1">
        <v>12.5</v>
      </c>
      <c r="F928" s="1" t="s">
        <v>66</v>
      </c>
      <c r="G928" s="1" t="s">
        <v>83</v>
      </c>
      <c r="H928" s="1" t="s">
        <v>18</v>
      </c>
      <c r="I928" s="1" t="s">
        <v>34</v>
      </c>
      <c r="J928" s="1" t="s">
        <v>35</v>
      </c>
      <c r="K928" s="1" t="s">
        <v>53</v>
      </c>
      <c r="L928" s="1" t="s">
        <v>443</v>
      </c>
      <c r="M928" s="1">
        <v>1650</v>
      </c>
    </row>
    <row r="929" spans="1:13" ht="15.75" customHeight="1">
      <c r="A929" s="1">
        <v>941</v>
      </c>
      <c r="B929" s="1" t="s">
        <v>29</v>
      </c>
      <c r="C929" s="1" t="s">
        <v>956</v>
      </c>
      <c r="D929" s="1" t="s">
        <v>31</v>
      </c>
      <c r="E929" s="1">
        <v>15.6</v>
      </c>
      <c r="F929" s="1" t="s">
        <v>32</v>
      </c>
      <c r="G929" s="1" t="s">
        <v>295</v>
      </c>
      <c r="H929" s="1" t="s">
        <v>18</v>
      </c>
      <c r="I929" s="1" t="s">
        <v>34</v>
      </c>
      <c r="J929" s="1" t="s">
        <v>71</v>
      </c>
      <c r="K929" s="1" t="s">
        <v>53</v>
      </c>
      <c r="L929" s="1" t="s">
        <v>573</v>
      </c>
      <c r="M929" s="1">
        <v>1165</v>
      </c>
    </row>
    <row r="930" spans="1:13" ht="15.75" customHeight="1">
      <c r="A930" s="1">
        <v>942</v>
      </c>
      <c r="B930" s="1" t="s">
        <v>74</v>
      </c>
      <c r="C930" s="1" t="s">
        <v>432</v>
      </c>
      <c r="D930" s="1" t="s">
        <v>31</v>
      </c>
      <c r="E930" s="1">
        <v>15.6</v>
      </c>
      <c r="F930" s="1" t="s">
        <v>48</v>
      </c>
      <c r="G930" s="1" t="s">
        <v>33</v>
      </c>
      <c r="H930" s="1" t="s">
        <v>50</v>
      </c>
      <c r="I930" s="1" t="s">
        <v>89</v>
      </c>
      <c r="J930" s="1" t="s">
        <v>35</v>
      </c>
      <c r="K930" s="1" t="s">
        <v>53</v>
      </c>
      <c r="L930" s="1" t="s">
        <v>433</v>
      </c>
      <c r="M930" s="1">
        <v>708.06</v>
      </c>
    </row>
    <row r="931" spans="1:13" ht="15.75" customHeight="1">
      <c r="A931" s="1">
        <v>943</v>
      </c>
      <c r="B931" s="1" t="s">
        <v>29</v>
      </c>
      <c r="C931" s="1" t="s">
        <v>489</v>
      </c>
      <c r="D931" s="1" t="s">
        <v>31</v>
      </c>
      <c r="E931" s="1">
        <v>14</v>
      </c>
      <c r="F931" s="1" t="s">
        <v>48</v>
      </c>
      <c r="G931" s="1" t="s">
        <v>295</v>
      </c>
      <c r="H931" s="1" t="s">
        <v>50</v>
      </c>
      <c r="I931" s="1" t="s">
        <v>51</v>
      </c>
      <c r="J931" s="1" t="s">
        <v>71</v>
      </c>
      <c r="K931" s="1" t="s">
        <v>53</v>
      </c>
      <c r="L931" s="1" t="s">
        <v>350</v>
      </c>
      <c r="M931" s="1">
        <v>1149</v>
      </c>
    </row>
    <row r="932" spans="1:13" ht="15.75" customHeight="1">
      <c r="A932" s="1">
        <v>944</v>
      </c>
      <c r="B932" s="1" t="s">
        <v>86</v>
      </c>
      <c r="C932" s="1" t="s">
        <v>474</v>
      </c>
      <c r="D932" s="1" t="s">
        <v>31</v>
      </c>
      <c r="E932" s="1">
        <v>15.6</v>
      </c>
      <c r="F932" s="1" t="s">
        <v>48</v>
      </c>
      <c r="G932" s="1" t="s">
        <v>173</v>
      </c>
      <c r="H932" s="1" t="s">
        <v>50</v>
      </c>
      <c r="I932" s="1" t="s">
        <v>89</v>
      </c>
      <c r="J932" s="1" t="s">
        <v>329</v>
      </c>
      <c r="K932" s="1" t="s">
        <v>53</v>
      </c>
      <c r="L932" s="1" t="s">
        <v>77</v>
      </c>
      <c r="M932" s="1">
        <v>309</v>
      </c>
    </row>
    <row r="933" spans="1:13" ht="15.75" customHeight="1">
      <c r="A933" s="1">
        <v>945</v>
      </c>
      <c r="B933" s="1" t="s">
        <v>29</v>
      </c>
      <c r="C933" s="1" t="s">
        <v>864</v>
      </c>
      <c r="D933" s="1" t="s">
        <v>15</v>
      </c>
      <c r="E933" s="1">
        <v>12.5</v>
      </c>
      <c r="F933" s="1" t="s">
        <v>32</v>
      </c>
      <c r="G933" s="1" t="s">
        <v>295</v>
      </c>
      <c r="H933" s="1" t="s">
        <v>50</v>
      </c>
      <c r="I933" s="1" t="s">
        <v>51</v>
      </c>
      <c r="J933" s="1" t="s">
        <v>71</v>
      </c>
      <c r="K933" s="1" t="s">
        <v>53</v>
      </c>
      <c r="L933" s="1" t="s">
        <v>269</v>
      </c>
      <c r="M933" s="1">
        <v>1579</v>
      </c>
    </row>
    <row r="934" spans="1:13" ht="15.75" customHeight="1">
      <c r="A934" s="1">
        <v>946</v>
      </c>
      <c r="B934" s="1" t="s">
        <v>29</v>
      </c>
      <c r="C934" s="1" t="s">
        <v>30</v>
      </c>
      <c r="D934" s="1" t="s">
        <v>31</v>
      </c>
      <c r="E934" s="1">
        <v>15.6</v>
      </c>
      <c r="F934" s="1" t="s">
        <v>48</v>
      </c>
      <c r="G934" s="1" t="s">
        <v>204</v>
      </c>
      <c r="H934" s="1" t="s">
        <v>50</v>
      </c>
      <c r="I934" s="1" t="s">
        <v>89</v>
      </c>
      <c r="J934" s="1" t="s">
        <v>99</v>
      </c>
      <c r="K934" s="1" t="s">
        <v>36</v>
      </c>
      <c r="L934" s="1" t="s">
        <v>37</v>
      </c>
      <c r="M934" s="1">
        <v>288.89999999999998</v>
      </c>
    </row>
    <row r="935" spans="1:13" ht="15.75" customHeight="1">
      <c r="A935" s="1">
        <v>947</v>
      </c>
      <c r="B935" s="1" t="s">
        <v>86</v>
      </c>
      <c r="C935" s="1" t="s">
        <v>849</v>
      </c>
      <c r="D935" s="1" t="s">
        <v>111</v>
      </c>
      <c r="E935" s="1">
        <v>13.3</v>
      </c>
      <c r="F935" s="1" t="s">
        <v>688</v>
      </c>
      <c r="G935" s="1" t="s">
        <v>957</v>
      </c>
      <c r="H935" s="1" t="s">
        <v>40</v>
      </c>
      <c r="I935" s="1" t="s">
        <v>359</v>
      </c>
      <c r="J935" s="1" t="s">
        <v>166</v>
      </c>
      <c r="K935" s="1" t="s">
        <v>53</v>
      </c>
      <c r="L935" s="1" t="s">
        <v>64</v>
      </c>
      <c r="M935" s="1">
        <v>1799</v>
      </c>
    </row>
    <row r="936" spans="1:13" ht="15.75" customHeight="1">
      <c r="A936" s="1">
        <v>948</v>
      </c>
      <c r="B936" s="1" t="s">
        <v>293</v>
      </c>
      <c r="C936" s="1" t="s">
        <v>958</v>
      </c>
      <c r="D936" s="1" t="s">
        <v>31</v>
      </c>
      <c r="E936" s="1">
        <v>14</v>
      </c>
      <c r="F936" s="1" t="s">
        <v>66</v>
      </c>
      <c r="G936" s="1" t="s">
        <v>295</v>
      </c>
      <c r="H936" s="1" t="s">
        <v>50</v>
      </c>
      <c r="I936" s="1" t="s">
        <v>19</v>
      </c>
      <c r="J936" s="1" t="s">
        <v>71</v>
      </c>
      <c r="K936" s="1" t="s">
        <v>53</v>
      </c>
      <c r="L936" s="1" t="s">
        <v>610</v>
      </c>
      <c r="M936" s="1">
        <v>1105</v>
      </c>
    </row>
    <row r="937" spans="1:13" ht="15.75" customHeight="1">
      <c r="A937" s="1">
        <v>949</v>
      </c>
      <c r="B937" s="1" t="s">
        <v>29</v>
      </c>
      <c r="C937" s="1" t="s">
        <v>864</v>
      </c>
      <c r="D937" s="1" t="s">
        <v>95</v>
      </c>
      <c r="E937" s="1">
        <v>12.5</v>
      </c>
      <c r="F937" s="1" t="s">
        <v>32</v>
      </c>
      <c r="G937" s="1" t="s">
        <v>295</v>
      </c>
      <c r="H937" s="1" t="s">
        <v>18</v>
      </c>
      <c r="I937" s="1" t="s">
        <v>34</v>
      </c>
      <c r="J937" s="1" t="s">
        <v>71</v>
      </c>
      <c r="K937" s="1" t="s">
        <v>53</v>
      </c>
      <c r="L937" s="1" t="s">
        <v>269</v>
      </c>
      <c r="M937" s="1">
        <v>1669</v>
      </c>
    </row>
    <row r="938" spans="1:13" ht="15.75" customHeight="1">
      <c r="A938" s="1">
        <v>950</v>
      </c>
      <c r="B938" s="1" t="s">
        <v>74</v>
      </c>
      <c r="C938" s="1" t="s">
        <v>432</v>
      </c>
      <c r="D938" s="1" t="s">
        <v>31</v>
      </c>
      <c r="E938" s="1">
        <v>15.6</v>
      </c>
      <c r="F938" s="1" t="s">
        <v>48</v>
      </c>
      <c r="G938" s="1" t="s">
        <v>446</v>
      </c>
      <c r="H938" s="1" t="s">
        <v>50</v>
      </c>
      <c r="I938" s="1" t="s">
        <v>89</v>
      </c>
      <c r="J938" s="1" t="s">
        <v>71</v>
      </c>
      <c r="K938" s="1" t="s">
        <v>53</v>
      </c>
      <c r="L938" s="1" t="s">
        <v>433</v>
      </c>
      <c r="M938" s="1">
        <v>558.6</v>
      </c>
    </row>
    <row r="939" spans="1:13" ht="15.75" customHeight="1">
      <c r="A939" s="1">
        <v>951</v>
      </c>
      <c r="B939" s="1" t="s">
        <v>189</v>
      </c>
      <c r="C939" s="1" t="s">
        <v>959</v>
      </c>
      <c r="D939" s="1" t="s">
        <v>102</v>
      </c>
      <c r="E939" s="1">
        <v>15.6</v>
      </c>
      <c r="F939" s="1" t="s">
        <v>32</v>
      </c>
      <c r="G939" s="1" t="s">
        <v>155</v>
      </c>
      <c r="H939" s="1" t="s">
        <v>18</v>
      </c>
      <c r="I939" s="1" t="s">
        <v>104</v>
      </c>
      <c r="J939" s="1" t="s">
        <v>105</v>
      </c>
      <c r="K939" s="1" t="s">
        <v>53</v>
      </c>
      <c r="L939" s="1" t="s">
        <v>77</v>
      </c>
      <c r="M939" s="1">
        <v>1199</v>
      </c>
    </row>
    <row r="940" spans="1:13" ht="15.75" customHeight="1">
      <c r="A940" s="1">
        <v>952</v>
      </c>
      <c r="B940" s="1" t="s">
        <v>74</v>
      </c>
      <c r="C940" s="1" t="s">
        <v>518</v>
      </c>
      <c r="D940" s="1" t="s">
        <v>15</v>
      </c>
      <c r="E940" s="1">
        <v>14</v>
      </c>
      <c r="F940" s="1" t="s">
        <v>32</v>
      </c>
      <c r="G940" s="1" t="s">
        <v>33</v>
      </c>
      <c r="H940" s="1" t="s">
        <v>18</v>
      </c>
      <c r="I940" s="1" t="s">
        <v>34</v>
      </c>
      <c r="J940" s="1" t="s">
        <v>35</v>
      </c>
      <c r="K940" s="1" t="s">
        <v>53</v>
      </c>
      <c r="L940" s="1" t="s">
        <v>443</v>
      </c>
      <c r="M940" s="1">
        <v>1639</v>
      </c>
    </row>
    <row r="941" spans="1:13" ht="15.75" customHeight="1">
      <c r="A941" s="1">
        <v>953</v>
      </c>
      <c r="B941" s="1" t="s">
        <v>74</v>
      </c>
      <c r="C941" s="1" t="s">
        <v>390</v>
      </c>
      <c r="D941" s="1" t="s">
        <v>102</v>
      </c>
      <c r="E941" s="1">
        <v>17.3</v>
      </c>
      <c r="F941" s="1" t="s">
        <v>593</v>
      </c>
      <c r="G941" s="1" t="s">
        <v>706</v>
      </c>
      <c r="H941" s="1" t="s">
        <v>40</v>
      </c>
      <c r="I941" s="1" t="s">
        <v>339</v>
      </c>
      <c r="J941" s="1" t="s">
        <v>368</v>
      </c>
      <c r="K941" s="1" t="s">
        <v>53</v>
      </c>
      <c r="L941" s="1" t="s">
        <v>822</v>
      </c>
      <c r="M941" s="1">
        <v>2758</v>
      </c>
    </row>
    <row r="942" spans="1:13" ht="15.75" customHeight="1">
      <c r="A942" s="1">
        <v>954</v>
      </c>
      <c r="B942" s="1" t="s">
        <v>29</v>
      </c>
      <c r="C942" s="1" t="s">
        <v>960</v>
      </c>
      <c r="D942" s="1" t="s">
        <v>102</v>
      </c>
      <c r="E942" s="1">
        <v>17.3</v>
      </c>
      <c r="F942" s="1" t="s">
        <v>66</v>
      </c>
      <c r="G942" s="1" t="s">
        <v>811</v>
      </c>
      <c r="H942" s="1" t="s">
        <v>18</v>
      </c>
      <c r="I942" s="1" t="s">
        <v>104</v>
      </c>
      <c r="J942" s="1" t="s">
        <v>641</v>
      </c>
      <c r="K942" s="1" t="s">
        <v>53</v>
      </c>
      <c r="L942" s="1" t="s">
        <v>961</v>
      </c>
      <c r="M942" s="1">
        <v>1399</v>
      </c>
    </row>
    <row r="943" spans="1:13" ht="15.75" customHeight="1">
      <c r="A943" s="1">
        <v>955</v>
      </c>
      <c r="B943" s="1" t="s">
        <v>60</v>
      </c>
      <c r="C943" s="1" t="s">
        <v>962</v>
      </c>
      <c r="D943" s="1" t="s">
        <v>31</v>
      </c>
      <c r="E943" s="1">
        <v>17.3</v>
      </c>
      <c r="F943" s="1" t="s">
        <v>364</v>
      </c>
      <c r="G943" s="1" t="s">
        <v>491</v>
      </c>
      <c r="H943" s="1" t="s">
        <v>50</v>
      </c>
      <c r="I943" s="1" t="s">
        <v>89</v>
      </c>
      <c r="J943" s="1" t="s">
        <v>174</v>
      </c>
      <c r="K943" s="1" t="s">
        <v>53</v>
      </c>
      <c r="L943" s="1" t="s">
        <v>149</v>
      </c>
      <c r="M943" s="1">
        <v>530</v>
      </c>
    </row>
    <row r="944" spans="1:13" ht="15.75" customHeight="1">
      <c r="A944" s="1">
        <v>956</v>
      </c>
      <c r="B944" s="1" t="s">
        <v>46</v>
      </c>
      <c r="C944" s="1" t="s">
        <v>963</v>
      </c>
      <c r="D944" s="1" t="s">
        <v>31</v>
      </c>
      <c r="E944" s="1">
        <v>15.6</v>
      </c>
      <c r="F944" s="1" t="s">
        <v>48</v>
      </c>
      <c r="G944" s="1" t="s">
        <v>33</v>
      </c>
      <c r="H944" s="1" t="s">
        <v>50</v>
      </c>
      <c r="I944" s="1" t="s">
        <v>51</v>
      </c>
      <c r="J944" s="1" t="s">
        <v>35</v>
      </c>
      <c r="K944" s="1" t="s">
        <v>53</v>
      </c>
      <c r="L944" s="1" t="s">
        <v>375</v>
      </c>
      <c r="M944" s="1">
        <v>619</v>
      </c>
    </row>
    <row r="945" spans="1:13" ht="15.75" customHeight="1">
      <c r="A945" s="1">
        <v>957</v>
      </c>
      <c r="B945" s="1" t="s">
        <v>293</v>
      </c>
      <c r="C945" s="1" t="s">
        <v>964</v>
      </c>
      <c r="D945" s="1" t="s">
        <v>31</v>
      </c>
      <c r="E945" s="1">
        <v>15.6</v>
      </c>
      <c r="F945" s="1" t="s">
        <v>48</v>
      </c>
      <c r="G945" s="1" t="s">
        <v>295</v>
      </c>
      <c r="H945" s="1" t="s">
        <v>18</v>
      </c>
      <c r="I945" s="1" t="s">
        <v>34</v>
      </c>
      <c r="J945" s="1" t="s">
        <v>71</v>
      </c>
      <c r="K945" s="1" t="s">
        <v>53</v>
      </c>
      <c r="L945" s="1" t="s">
        <v>77</v>
      </c>
      <c r="M945" s="1">
        <v>1119</v>
      </c>
    </row>
    <row r="946" spans="1:13" ht="15.75" customHeight="1">
      <c r="A946" s="1">
        <v>958</v>
      </c>
      <c r="B946" s="1" t="s">
        <v>86</v>
      </c>
      <c r="C946" s="1" t="s">
        <v>965</v>
      </c>
      <c r="D946" s="1" t="s">
        <v>111</v>
      </c>
      <c r="E946" s="1">
        <v>11.3</v>
      </c>
      <c r="F946" s="1" t="s">
        <v>92</v>
      </c>
      <c r="G946" s="1" t="s">
        <v>966</v>
      </c>
      <c r="H946" s="1" t="s">
        <v>18</v>
      </c>
      <c r="I946" s="1" t="s">
        <v>34</v>
      </c>
      <c r="J946" s="1" t="s">
        <v>300</v>
      </c>
      <c r="K946" s="1" t="s">
        <v>53</v>
      </c>
      <c r="L946" s="1" t="s">
        <v>319</v>
      </c>
      <c r="M946" s="1">
        <v>1299</v>
      </c>
    </row>
    <row r="947" spans="1:13" ht="15.75" customHeight="1">
      <c r="A947" s="1">
        <v>959</v>
      </c>
      <c r="B947" s="1" t="s">
        <v>86</v>
      </c>
      <c r="C947" s="1" t="s">
        <v>967</v>
      </c>
      <c r="D947" s="1" t="s">
        <v>102</v>
      </c>
      <c r="E947" s="1">
        <v>15.6</v>
      </c>
      <c r="F947" s="1" t="s">
        <v>66</v>
      </c>
      <c r="G947" s="1" t="s">
        <v>968</v>
      </c>
      <c r="H947" s="1" t="s">
        <v>40</v>
      </c>
      <c r="I947" s="1" t="s">
        <v>339</v>
      </c>
      <c r="J947" s="1" t="s">
        <v>969</v>
      </c>
      <c r="K947" s="1" t="s">
        <v>53</v>
      </c>
      <c r="L947" s="1" t="s">
        <v>106</v>
      </c>
      <c r="M947" s="1">
        <v>999</v>
      </c>
    </row>
    <row r="948" spans="1:13" ht="15.75" customHeight="1">
      <c r="A948" s="1">
        <v>960</v>
      </c>
      <c r="B948" s="1" t="s">
        <v>74</v>
      </c>
      <c r="C948" s="1" t="s">
        <v>854</v>
      </c>
      <c r="D948" s="1" t="s">
        <v>15</v>
      </c>
      <c r="E948" s="1">
        <v>12.5</v>
      </c>
      <c r="F948" s="1" t="s">
        <v>112</v>
      </c>
      <c r="G948" s="1" t="s">
        <v>33</v>
      </c>
      <c r="H948" s="1" t="s">
        <v>18</v>
      </c>
      <c r="I948" s="1" t="s">
        <v>34</v>
      </c>
      <c r="J948" s="1" t="s">
        <v>132</v>
      </c>
      <c r="K948" s="1" t="s">
        <v>53</v>
      </c>
      <c r="L948" s="1" t="s">
        <v>443</v>
      </c>
      <c r="M948" s="1">
        <v>1472.2</v>
      </c>
    </row>
    <row r="949" spans="1:13" ht="15.75" customHeight="1">
      <c r="A949" s="1">
        <v>961</v>
      </c>
      <c r="B949" s="1" t="s">
        <v>86</v>
      </c>
      <c r="C949" s="1" t="s">
        <v>730</v>
      </c>
      <c r="D949" s="1" t="s">
        <v>31</v>
      </c>
      <c r="E949" s="1">
        <v>15.6</v>
      </c>
      <c r="F949" s="1" t="s">
        <v>32</v>
      </c>
      <c r="G949" s="1" t="s">
        <v>83</v>
      </c>
      <c r="H949" s="1" t="s">
        <v>18</v>
      </c>
      <c r="I949" s="1" t="s">
        <v>89</v>
      </c>
      <c r="J949" s="1" t="s">
        <v>174</v>
      </c>
      <c r="K949" s="1" t="s">
        <v>36</v>
      </c>
      <c r="L949" s="1" t="s">
        <v>77</v>
      </c>
      <c r="M949" s="1">
        <v>685</v>
      </c>
    </row>
    <row r="950" spans="1:13" ht="15.75" customHeight="1">
      <c r="A950" s="1">
        <v>962</v>
      </c>
      <c r="B950" s="1" t="s">
        <v>74</v>
      </c>
      <c r="C950" s="1" t="s">
        <v>970</v>
      </c>
      <c r="D950" s="1" t="s">
        <v>31</v>
      </c>
      <c r="E950" s="1">
        <v>17.3</v>
      </c>
      <c r="F950" s="1" t="s">
        <v>364</v>
      </c>
      <c r="G950" s="1" t="s">
        <v>446</v>
      </c>
      <c r="H950" s="1" t="s">
        <v>50</v>
      </c>
      <c r="I950" s="1" t="s">
        <v>89</v>
      </c>
      <c r="J950" s="1" t="s">
        <v>280</v>
      </c>
      <c r="K950" s="1" t="s">
        <v>53</v>
      </c>
      <c r="L950" s="1" t="s">
        <v>281</v>
      </c>
      <c r="M950" s="1">
        <v>659</v>
      </c>
    </row>
    <row r="951" spans="1:13" ht="15.75" customHeight="1">
      <c r="A951" s="1">
        <v>963</v>
      </c>
      <c r="B951" s="1" t="s">
        <v>46</v>
      </c>
      <c r="C951" s="1" t="s">
        <v>795</v>
      </c>
      <c r="D951" s="1" t="s">
        <v>31</v>
      </c>
      <c r="E951" s="1">
        <v>14</v>
      </c>
      <c r="F951" s="1" t="s">
        <v>48</v>
      </c>
      <c r="G951" s="1" t="s">
        <v>204</v>
      </c>
      <c r="H951" s="1" t="s">
        <v>50</v>
      </c>
      <c r="I951" s="1" t="s">
        <v>98</v>
      </c>
      <c r="J951" s="1" t="s">
        <v>99</v>
      </c>
      <c r="K951" s="1" t="s">
        <v>456</v>
      </c>
      <c r="L951" s="1" t="s">
        <v>423</v>
      </c>
      <c r="M951" s="1">
        <v>349</v>
      </c>
    </row>
    <row r="952" spans="1:13" ht="15.75" customHeight="1">
      <c r="A952" s="1">
        <v>964</v>
      </c>
      <c r="B952" s="1" t="s">
        <v>29</v>
      </c>
      <c r="C952" s="1" t="s">
        <v>971</v>
      </c>
      <c r="D952" s="1" t="s">
        <v>378</v>
      </c>
      <c r="E952" s="1">
        <v>15.6</v>
      </c>
      <c r="F952" s="1" t="s">
        <v>66</v>
      </c>
      <c r="G952" s="1" t="s">
        <v>546</v>
      </c>
      <c r="H952" s="1" t="s">
        <v>18</v>
      </c>
      <c r="I952" s="1" t="s">
        <v>972</v>
      </c>
      <c r="J952" s="1" t="s">
        <v>853</v>
      </c>
      <c r="K952" s="1" t="s">
        <v>53</v>
      </c>
      <c r="L952" s="1" t="s">
        <v>347</v>
      </c>
      <c r="M952" s="1">
        <v>2249</v>
      </c>
    </row>
    <row r="953" spans="1:13" ht="15.75" customHeight="1">
      <c r="A953" s="1">
        <v>965</v>
      </c>
      <c r="B953" s="1" t="s">
        <v>74</v>
      </c>
      <c r="C953" s="1" t="s">
        <v>518</v>
      </c>
      <c r="D953" s="1" t="s">
        <v>15</v>
      </c>
      <c r="E953" s="1">
        <v>14</v>
      </c>
      <c r="F953" s="1" t="s">
        <v>32</v>
      </c>
      <c r="G953" s="1" t="s">
        <v>476</v>
      </c>
      <c r="H953" s="1" t="s">
        <v>18</v>
      </c>
      <c r="I953" s="1" t="s">
        <v>34</v>
      </c>
      <c r="J953" s="1" t="s">
        <v>35</v>
      </c>
      <c r="K953" s="1" t="s">
        <v>53</v>
      </c>
      <c r="L953" s="1" t="s">
        <v>443</v>
      </c>
      <c r="M953" s="1">
        <v>1775</v>
      </c>
    </row>
    <row r="954" spans="1:13" ht="15.75" customHeight="1">
      <c r="A954" s="1">
        <v>966</v>
      </c>
      <c r="B954" s="1" t="s">
        <v>293</v>
      </c>
      <c r="C954" s="1" t="s">
        <v>973</v>
      </c>
      <c r="D954" s="1" t="s">
        <v>31</v>
      </c>
      <c r="E954" s="1">
        <v>13.3</v>
      </c>
      <c r="F954" s="1" t="s">
        <v>32</v>
      </c>
      <c r="G954" s="1" t="s">
        <v>295</v>
      </c>
      <c r="H954" s="1" t="s">
        <v>18</v>
      </c>
      <c r="I954" s="1" t="s">
        <v>34</v>
      </c>
      <c r="J954" s="1" t="s">
        <v>71</v>
      </c>
      <c r="K954" s="1" t="s">
        <v>662</v>
      </c>
      <c r="L954" s="1" t="s">
        <v>141</v>
      </c>
      <c r="M954" s="1">
        <v>1460</v>
      </c>
    </row>
    <row r="955" spans="1:13" ht="15.75" customHeight="1">
      <c r="A955" s="1">
        <v>967</v>
      </c>
      <c r="B955" s="1" t="s">
        <v>60</v>
      </c>
      <c r="C955" s="1" t="s">
        <v>799</v>
      </c>
      <c r="D955" s="1" t="s">
        <v>111</v>
      </c>
      <c r="E955" s="1">
        <v>12.5</v>
      </c>
      <c r="F955" s="1" t="s">
        <v>32</v>
      </c>
      <c r="G955" s="1" t="s">
        <v>974</v>
      </c>
      <c r="H955" s="1" t="s">
        <v>18</v>
      </c>
      <c r="I955" s="1" t="s">
        <v>131</v>
      </c>
      <c r="J955" s="1" t="s">
        <v>300</v>
      </c>
      <c r="K955" s="1" t="s">
        <v>456</v>
      </c>
      <c r="L955" s="1" t="s">
        <v>141</v>
      </c>
      <c r="M955" s="1">
        <v>1159</v>
      </c>
    </row>
    <row r="956" spans="1:13" ht="15.75" customHeight="1">
      <c r="A956" s="1">
        <v>968</v>
      </c>
      <c r="B956" s="1" t="s">
        <v>86</v>
      </c>
      <c r="C956" s="1" t="s">
        <v>847</v>
      </c>
      <c r="D956" s="1" t="s">
        <v>15</v>
      </c>
      <c r="E956" s="1">
        <v>14</v>
      </c>
      <c r="F956" s="1" t="s">
        <v>66</v>
      </c>
      <c r="G956" s="1" t="s">
        <v>442</v>
      </c>
      <c r="H956" s="1" t="s">
        <v>18</v>
      </c>
      <c r="I956" s="1" t="s">
        <v>34</v>
      </c>
      <c r="J956" s="1" t="s">
        <v>71</v>
      </c>
      <c r="K956" s="1" t="s">
        <v>53</v>
      </c>
      <c r="L956" s="1" t="s">
        <v>196</v>
      </c>
      <c r="M956" s="1">
        <v>1488.99</v>
      </c>
    </row>
    <row r="957" spans="1:13" ht="15.75" customHeight="1">
      <c r="A957" s="1">
        <v>969</v>
      </c>
      <c r="B957" s="1" t="s">
        <v>74</v>
      </c>
      <c r="C957" s="1" t="s">
        <v>390</v>
      </c>
      <c r="D957" s="1" t="s">
        <v>102</v>
      </c>
      <c r="E957" s="1">
        <v>17.3</v>
      </c>
      <c r="F957" s="1" t="s">
        <v>372</v>
      </c>
      <c r="G957" s="1" t="s">
        <v>155</v>
      </c>
      <c r="H957" s="1" t="s">
        <v>40</v>
      </c>
      <c r="I957" s="1" t="s">
        <v>339</v>
      </c>
      <c r="J957" s="1" t="s">
        <v>192</v>
      </c>
      <c r="K957" s="1" t="s">
        <v>53</v>
      </c>
      <c r="L957" s="1" t="s">
        <v>822</v>
      </c>
      <c r="M957" s="1">
        <v>3154</v>
      </c>
    </row>
    <row r="958" spans="1:13" ht="15.75" customHeight="1">
      <c r="A958" s="1">
        <v>970</v>
      </c>
      <c r="B958" s="1" t="s">
        <v>74</v>
      </c>
      <c r="C958" s="1" t="s">
        <v>91</v>
      </c>
      <c r="D958" s="1" t="s">
        <v>111</v>
      </c>
      <c r="E958" s="1">
        <v>13.3</v>
      </c>
      <c r="F958" s="1" t="s">
        <v>112</v>
      </c>
      <c r="G958" s="1" t="s">
        <v>355</v>
      </c>
      <c r="H958" s="1" t="s">
        <v>18</v>
      </c>
      <c r="I958" s="1" t="s">
        <v>34</v>
      </c>
      <c r="J958" s="1" t="s">
        <v>81</v>
      </c>
      <c r="K958" s="1" t="s">
        <v>53</v>
      </c>
      <c r="L958" s="1" t="s">
        <v>704</v>
      </c>
      <c r="M958" s="1">
        <v>1899</v>
      </c>
    </row>
    <row r="959" spans="1:13" ht="15.75" customHeight="1">
      <c r="A959" s="1">
        <v>971</v>
      </c>
      <c r="B959" s="1" t="s">
        <v>29</v>
      </c>
      <c r="C959" s="1" t="s">
        <v>975</v>
      </c>
      <c r="D959" s="1" t="s">
        <v>111</v>
      </c>
      <c r="E959" s="1">
        <v>11.6</v>
      </c>
      <c r="F959" s="1" t="s">
        <v>382</v>
      </c>
      <c r="G959" s="1" t="s">
        <v>173</v>
      </c>
      <c r="H959" s="1" t="s">
        <v>50</v>
      </c>
      <c r="I959" s="1" t="s">
        <v>34</v>
      </c>
      <c r="J959" s="1" t="s">
        <v>329</v>
      </c>
      <c r="K959" s="1" t="s">
        <v>53</v>
      </c>
      <c r="L959" s="1" t="s">
        <v>488</v>
      </c>
      <c r="M959" s="1">
        <v>775</v>
      </c>
    </row>
    <row r="960" spans="1:13" ht="15.75" customHeight="1">
      <c r="A960" s="1">
        <v>972</v>
      </c>
      <c r="B960" s="1" t="s">
        <v>74</v>
      </c>
      <c r="C960" s="1" t="s">
        <v>91</v>
      </c>
      <c r="D960" s="1" t="s">
        <v>15</v>
      </c>
      <c r="E960" s="1">
        <v>13.3</v>
      </c>
      <c r="F960" s="1" t="s">
        <v>976</v>
      </c>
      <c r="G960" s="1" t="s">
        <v>389</v>
      </c>
      <c r="H960" s="1" t="s">
        <v>18</v>
      </c>
      <c r="I960" s="1" t="s">
        <v>34</v>
      </c>
      <c r="J960" s="1" t="s">
        <v>71</v>
      </c>
      <c r="K960" s="1" t="s">
        <v>53</v>
      </c>
      <c r="L960" s="1" t="s">
        <v>64</v>
      </c>
      <c r="M960" s="1">
        <v>1268</v>
      </c>
    </row>
    <row r="961" spans="1:13" ht="15.75" customHeight="1">
      <c r="A961" s="1">
        <v>973</v>
      </c>
      <c r="B961" s="1" t="s">
        <v>46</v>
      </c>
      <c r="C961" s="1" t="s">
        <v>977</v>
      </c>
      <c r="D961" s="1" t="s">
        <v>111</v>
      </c>
      <c r="E961" s="1">
        <v>11.6</v>
      </c>
      <c r="F961" s="1" t="s">
        <v>740</v>
      </c>
      <c r="G961" s="1" t="s">
        <v>204</v>
      </c>
      <c r="H961" s="1" t="s">
        <v>50</v>
      </c>
      <c r="I961" s="1" t="s">
        <v>98</v>
      </c>
      <c r="J961" s="1" t="s">
        <v>99</v>
      </c>
      <c r="K961" s="1" t="s">
        <v>456</v>
      </c>
      <c r="L961" s="1" t="s">
        <v>242</v>
      </c>
      <c r="M961" s="1">
        <v>389</v>
      </c>
    </row>
    <row r="962" spans="1:13" ht="15.75" customHeight="1">
      <c r="A962" s="1">
        <v>974</v>
      </c>
      <c r="B962" s="1" t="s">
        <v>293</v>
      </c>
      <c r="C962" s="1" t="s">
        <v>978</v>
      </c>
      <c r="D962" s="1" t="s">
        <v>31</v>
      </c>
      <c r="E962" s="1">
        <v>13.3</v>
      </c>
      <c r="F962" s="1" t="s">
        <v>32</v>
      </c>
      <c r="G962" s="1" t="s">
        <v>765</v>
      </c>
      <c r="H962" s="1" t="s">
        <v>18</v>
      </c>
      <c r="I962" s="1" t="s">
        <v>34</v>
      </c>
      <c r="J962" s="1" t="s">
        <v>71</v>
      </c>
      <c r="K962" s="1" t="s">
        <v>53</v>
      </c>
      <c r="L962" s="1" t="s">
        <v>141</v>
      </c>
      <c r="M962" s="1">
        <v>1535</v>
      </c>
    </row>
    <row r="963" spans="1:13" ht="15.75" customHeight="1">
      <c r="A963" s="1">
        <v>975</v>
      </c>
      <c r="B963" s="1" t="s">
        <v>86</v>
      </c>
      <c r="C963" s="1" t="s">
        <v>596</v>
      </c>
      <c r="D963" s="1" t="s">
        <v>15</v>
      </c>
      <c r="E963" s="1">
        <v>12.5</v>
      </c>
      <c r="F963" s="1" t="s">
        <v>66</v>
      </c>
      <c r="G963" s="1" t="s">
        <v>505</v>
      </c>
      <c r="H963" s="1" t="s">
        <v>18</v>
      </c>
      <c r="I963" s="1" t="s">
        <v>34</v>
      </c>
      <c r="J963" s="1" t="s">
        <v>35</v>
      </c>
      <c r="K963" s="1" t="s">
        <v>53</v>
      </c>
      <c r="L963" s="1" t="s">
        <v>443</v>
      </c>
      <c r="M963" s="1">
        <v>1760</v>
      </c>
    </row>
    <row r="964" spans="1:13" ht="15.75" customHeight="1">
      <c r="A964" s="1">
        <v>976</v>
      </c>
      <c r="B964" s="1" t="s">
        <v>46</v>
      </c>
      <c r="C964" s="1" t="s">
        <v>979</v>
      </c>
      <c r="D964" s="1" t="s">
        <v>31</v>
      </c>
      <c r="E964" s="1">
        <v>15.6</v>
      </c>
      <c r="F964" s="1" t="s">
        <v>32</v>
      </c>
      <c r="G964" s="1" t="s">
        <v>33</v>
      </c>
      <c r="H964" s="1" t="s">
        <v>162</v>
      </c>
      <c r="I964" s="1" t="s">
        <v>104</v>
      </c>
      <c r="J964" s="1" t="s">
        <v>396</v>
      </c>
      <c r="K964" s="1" t="s">
        <v>53</v>
      </c>
      <c r="L964" s="1" t="s">
        <v>183</v>
      </c>
      <c r="M964" s="1">
        <v>1009</v>
      </c>
    </row>
    <row r="965" spans="1:13" ht="15.75" customHeight="1">
      <c r="A965" s="1">
        <v>977</v>
      </c>
      <c r="B965" s="1" t="s">
        <v>293</v>
      </c>
      <c r="C965" s="1" t="s">
        <v>980</v>
      </c>
      <c r="D965" s="1" t="s">
        <v>15</v>
      </c>
      <c r="E965" s="1">
        <v>12.5</v>
      </c>
      <c r="F965" s="1" t="s">
        <v>112</v>
      </c>
      <c r="G965" s="1" t="s">
        <v>83</v>
      </c>
      <c r="H965" s="1" t="s">
        <v>18</v>
      </c>
      <c r="I965" s="1" t="s">
        <v>41</v>
      </c>
      <c r="J965" s="1" t="s">
        <v>35</v>
      </c>
      <c r="K965" s="1" t="s">
        <v>53</v>
      </c>
      <c r="L965" s="1" t="s">
        <v>319</v>
      </c>
      <c r="M965" s="1">
        <v>1790</v>
      </c>
    </row>
    <row r="966" spans="1:13" ht="15.75" customHeight="1">
      <c r="A966" s="1">
        <v>978</v>
      </c>
      <c r="B966" s="1" t="s">
        <v>29</v>
      </c>
      <c r="C966" s="1" t="s">
        <v>150</v>
      </c>
      <c r="D966" s="1" t="s">
        <v>31</v>
      </c>
      <c r="E966" s="1">
        <v>15.6</v>
      </c>
      <c r="F966" s="1" t="s">
        <v>48</v>
      </c>
      <c r="G966" s="1" t="s">
        <v>981</v>
      </c>
      <c r="H966" s="1" t="s">
        <v>18</v>
      </c>
      <c r="I966" s="1" t="s">
        <v>89</v>
      </c>
      <c r="J966" s="1" t="s">
        <v>127</v>
      </c>
      <c r="K966" s="1" t="s">
        <v>53</v>
      </c>
      <c r="L966" s="1" t="s">
        <v>59</v>
      </c>
      <c r="M966" s="1">
        <v>846.5</v>
      </c>
    </row>
    <row r="967" spans="1:13" ht="15.75" customHeight="1">
      <c r="A967" s="1">
        <v>979</v>
      </c>
      <c r="B967" s="1" t="s">
        <v>74</v>
      </c>
      <c r="C967" s="1" t="s">
        <v>75</v>
      </c>
      <c r="D967" s="1" t="s">
        <v>31</v>
      </c>
      <c r="E967" s="1">
        <v>15.6</v>
      </c>
      <c r="F967" s="1" t="s">
        <v>48</v>
      </c>
      <c r="G967" s="1" t="s">
        <v>446</v>
      </c>
      <c r="H967" s="1" t="s">
        <v>50</v>
      </c>
      <c r="I967" s="1" t="s">
        <v>89</v>
      </c>
      <c r="J967" s="1" t="s">
        <v>76</v>
      </c>
      <c r="K967" s="1" t="s">
        <v>147</v>
      </c>
      <c r="L967" s="1" t="s">
        <v>447</v>
      </c>
      <c r="M967" s="1">
        <v>465.62</v>
      </c>
    </row>
    <row r="968" spans="1:13" ht="15.75" customHeight="1">
      <c r="A968" s="1">
        <v>980</v>
      </c>
      <c r="B968" s="1" t="s">
        <v>74</v>
      </c>
      <c r="C968" s="1" t="s">
        <v>663</v>
      </c>
      <c r="D968" s="1" t="s">
        <v>31</v>
      </c>
      <c r="E968" s="1">
        <v>15.6</v>
      </c>
      <c r="F968" s="1" t="s">
        <v>48</v>
      </c>
      <c r="G968" s="1" t="s">
        <v>33</v>
      </c>
      <c r="H968" s="1" t="s">
        <v>50</v>
      </c>
      <c r="I968" s="1" t="s">
        <v>51</v>
      </c>
      <c r="J968" s="1" t="s">
        <v>35</v>
      </c>
      <c r="K968" s="1" t="s">
        <v>53</v>
      </c>
      <c r="L968" s="1" t="s">
        <v>207</v>
      </c>
      <c r="M968" s="1">
        <v>825</v>
      </c>
    </row>
    <row r="969" spans="1:13" ht="15.75" customHeight="1">
      <c r="A969" s="1">
        <v>981</v>
      </c>
      <c r="B969" s="1" t="s">
        <v>29</v>
      </c>
      <c r="C969" s="1" t="s">
        <v>150</v>
      </c>
      <c r="D969" s="1" t="s">
        <v>31</v>
      </c>
      <c r="E969" s="1">
        <v>15.6</v>
      </c>
      <c r="F969" s="1" t="s">
        <v>32</v>
      </c>
      <c r="G969" s="1" t="s">
        <v>88</v>
      </c>
      <c r="H969" s="1" t="s">
        <v>50</v>
      </c>
      <c r="I969" s="1" t="s">
        <v>51</v>
      </c>
      <c r="J969" s="1" t="s">
        <v>35</v>
      </c>
      <c r="K969" s="1" t="s">
        <v>53</v>
      </c>
      <c r="L969" s="1" t="s">
        <v>59</v>
      </c>
      <c r="M969" s="1">
        <v>685</v>
      </c>
    </row>
    <row r="970" spans="1:13" ht="15.75" customHeight="1">
      <c r="A970" s="1">
        <v>982</v>
      </c>
      <c r="B970" s="1" t="s">
        <v>74</v>
      </c>
      <c r="C970" s="1" t="s">
        <v>390</v>
      </c>
      <c r="D970" s="1" t="s">
        <v>102</v>
      </c>
      <c r="E970" s="1">
        <v>17.3</v>
      </c>
      <c r="F970" s="1" t="s">
        <v>66</v>
      </c>
      <c r="G970" s="1" t="s">
        <v>155</v>
      </c>
      <c r="H970" s="1" t="s">
        <v>338</v>
      </c>
      <c r="I970" s="1" t="s">
        <v>156</v>
      </c>
      <c r="J970" s="1" t="s">
        <v>192</v>
      </c>
      <c r="K970" s="1" t="s">
        <v>53</v>
      </c>
      <c r="L970" s="1" t="s">
        <v>391</v>
      </c>
      <c r="M970" s="1">
        <v>3149</v>
      </c>
    </row>
    <row r="971" spans="1:13" ht="15.75" customHeight="1">
      <c r="A971" s="1">
        <v>983</v>
      </c>
      <c r="B971" s="1" t="s">
        <v>86</v>
      </c>
      <c r="C971" s="1" t="s">
        <v>730</v>
      </c>
      <c r="D971" s="1" t="s">
        <v>31</v>
      </c>
      <c r="E971" s="1">
        <v>15.6</v>
      </c>
      <c r="F971" s="1" t="s">
        <v>32</v>
      </c>
      <c r="G971" s="1" t="s">
        <v>33</v>
      </c>
      <c r="H971" s="1" t="s">
        <v>246</v>
      </c>
      <c r="I971" s="1" t="s">
        <v>34</v>
      </c>
      <c r="J971" s="1" t="s">
        <v>174</v>
      </c>
      <c r="K971" s="1" t="s">
        <v>53</v>
      </c>
      <c r="L971" s="1" t="s">
        <v>183</v>
      </c>
      <c r="M971" s="1">
        <v>695</v>
      </c>
    </row>
    <row r="972" spans="1:13" ht="15.75" customHeight="1">
      <c r="A972" s="1">
        <v>984</v>
      </c>
      <c r="B972" s="1" t="s">
        <v>74</v>
      </c>
      <c r="C972" s="1" t="s">
        <v>91</v>
      </c>
      <c r="D972" s="1" t="s">
        <v>111</v>
      </c>
      <c r="E972" s="1">
        <v>13.3</v>
      </c>
      <c r="F972" s="1" t="s">
        <v>262</v>
      </c>
      <c r="G972" s="1" t="s">
        <v>591</v>
      </c>
      <c r="H972" s="1" t="s">
        <v>40</v>
      </c>
      <c r="I972" s="1" t="s">
        <v>41</v>
      </c>
      <c r="J972" s="1" t="s">
        <v>81</v>
      </c>
      <c r="K972" s="1" t="s">
        <v>53</v>
      </c>
      <c r="L972" s="1" t="s">
        <v>93</v>
      </c>
      <c r="M972" s="1">
        <v>1899</v>
      </c>
    </row>
    <row r="973" spans="1:13" ht="15.75" customHeight="1">
      <c r="A973" s="1">
        <v>985</v>
      </c>
      <c r="B973" s="1" t="s">
        <v>74</v>
      </c>
      <c r="C973" s="1" t="s">
        <v>764</v>
      </c>
      <c r="D973" s="1" t="s">
        <v>15</v>
      </c>
      <c r="E973" s="1">
        <v>14</v>
      </c>
      <c r="F973" s="1" t="s">
        <v>358</v>
      </c>
      <c r="G973" s="1" t="s">
        <v>442</v>
      </c>
      <c r="H973" s="1" t="s">
        <v>18</v>
      </c>
      <c r="I973" s="1" t="s">
        <v>34</v>
      </c>
      <c r="J973" s="1" t="s">
        <v>71</v>
      </c>
      <c r="K973" s="1" t="s">
        <v>53</v>
      </c>
      <c r="L973" s="1" t="s">
        <v>244</v>
      </c>
      <c r="M973" s="1">
        <v>1962.98</v>
      </c>
    </row>
    <row r="974" spans="1:13" ht="15.75" customHeight="1">
      <c r="A974" s="1">
        <v>986</v>
      </c>
      <c r="B974" s="1" t="s">
        <v>74</v>
      </c>
      <c r="C974" s="1" t="s">
        <v>390</v>
      </c>
      <c r="D974" s="1" t="s">
        <v>102</v>
      </c>
      <c r="E974" s="1">
        <v>17.3</v>
      </c>
      <c r="F974" s="1" t="s">
        <v>32</v>
      </c>
      <c r="G974" s="1" t="s">
        <v>624</v>
      </c>
      <c r="H974" s="1" t="s">
        <v>338</v>
      </c>
      <c r="I974" s="1" t="s">
        <v>156</v>
      </c>
      <c r="J974" s="1" t="s">
        <v>192</v>
      </c>
      <c r="K974" s="1" t="s">
        <v>53</v>
      </c>
      <c r="L974" s="1" t="s">
        <v>391</v>
      </c>
      <c r="M974" s="1">
        <v>2800</v>
      </c>
    </row>
    <row r="975" spans="1:13" ht="15.75" customHeight="1">
      <c r="A975" s="1">
        <v>987</v>
      </c>
      <c r="B975" s="1" t="s">
        <v>293</v>
      </c>
      <c r="C975" s="1" t="s">
        <v>982</v>
      </c>
      <c r="D975" s="1" t="s">
        <v>31</v>
      </c>
      <c r="E975" s="1">
        <v>14</v>
      </c>
      <c r="F975" s="1" t="s">
        <v>32</v>
      </c>
      <c r="G975" s="1" t="s">
        <v>295</v>
      </c>
      <c r="H975" s="1" t="s">
        <v>18</v>
      </c>
      <c r="I975" s="1" t="s">
        <v>34</v>
      </c>
      <c r="J975" s="1" t="s">
        <v>71</v>
      </c>
      <c r="K975" s="1" t="s">
        <v>53</v>
      </c>
      <c r="L975" s="1" t="s">
        <v>350</v>
      </c>
      <c r="M975" s="1">
        <v>1180</v>
      </c>
    </row>
    <row r="976" spans="1:13" ht="15.75" customHeight="1">
      <c r="A976" s="1">
        <v>988</v>
      </c>
      <c r="B976" s="1" t="s">
        <v>60</v>
      </c>
      <c r="C976" s="1" t="s">
        <v>168</v>
      </c>
      <c r="D976" s="1" t="s">
        <v>102</v>
      </c>
      <c r="E976" s="1">
        <v>17.3</v>
      </c>
      <c r="F976" s="1" t="s">
        <v>32</v>
      </c>
      <c r="G976" s="1" t="s">
        <v>155</v>
      </c>
      <c r="H976" s="1" t="s">
        <v>40</v>
      </c>
      <c r="I976" s="1" t="s">
        <v>156</v>
      </c>
      <c r="J976" s="1" t="s">
        <v>157</v>
      </c>
      <c r="K976" s="1" t="s">
        <v>53</v>
      </c>
      <c r="L976" s="1" t="s">
        <v>714</v>
      </c>
      <c r="M976" s="1">
        <v>2049.9</v>
      </c>
    </row>
    <row r="977" spans="1:13" ht="15.75" customHeight="1">
      <c r="A977" s="1">
        <v>989</v>
      </c>
      <c r="B977" s="1" t="s">
        <v>29</v>
      </c>
      <c r="C977" s="1" t="s">
        <v>658</v>
      </c>
      <c r="D977" s="1" t="s">
        <v>31</v>
      </c>
      <c r="E977" s="1">
        <v>15.6</v>
      </c>
      <c r="F977" s="1" t="s">
        <v>66</v>
      </c>
      <c r="G977" s="1" t="s">
        <v>983</v>
      </c>
      <c r="H977" s="1" t="s">
        <v>18</v>
      </c>
      <c r="I977" s="1" t="s">
        <v>104</v>
      </c>
      <c r="J977" s="1" t="s">
        <v>127</v>
      </c>
      <c r="K977" s="1" t="s">
        <v>53</v>
      </c>
      <c r="L977" s="1" t="s">
        <v>59</v>
      </c>
      <c r="M977" s="1">
        <v>979</v>
      </c>
    </row>
    <row r="978" spans="1:13" ht="15.75" customHeight="1">
      <c r="A978" s="1">
        <v>990</v>
      </c>
      <c r="B978" s="1" t="s">
        <v>86</v>
      </c>
      <c r="C978" s="1" t="s">
        <v>984</v>
      </c>
      <c r="D978" s="1" t="s">
        <v>31</v>
      </c>
      <c r="E978" s="1">
        <v>14</v>
      </c>
      <c r="F978" s="1" t="s">
        <v>48</v>
      </c>
      <c r="G978" s="1" t="s">
        <v>295</v>
      </c>
      <c r="H978" s="1" t="s">
        <v>50</v>
      </c>
      <c r="I978" s="1" t="s">
        <v>985</v>
      </c>
      <c r="J978" s="1" t="s">
        <v>71</v>
      </c>
      <c r="K978" s="1" t="s">
        <v>662</v>
      </c>
      <c r="L978" s="1" t="s">
        <v>986</v>
      </c>
      <c r="M978" s="1">
        <v>1002</v>
      </c>
    </row>
    <row r="979" spans="1:13" ht="15.75" customHeight="1">
      <c r="A979" s="1">
        <v>991</v>
      </c>
      <c r="B979" s="1" t="s">
        <v>60</v>
      </c>
      <c r="C979" s="1" t="s">
        <v>987</v>
      </c>
      <c r="D979" s="1" t="s">
        <v>111</v>
      </c>
      <c r="E979" s="1">
        <v>15.6</v>
      </c>
      <c r="F979" s="1" t="s">
        <v>352</v>
      </c>
      <c r="G979" s="1" t="s">
        <v>83</v>
      </c>
      <c r="H979" s="1" t="s">
        <v>40</v>
      </c>
      <c r="I979" s="1" t="s">
        <v>522</v>
      </c>
      <c r="J979" s="1" t="s">
        <v>396</v>
      </c>
      <c r="K979" s="1" t="s">
        <v>53</v>
      </c>
      <c r="L979" s="1" t="s">
        <v>116</v>
      </c>
      <c r="M979" s="1">
        <v>1799</v>
      </c>
    </row>
    <row r="980" spans="1:13" ht="15.75" customHeight="1">
      <c r="A980" s="1">
        <v>992</v>
      </c>
      <c r="B980" s="1" t="s">
        <v>29</v>
      </c>
      <c r="C980" s="1" t="s">
        <v>988</v>
      </c>
      <c r="D980" s="1" t="s">
        <v>31</v>
      </c>
      <c r="E980" s="1">
        <v>15.6</v>
      </c>
      <c r="F980" s="1" t="s">
        <v>48</v>
      </c>
      <c r="G980" s="1" t="s">
        <v>83</v>
      </c>
      <c r="H980" s="1" t="s">
        <v>246</v>
      </c>
      <c r="I980" s="1" t="s">
        <v>89</v>
      </c>
      <c r="J980" s="1" t="s">
        <v>35</v>
      </c>
      <c r="K980" s="1" t="s">
        <v>53</v>
      </c>
      <c r="L980" s="1" t="s">
        <v>59</v>
      </c>
      <c r="M980" s="1">
        <v>579</v>
      </c>
    </row>
    <row r="981" spans="1:13" ht="15.75" customHeight="1">
      <c r="A981" s="1">
        <v>993</v>
      </c>
      <c r="B981" s="1" t="s">
        <v>60</v>
      </c>
      <c r="C981" s="1" t="s">
        <v>989</v>
      </c>
      <c r="D981" s="1" t="s">
        <v>102</v>
      </c>
      <c r="E981" s="1">
        <v>17.3</v>
      </c>
      <c r="F981" s="1" t="s">
        <v>32</v>
      </c>
      <c r="G981" s="1" t="s">
        <v>155</v>
      </c>
      <c r="H981" s="1" t="s">
        <v>40</v>
      </c>
      <c r="I981" s="1" t="s">
        <v>156</v>
      </c>
      <c r="J981" s="1" t="s">
        <v>201</v>
      </c>
      <c r="K981" s="1" t="s">
        <v>53</v>
      </c>
      <c r="L981" s="1" t="s">
        <v>990</v>
      </c>
      <c r="M981" s="1">
        <v>1749</v>
      </c>
    </row>
    <row r="982" spans="1:13" ht="15.75" customHeight="1">
      <c r="A982" s="1">
        <v>994</v>
      </c>
      <c r="B982" s="1" t="s">
        <v>74</v>
      </c>
      <c r="C982" s="1" t="s">
        <v>991</v>
      </c>
      <c r="D982" s="1" t="s">
        <v>111</v>
      </c>
      <c r="E982" s="1">
        <v>15.6</v>
      </c>
      <c r="F982" s="1" t="s">
        <v>92</v>
      </c>
      <c r="G982" s="1" t="s">
        <v>83</v>
      </c>
      <c r="H982" s="1" t="s">
        <v>162</v>
      </c>
      <c r="I982" s="1" t="s">
        <v>41</v>
      </c>
      <c r="J982" s="1" t="s">
        <v>35</v>
      </c>
      <c r="K982" s="1" t="s">
        <v>53</v>
      </c>
      <c r="L982" s="1" t="s">
        <v>457</v>
      </c>
      <c r="M982" s="1">
        <v>1299</v>
      </c>
    </row>
    <row r="983" spans="1:13" ht="15.75" customHeight="1">
      <c r="A983" s="1">
        <v>995</v>
      </c>
      <c r="B983" s="1" t="s">
        <v>293</v>
      </c>
      <c r="C983" s="1" t="s">
        <v>992</v>
      </c>
      <c r="D983" s="1" t="s">
        <v>31</v>
      </c>
      <c r="E983" s="1">
        <v>13.3</v>
      </c>
      <c r="F983" s="1" t="s">
        <v>32</v>
      </c>
      <c r="G983" s="1" t="s">
        <v>295</v>
      </c>
      <c r="H983" s="1" t="s">
        <v>50</v>
      </c>
      <c r="I983" s="1" t="s">
        <v>19</v>
      </c>
      <c r="J983" s="1" t="s">
        <v>71</v>
      </c>
      <c r="K983" s="1" t="s">
        <v>662</v>
      </c>
      <c r="L983" s="1" t="s">
        <v>141</v>
      </c>
      <c r="M983" s="1">
        <v>1195</v>
      </c>
    </row>
    <row r="984" spans="1:13" ht="15.75" customHeight="1">
      <c r="A984" s="1">
        <v>996</v>
      </c>
      <c r="B984" s="1" t="s">
        <v>86</v>
      </c>
      <c r="C984" s="1" t="s">
        <v>510</v>
      </c>
      <c r="D984" s="1" t="s">
        <v>31</v>
      </c>
      <c r="E984" s="1">
        <v>15.6</v>
      </c>
      <c r="F984" s="1" t="s">
        <v>32</v>
      </c>
      <c r="G984" s="1" t="s">
        <v>511</v>
      </c>
      <c r="H984" s="1" t="s">
        <v>246</v>
      </c>
      <c r="I984" s="1" t="s">
        <v>34</v>
      </c>
      <c r="J984" s="1" t="s">
        <v>121</v>
      </c>
      <c r="K984" s="1" t="s">
        <v>53</v>
      </c>
      <c r="L984" s="1" t="s">
        <v>77</v>
      </c>
      <c r="M984" s="1">
        <v>549</v>
      </c>
    </row>
    <row r="985" spans="1:13" ht="15.75" customHeight="1">
      <c r="A985" s="1">
        <v>997</v>
      </c>
      <c r="B985" s="1" t="s">
        <v>693</v>
      </c>
      <c r="C985" s="1" t="s">
        <v>993</v>
      </c>
      <c r="D985" s="1" t="s">
        <v>31</v>
      </c>
      <c r="E985" s="1">
        <v>15.6</v>
      </c>
      <c r="F985" s="1" t="s">
        <v>48</v>
      </c>
      <c r="G985" s="1" t="s">
        <v>295</v>
      </c>
      <c r="H985" s="1" t="s">
        <v>50</v>
      </c>
      <c r="I985" s="1" t="s">
        <v>34</v>
      </c>
      <c r="J985" s="1" t="s">
        <v>71</v>
      </c>
      <c r="K985" s="1" t="s">
        <v>53</v>
      </c>
      <c r="L985" s="1" t="s">
        <v>116</v>
      </c>
      <c r="M985" s="1">
        <v>649</v>
      </c>
    </row>
    <row r="986" spans="1:13" ht="15.75" customHeight="1">
      <c r="A986" s="1">
        <v>998</v>
      </c>
      <c r="B986" s="1" t="s">
        <v>293</v>
      </c>
      <c r="C986" s="1" t="s">
        <v>994</v>
      </c>
      <c r="D986" s="1" t="s">
        <v>31</v>
      </c>
      <c r="E986" s="1">
        <v>14</v>
      </c>
      <c r="F986" s="1" t="s">
        <v>48</v>
      </c>
      <c r="G986" s="1" t="s">
        <v>295</v>
      </c>
      <c r="H986" s="1" t="s">
        <v>50</v>
      </c>
      <c r="I986" s="1" t="s">
        <v>51</v>
      </c>
      <c r="J986" s="1" t="s">
        <v>71</v>
      </c>
      <c r="K986" s="1" t="s">
        <v>53</v>
      </c>
      <c r="L986" s="1" t="s">
        <v>291</v>
      </c>
      <c r="M986" s="1">
        <v>915</v>
      </c>
    </row>
    <row r="987" spans="1:13" ht="15.75" customHeight="1">
      <c r="A987" s="1">
        <v>999</v>
      </c>
      <c r="B987" s="1" t="s">
        <v>74</v>
      </c>
      <c r="C987" s="1" t="s">
        <v>75</v>
      </c>
      <c r="D987" s="1" t="s">
        <v>31</v>
      </c>
      <c r="E987" s="1">
        <v>15.6</v>
      </c>
      <c r="F987" s="1" t="s">
        <v>48</v>
      </c>
      <c r="G987" s="1" t="s">
        <v>33</v>
      </c>
      <c r="H987" s="1" t="s">
        <v>50</v>
      </c>
      <c r="I987" s="1" t="s">
        <v>51</v>
      </c>
      <c r="J987" s="1" t="s">
        <v>76</v>
      </c>
      <c r="K987" s="1" t="s">
        <v>53</v>
      </c>
      <c r="L987" s="1" t="s">
        <v>447</v>
      </c>
      <c r="M987" s="1">
        <v>599</v>
      </c>
    </row>
    <row r="988" spans="1:13" ht="15.75" customHeight="1">
      <c r="A988" s="1">
        <v>1000</v>
      </c>
      <c r="B988" s="1" t="s">
        <v>29</v>
      </c>
      <c r="C988" s="1" t="s">
        <v>658</v>
      </c>
      <c r="D988" s="1" t="s">
        <v>31</v>
      </c>
      <c r="E988" s="1">
        <v>15.6</v>
      </c>
      <c r="F988" s="1" t="s">
        <v>32</v>
      </c>
      <c r="G988" s="1" t="s">
        <v>33</v>
      </c>
      <c r="H988" s="1" t="s">
        <v>18</v>
      </c>
      <c r="I988" s="1" t="s">
        <v>89</v>
      </c>
      <c r="J988" s="1" t="s">
        <v>35</v>
      </c>
      <c r="K988" s="1" t="s">
        <v>53</v>
      </c>
      <c r="L988" s="1" t="s">
        <v>59</v>
      </c>
      <c r="M988" s="1">
        <v>806</v>
      </c>
    </row>
    <row r="989" spans="1:13" ht="15.75" customHeight="1">
      <c r="A989" s="1">
        <v>1001</v>
      </c>
      <c r="B989" s="1" t="s">
        <v>86</v>
      </c>
      <c r="C989" s="1" t="s">
        <v>101</v>
      </c>
      <c r="D989" s="1" t="s">
        <v>102</v>
      </c>
      <c r="E989" s="1">
        <v>15.6</v>
      </c>
      <c r="F989" s="1" t="s">
        <v>66</v>
      </c>
      <c r="G989" s="1" t="s">
        <v>155</v>
      </c>
      <c r="H989" s="1" t="s">
        <v>18</v>
      </c>
      <c r="I989" s="1" t="s">
        <v>104</v>
      </c>
      <c r="J989" s="1" t="s">
        <v>157</v>
      </c>
      <c r="K989" s="1" t="s">
        <v>53</v>
      </c>
      <c r="L989" s="1" t="s">
        <v>106</v>
      </c>
      <c r="M989" s="1">
        <v>1189</v>
      </c>
    </row>
    <row r="990" spans="1:13" ht="15.75" customHeight="1">
      <c r="A990" s="1">
        <v>1002</v>
      </c>
      <c r="B990" s="1" t="s">
        <v>74</v>
      </c>
      <c r="C990" s="1" t="s">
        <v>279</v>
      </c>
      <c r="D990" s="1" t="s">
        <v>31</v>
      </c>
      <c r="E990" s="1">
        <v>15.6</v>
      </c>
      <c r="F990" s="1" t="s">
        <v>48</v>
      </c>
      <c r="G990" s="1" t="s">
        <v>83</v>
      </c>
      <c r="H990" s="1" t="s">
        <v>18</v>
      </c>
      <c r="I990" s="1" t="s">
        <v>89</v>
      </c>
      <c r="J990" s="1" t="s">
        <v>280</v>
      </c>
      <c r="K990" s="1" t="s">
        <v>53</v>
      </c>
      <c r="L990" s="1" t="s">
        <v>281</v>
      </c>
      <c r="M990" s="1">
        <v>749</v>
      </c>
    </row>
    <row r="991" spans="1:13" ht="15.75" customHeight="1">
      <c r="A991" s="1">
        <v>1003</v>
      </c>
      <c r="B991" s="1" t="s">
        <v>74</v>
      </c>
      <c r="C991" s="1" t="s">
        <v>575</v>
      </c>
      <c r="D991" s="1" t="s">
        <v>31</v>
      </c>
      <c r="E991" s="1">
        <v>14</v>
      </c>
      <c r="F991" s="1" t="s">
        <v>32</v>
      </c>
      <c r="G991" s="1" t="s">
        <v>33</v>
      </c>
      <c r="H991" s="1" t="s">
        <v>18</v>
      </c>
      <c r="I991" s="1" t="s">
        <v>19</v>
      </c>
      <c r="J991" s="1" t="s">
        <v>995</v>
      </c>
      <c r="K991" s="1" t="s">
        <v>53</v>
      </c>
      <c r="L991" s="1" t="s">
        <v>69</v>
      </c>
      <c r="M991" s="1">
        <v>1119</v>
      </c>
    </row>
    <row r="992" spans="1:13" ht="15.75" customHeight="1">
      <c r="A992" s="1">
        <v>1004</v>
      </c>
      <c r="B992" s="1" t="s">
        <v>29</v>
      </c>
      <c r="C992" s="1" t="s">
        <v>297</v>
      </c>
      <c r="D992" s="1" t="s">
        <v>95</v>
      </c>
      <c r="E992" s="1">
        <v>12.5</v>
      </c>
      <c r="F992" s="1" t="s">
        <v>32</v>
      </c>
      <c r="G992" s="1" t="s">
        <v>299</v>
      </c>
      <c r="H992" s="1" t="s">
        <v>18</v>
      </c>
      <c r="I992" s="1" t="s">
        <v>41</v>
      </c>
      <c r="J992" s="1" t="s">
        <v>300</v>
      </c>
      <c r="K992" s="1" t="s">
        <v>53</v>
      </c>
      <c r="L992" s="1" t="s">
        <v>301</v>
      </c>
      <c r="M992" s="1">
        <v>1908</v>
      </c>
    </row>
    <row r="993" spans="1:13" ht="15.75" customHeight="1">
      <c r="A993" s="1">
        <v>1005</v>
      </c>
      <c r="B993" s="1" t="s">
        <v>29</v>
      </c>
      <c r="C993" s="1" t="s">
        <v>996</v>
      </c>
      <c r="D993" s="1" t="s">
        <v>31</v>
      </c>
      <c r="E993" s="1">
        <v>15.6</v>
      </c>
      <c r="F993" s="1" t="s">
        <v>32</v>
      </c>
      <c r="G993" s="1" t="s">
        <v>70</v>
      </c>
      <c r="H993" s="1" t="s">
        <v>50</v>
      </c>
      <c r="I993" s="1" t="s">
        <v>104</v>
      </c>
      <c r="J993" s="1" t="s">
        <v>185</v>
      </c>
      <c r="K993" s="1" t="s">
        <v>53</v>
      </c>
      <c r="L993" s="1" t="s">
        <v>54</v>
      </c>
      <c r="M993" s="1">
        <v>499</v>
      </c>
    </row>
    <row r="994" spans="1:13" ht="15.75" customHeight="1">
      <c r="A994" s="1">
        <v>1006</v>
      </c>
      <c r="B994" s="1" t="s">
        <v>86</v>
      </c>
      <c r="C994" s="1" t="s">
        <v>997</v>
      </c>
      <c r="D994" s="1" t="s">
        <v>31</v>
      </c>
      <c r="E994" s="1">
        <v>15.6</v>
      </c>
      <c r="F994" s="1" t="s">
        <v>48</v>
      </c>
      <c r="G994" s="1" t="s">
        <v>143</v>
      </c>
      <c r="H994" s="1" t="s">
        <v>50</v>
      </c>
      <c r="I994" s="1" t="s">
        <v>19</v>
      </c>
      <c r="J994" s="1" t="s">
        <v>144</v>
      </c>
      <c r="K994" s="1" t="s">
        <v>36</v>
      </c>
      <c r="L994" s="1" t="s">
        <v>207</v>
      </c>
      <c r="M994" s="1">
        <v>270.62</v>
      </c>
    </row>
    <row r="995" spans="1:13" ht="15.75" customHeight="1">
      <c r="A995" s="1">
        <v>1007</v>
      </c>
      <c r="B995" s="1" t="s">
        <v>86</v>
      </c>
      <c r="C995" s="1" t="s">
        <v>998</v>
      </c>
      <c r="D995" s="1" t="s">
        <v>31</v>
      </c>
      <c r="E995" s="1">
        <v>15.6</v>
      </c>
      <c r="F995" s="1" t="s">
        <v>32</v>
      </c>
      <c r="G995" s="1" t="s">
        <v>295</v>
      </c>
      <c r="H995" s="1" t="s">
        <v>18</v>
      </c>
      <c r="I995" s="1" t="s">
        <v>34</v>
      </c>
      <c r="J995" s="1" t="s">
        <v>71</v>
      </c>
      <c r="K995" s="1" t="s">
        <v>53</v>
      </c>
      <c r="L995" s="1" t="s">
        <v>116</v>
      </c>
      <c r="M995" s="1">
        <v>1349</v>
      </c>
    </row>
    <row r="996" spans="1:13" ht="15.75" customHeight="1">
      <c r="A996" s="1">
        <v>1008</v>
      </c>
      <c r="B996" s="1" t="s">
        <v>74</v>
      </c>
      <c r="C996" s="1" t="s">
        <v>824</v>
      </c>
      <c r="D996" s="1" t="s">
        <v>111</v>
      </c>
      <c r="E996" s="1">
        <v>13.3</v>
      </c>
      <c r="F996" s="1" t="s">
        <v>112</v>
      </c>
      <c r="G996" s="1" t="s">
        <v>33</v>
      </c>
      <c r="H996" s="1" t="s">
        <v>18</v>
      </c>
      <c r="I996" s="1" t="s">
        <v>34</v>
      </c>
      <c r="J996" s="1" t="s">
        <v>35</v>
      </c>
      <c r="K996" s="1" t="s">
        <v>53</v>
      </c>
      <c r="L996" s="1" t="s">
        <v>423</v>
      </c>
      <c r="M996" s="1">
        <v>889</v>
      </c>
    </row>
    <row r="997" spans="1:13" ht="15.75" customHeight="1">
      <c r="A997" s="1">
        <v>1009</v>
      </c>
      <c r="B997" s="1" t="s">
        <v>60</v>
      </c>
      <c r="C997" s="1" t="s">
        <v>999</v>
      </c>
      <c r="D997" s="1" t="s">
        <v>31</v>
      </c>
      <c r="E997" s="1">
        <v>13.3</v>
      </c>
      <c r="F997" s="1" t="s">
        <v>976</v>
      </c>
      <c r="G997" s="1" t="s">
        <v>33</v>
      </c>
      <c r="H997" s="1" t="s">
        <v>18</v>
      </c>
      <c r="I997" s="1" t="s">
        <v>34</v>
      </c>
      <c r="J997" s="1" t="s">
        <v>35</v>
      </c>
      <c r="K997" s="1" t="s">
        <v>53</v>
      </c>
      <c r="L997" s="1" t="s">
        <v>199</v>
      </c>
      <c r="M997" s="1">
        <v>1150</v>
      </c>
    </row>
    <row r="998" spans="1:13" ht="15.75" customHeight="1">
      <c r="A998" s="1">
        <v>1010</v>
      </c>
      <c r="B998" s="1" t="s">
        <v>29</v>
      </c>
      <c r="C998" s="1" t="s">
        <v>1000</v>
      </c>
      <c r="D998" s="1" t="s">
        <v>15</v>
      </c>
      <c r="E998" s="1">
        <v>13.3</v>
      </c>
      <c r="F998" s="1" t="s">
        <v>92</v>
      </c>
      <c r="G998" s="1" t="s">
        <v>83</v>
      </c>
      <c r="H998" s="1" t="s">
        <v>18</v>
      </c>
      <c r="I998" s="1" t="s">
        <v>34</v>
      </c>
      <c r="J998" s="1" t="s">
        <v>35</v>
      </c>
      <c r="K998" s="1" t="s">
        <v>53</v>
      </c>
      <c r="L998" s="1" t="s">
        <v>1001</v>
      </c>
      <c r="M998" s="1">
        <v>1349</v>
      </c>
    </row>
    <row r="999" spans="1:13" ht="15.75" customHeight="1">
      <c r="A999" s="1">
        <v>1011</v>
      </c>
      <c r="B999" s="1" t="s">
        <v>46</v>
      </c>
      <c r="C999" s="1" t="s">
        <v>1002</v>
      </c>
      <c r="D999" s="1" t="s">
        <v>31</v>
      </c>
      <c r="E999" s="1">
        <v>15.6</v>
      </c>
      <c r="F999" s="1" t="s">
        <v>48</v>
      </c>
      <c r="G999" s="1" t="s">
        <v>173</v>
      </c>
      <c r="H999" s="1" t="s">
        <v>50</v>
      </c>
      <c r="I999" s="1" t="s">
        <v>51</v>
      </c>
      <c r="J999" s="1" t="s">
        <v>329</v>
      </c>
      <c r="K999" s="1" t="s">
        <v>53</v>
      </c>
      <c r="L999" s="1" t="s">
        <v>183</v>
      </c>
      <c r="M999" s="1">
        <v>380</v>
      </c>
    </row>
    <row r="1000" spans="1:13" ht="15.75" customHeight="1">
      <c r="A1000" s="1">
        <v>1012</v>
      </c>
      <c r="B1000" s="1" t="s">
        <v>60</v>
      </c>
      <c r="C1000" s="1" t="s">
        <v>1003</v>
      </c>
      <c r="D1000" s="1" t="s">
        <v>102</v>
      </c>
      <c r="E1000" s="1">
        <v>15.6</v>
      </c>
      <c r="F1000" s="1" t="s">
        <v>32</v>
      </c>
      <c r="G1000" s="1" t="s">
        <v>155</v>
      </c>
      <c r="H1000" s="1" t="s">
        <v>40</v>
      </c>
      <c r="I1000" s="1" t="s">
        <v>156</v>
      </c>
      <c r="J1000" s="1" t="s">
        <v>201</v>
      </c>
      <c r="K1000" s="1" t="s">
        <v>53</v>
      </c>
      <c r="L1000" s="1" t="s">
        <v>106</v>
      </c>
      <c r="M1000" s="1">
        <v>1799</v>
      </c>
    </row>
    <row r="1001" spans="1:13" ht="15.75" customHeight="1">
      <c r="A1001" s="1">
        <v>1013</v>
      </c>
      <c r="B1001" s="1" t="s">
        <v>29</v>
      </c>
      <c r="C1001" s="1" t="s">
        <v>312</v>
      </c>
      <c r="D1001" s="1" t="s">
        <v>15</v>
      </c>
      <c r="E1001" s="1">
        <v>14</v>
      </c>
      <c r="F1001" s="1" t="s">
        <v>32</v>
      </c>
      <c r="G1001" s="1" t="s">
        <v>83</v>
      </c>
      <c r="H1001" s="1" t="s">
        <v>18</v>
      </c>
      <c r="I1001" s="1" t="s">
        <v>41</v>
      </c>
      <c r="J1001" s="1" t="s">
        <v>35</v>
      </c>
      <c r="K1001" s="1" t="s">
        <v>53</v>
      </c>
      <c r="L1001" s="1" t="s">
        <v>314</v>
      </c>
      <c r="M1001" s="1">
        <v>2089</v>
      </c>
    </row>
    <row r="1002" spans="1:13" ht="15.75" customHeight="1">
      <c r="A1002" s="1">
        <v>1014</v>
      </c>
      <c r="B1002" s="1" t="s">
        <v>46</v>
      </c>
      <c r="C1002" s="1" t="s">
        <v>1004</v>
      </c>
      <c r="D1002" s="1" t="s">
        <v>102</v>
      </c>
      <c r="E1002" s="1">
        <v>15.6</v>
      </c>
      <c r="F1002" s="1" t="s">
        <v>66</v>
      </c>
      <c r="G1002" s="1" t="s">
        <v>155</v>
      </c>
      <c r="H1002" s="1" t="s">
        <v>18</v>
      </c>
      <c r="I1002" s="1" t="s">
        <v>104</v>
      </c>
      <c r="J1002" s="1" t="s">
        <v>105</v>
      </c>
      <c r="K1002" s="1" t="s">
        <v>53</v>
      </c>
      <c r="L1002" s="1" t="s">
        <v>217</v>
      </c>
      <c r="M1002" s="1">
        <v>1260</v>
      </c>
    </row>
    <row r="1003" spans="1:13" ht="15.75" customHeight="1">
      <c r="A1003" s="1">
        <v>1015</v>
      </c>
      <c r="B1003" s="1" t="s">
        <v>29</v>
      </c>
      <c r="C1003" s="1" t="s">
        <v>1005</v>
      </c>
      <c r="D1003" s="1" t="s">
        <v>31</v>
      </c>
      <c r="E1003" s="1">
        <v>13.3</v>
      </c>
      <c r="F1003" s="1" t="s">
        <v>66</v>
      </c>
      <c r="G1003" s="1" t="s">
        <v>33</v>
      </c>
      <c r="H1003" s="1" t="s">
        <v>18</v>
      </c>
      <c r="I1003" s="1" t="s">
        <v>34</v>
      </c>
      <c r="J1003" s="1" t="s">
        <v>35</v>
      </c>
      <c r="K1003" s="1" t="s">
        <v>53</v>
      </c>
      <c r="L1003" s="1" t="s">
        <v>28</v>
      </c>
      <c r="M1003" s="1">
        <v>1189</v>
      </c>
    </row>
    <row r="1004" spans="1:13" ht="15.75" customHeight="1">
      <c r="A1004" s="1">
        <v>1016</v>
      </c>
      <c r="B1004" s="1" t="s">
        <v>74</v>
      </c>
      <c r="C1004" s="1" t="s">
        <v>432</v>
      </c>
      <c r="D1004" s="1" t="s">
        <v>31</v>
      </c>
      <c r="E1004" s="1">
        <v>15.6</v>
      </c>
      <c r="F1004" s="1" t="s">
        <v>48</v>
      </c>
      <c r="G1004" s="1" t="s">
        <v>88</v>
      </c>
      <c r="H1004" s="1" t="s">
        <v>50</v>
      </c>
      <c r="I1004" s="1" t="s">
        <v>19</v>
      </c>
      <c r="J1004" s="1" t="s">
        <v>35</v>
      </c>
      <c r="K1004" s="1" t="s">
        <v>53</v>
      </c>
      <c r="L1004" s="1" t="s">
        <v>433</v>
      </c>
      <c r="M1004" s="1">
        <v>547</v>
      </c>
    </row>
    <row r="1005" spans="1:13" ht="15.75" customHeight="1">
      <c r="A1005" s="1">
        <v>1017</v>
      </c>
      <c r="B1005" s="1" t="s">
        <v>29</v>
      </c>
      <c r="C1005" s="1" t="s">
        <v>266</v>
      </c>
      <c r="D1005" s="1" t="s">
        <v>31</v>
      </c>
      <c r="E1005" s="1">
        <v>14</v>
      </c>
      <c r="F1005" s="1" t="s">
        <v>48</v>
      </c>
      <c r="G1005" s="1" t="s">
        <v>33</v>
      </c>
      <c r="H1005" s="1" t="s">
        <v>50</v>
      </c>
      <c r="I1005" s="1" t="s">
        <v>51</v>
      </c>
      <c r="J1005" s="1" t="s">
        <v>35</v>
      </c>
      <c r="K1005" s="1" t="s">
        <v>53</v>
      </c>
      <c r="L1005" s="1" t="s">
        <v>599</v>
      </c>
      <c r="M1005" s="1">
        <v>779</v>
      </c>
    </row>
    <row r="1006" spans="1:13" ht="15.75" customHeight="1">
      <c r="A1006" s="1">
        <v>1018</v>
      </c>
      <c r="B1006" s="1" t="s">
        <v>293</v>
      </c>
      <c r="C1006" s="1" t="s">
        <v>1006</v>
      </c>
      <c r="D1006" s="1" t="s">
        <v>31</v>
      </c>
      <c r="E1006" s="1">
        <v>13.3</v>
      </c>
      <c r="F1006" s="1" t="s">
        <v>32</v>
      </c>
      <c r="G1006" s="1" t="s">
        <v>295</v>
      </c>
      <c r="H1006" s="1" t="s">
        <v>50</v>
      </c>
      <c r="I1006" s="1" t="s">
        <v>19</v>
      </c>
      <c r="J1006" s="1" t="s">
        <v>71</v>
      </c>
      <c r="K1006" s="1" t="s">
        <v>53</v>
      </c>
      <c r="L1006" s="1" t="s">
        <v>141</v>
      </c>
      <c r="M1006" s="1">
        <v>1195</v>
      </c>
    </row>
    <row r="1007" spans="1:13" ht="15.75" customHeight="1">
      <c r="A1007" s="1">
        <v>1019</v>
      </c>
      <c r="B1007" s="1" t="s">
        <v>29</v>
      </c>
      <c r="C1007" s="1" t="s">
        <v>312</v>
      </c>
      <c r="D1007" s="1" t="s">
        <v>31</v>
      </c>
      <c r="E1007" s="1">
        <v>14</v>
      </c>
      <c r="F1007" s="1" t="s">
        <v>48</v>
      </c>
      <c r="G1007" s="1" t="s">
        <v>765</v>
      </c>
      <c r="H1007" s="1" t="s">
        <v>50</v>
      </c>
      <c r="I1007" s="1" t="s">
        <v>34</v>
      </c>
      <c r="J1007" s="1" t="s">
        <v>71</v>
      </c>
      <c r="K1007" s="1" t="s">
        <v>53</v>
      </c>
      <c r="L1007" s="1" t="s">
        <v>314</v>
      </c>
      <c r="M1007" s="1">
        <v>1099.99</v>
      </c>
    </row>
    <row r="1008" spans="1:13" ht="15.75" customHeight="1">
      <c r="A1008" s="1">
        <v>1020</v>
      </c>
      <c r="B1008" s="1" t="s">
        <v>29</v>
      </c>
      <c r="C1008" s="1" t="s">
        <v>489</v>
      </c>
      <c r="D1008" s="1" t="s">
        <v>31</v>
      </c>
      <c r="E1008" s="1">
        <v>14</v>
      </c>
      <c r="F1008" s="1" t="s">
        <v>32</v>
      </c>
      <c r="G1008" s="1" t="s">
        <v>33</v>
      </c>
      <c r="H1008" s="1" t="s">
        <v>50</v>
      </c>
      <c r="I1008" s="1" t="s">
        <v>34</v>
      </c>
      <c r="J1008" s="1" t="s">
        <v>35</v>
      </c>
      <c r="K1008" s="1" t="s">
        <v>53</v>
      </c>
      <c r="L1008" s="1" t="s">
        <v>350</v>
      </c>
      <c r="M1008" s="1">
        <v>1205</v>
      </c>
    </row>
    <row r="1009" spans="1:13" ht="15.75" customHeight="1">
      <c r="A1009" s="1">
        <v>1021</v>
      </c>
      <c r="B1009" s="1" t="s">
        <v>29</v>
      </c>
      <c r="C1009" s="1" t="s">
        <v>568</v>
      </c>
      <c r="D1009" s="1" t="s">
        <v>15</v>
      </c>
      <c r="E1009" s="1">
        <v>14</v>
      </c>
      <c r="F1009" s="1" t="s">
        <v>32</v>
      </c>
      <c r="G1009" s="1" t="s">
        <v>442</v>
      </c>
      <c r="H1009" s="1" t="s">
        <v>18</v>
      </c>
      <c r="I1009" s="1" t="s">
        <v>34</v>
      </c>
      <c r="J1009" s="1" t="s">
        <v>71</v>
      </c>
      <c r="K1009" s="1" t="s">
        <v>662</v>
      </c>
      <c r="L1009" s="1" t="s">
        <v>569</v>
      </c>
      <c r="M1009" s="1">
        <v>1449</v>
      </c>
    </row>
    <row r="1010" spans="1:13" ht="15.75" customHeight="1">
      <c r="A1010" s="1">
        <v>1022</v>
      </c>
      <c r="B1010" s="1" t="s">
        <v>29</v>
      </c>
      <c r="C1010" s="1" t="s">
        <v>226</v>
      </c>
      <c r="D1010" s="1" t="s">
        <v>31</v>
      </c>
      <c r="E1010" s="1">
        <v>14</v>
      </c>
      <c r="F1010" s="1" t="s">
        <v>32</v>
      </c>
      <c r="G1010" s="1" t="s">
        <v>33</v>
      </c>
      <c r="H1010" s="1" t="s">
        <v>18</v>
      </c>
      <c r="I1010" s="1" t="s">
        <v>34</v>
      </c>
      <c r="J1010" s="1" t="s">
        <v>127</v>
      </c>
      <c r="K1010" s="1" t="s">
        <v>53</v>
      </c>
      <c r="L1010" s="1" t="s">
        <v>599</v>
      </c>
      <c r="M1010" s="1">
        <v>1049.26</v>
      </c>
    </row>
    <row r="1011" spans="1:13" ht="15.75" customHeight="1">
      <c r="A1011" s="1">
        <v>1023</v>
      </c>
      <c r="B1011" s="1" t="s">
        <v>29</v>
      </c>
      <c r="C1011" s="1" t="s">
        <v>266</v>
      </c>
      <c r="D1011" s="1" t="s">
        <v>31</v>
      </c>
      <c r="E1011" s="1">
        <v>14</v>
      </c>
      <c r="F1011" s="1" t="s">
        <v>48</v>
      </c>
      <c r="G1011" s="1" t="s">
        <v>88</v>
      </c>
      <c r="H1011" s="1" t="s">
        <v>50</v>
      </c>
      <c r="I1011" s="1" t="s">
        <v>51</v>
      </c>
      <c r="J1011" s="1" t="s">
        <v>35</v>
      </c>
      <c r="K1011" s="1" t="s">
        <v>53</v>
      </c>
      <c r="L1011" s="1" t="s">
        <v>599</v>
      </c>
      <c r="M1011" s="1">
        <v>684</v>
      </c>
    </row>
    <row r="1012" spans="1:13" ht="15.75" customHeight="1">
      <c r="A1012" s="1">
        <v>1024</v>
      </c>
      <c r="B1012" s="1" t="s">
        <v>74</v>
      </c>
      <c r="C1012" s="1" t="s">
        <v>308</v>
      </c>
      <c r="D1012" s="1" t="s">
        <v>102</v>
      </c>
      <c r="E1012" s="1">
        <v>15.6</v>
      </c>
      <c r="F1012" s="1" t="s">
        <v>32</v>
      </c>
      <c r="G1012" s="1" t="s">
        <v>103</v>
      </c>
      <c r="H1012" s="1" t="s">
        <v>18</v>
      </c>
      <c r="I1012" s="1" t="s">
        <v>309</v>
      </c>
      <c r="J1012" s="1" t="s">
        <v>105</v>
      </c>
      <c r="K1012" s="1" t="s">
        <v>53</v>
      </c>
      <c r="L1012" s="1" t="s">
        <v>158</v>
      </c>
      <c r="M1012" s="1">
        <v>949</v>
      </c>
    </row>
    <row r="1013" spans="1:13" ht="15.75" customHeight="1">
      <c r="A1013" s="1">
        <v>1025</v>
      </c>
      <c r="B1013" s="1" t="s">
        <v>29</v>
      </c>
      <c r="C1013" s="1" t="s">
        <v>864</v>
      </c>
      <c r="D1013" s="1" t="s">
        <v>15</v>
      </c>
      <c r="E1013" s="1">
        <v>12.5</v>
      </c>
      <c r="F1013" s="1" t="s">
        <v>32</v>
      </c>
      <c r="G1013" s="1" t="s">
        <v>33</v>
      </c>
      <c r="H1013" s="1" t="s">
        <v>50</v>
      </c>
      <c r="I1013" s="1" t="s">
        <v>51</v>
      </c>
      <c r="J1013" s="1" t="s">
        <v>35</v>
      </c>
      <c r="K1013" s="1" t="s">
        <v>53</v>
      </c>
      <c r="L1013" s="1" t="s">
        <v>269</v>
      </c>
      <c r="M1013" s="1">
        <v>1539</v>
      </c>
    </row>
    <row r="1014" spans="1:13" ht="15.75" customHeight="1">
      <c r="A1014" s="1">
        <v>1026</v>
      </c>
      <c r="B1014" s="1" t="s">
        <v>29</v>
      </c>
      <c r="C1014" s="1" t="s">
        <v>493</v>
      </c>
      <c r="D1014" s="1" t="s">
        <v>31</v>
      </c>
      <c r="E1014" s="1">
        <v>14</v>
      </c>
      <c r="F1014" s="1" t="s">
        <v>32</v>
      </c>
      <c r="G1014" s="1" t="s">
        <v>33</v>
      </c>
      <c r="H1014" s="1" t="s">
        <v>50</v>
      </c>
      <c r="I1014" s="1" t="s">
        <v>34</v>
      </c>
      <c r="J1014" s="1" t="s">
        <v>35</v>
      </c>
      <c r="K1014" s="1" t="s">
        <v>53</v>
      </c>
      <c r="L1014" s="1" t="s">
        <v>314</v>
      </c>
      <c r="M1014" s="1">
        <v>1590</v>
      </c>
    </row>
    <row r="1015" spans="1:13" ht="15.75" customHeight="1">
      <c r="A1015" s="1">
        <v>1027</v>
      </c>
      <c r="B1015" s="1" t="s">
        <v>29</v>
      </c>
      <c r="C1015" s="1" t="s">
        <v>312</v>
      </c>
      <c r="D1015" s="1" t="s">
        <v>15</v>
      </c>
      <c r="E1015" s="1">
        <v>14</v>
      </c>
      <c r="F1015" s="1" t="s">
        <v>32</v>
      </c>
      <c r="G1015" s="1" t="s">
        <v>389</v>
      </c>
      <c r="H1015" s="1" t="s">
        <v>18</v>
      </c>
      <c r="I1015" s="1" t="s">
        <v>34</v>
      </c>
      <c r="J1015" s="1" t="s">
        <v>71</v>
      </c>
      <c r="K1015" s="1" t="s">
        <v>53</v>
      </c>
      <c r="L1015" s="1" t="s">
        <v>911</v>
      </c>
      <c r="M1015" s="1">
        <v>1887.21</v>
      </c>
    </row>
    <row r="1016" spans="1:13" ht="15.75" customHeight="1">
      <c r="A1016" s="1">
        <v>1028</v>
      </c>
      <c r="B1016" s="1" t="s">
        <v>29</v>
      </c>
      <c r="C1016" s="1" t="s">
        <v>240</v>
      </c>
      <c r="D1016" s="1" t="s">
        <v>31</v>
      </c>
      <c r="E1016" s="1">
        <v>13.3</v>
      </c>
      <c r="F1016" s="1" t="s">
        <v>48</v>
      </c>
      <c r="G1016" s="1" t="s">
        <v>88</v>
      </c>
      <c r="H1016" s="1" t="s">
        <v>50</v>
      </c>
      <c r="I1016" s="1" t="s">
        <v>51</v>
      </c>
      <c r="J1016" s="1" t="s">
        <v>35</v>
      </c>
      <c r="K1016" s="1" t="s">
        <v>53</v>
      </c>
      <c r="L1016" s="1" t="s">
        <v>182</v>
      </c>
      <c r="M1016" s="1">
        <v>800</v>
      </c>
    </row>
    <row r="1017" spans="1:13" ht="15.75" customHeight="1">
      <c r="A1017" s="1">
        <v>1029</v>
      </c>
      <c r="B1017" s="1" t="s">
        <v>293</v>
      </c>
      <c r="C1017" s="1" t="s">
        <v>1007</v>
      </c>
      <c r="D1017" s="1" t="s">
        <v>31</v>
      </c>
      <c r="E1017" s="1">
        <v>13.3</v>
      </c>
      <c r="F1017" s="1" t="s">
        <v>48</v>
      </c>
      <c r="G1017" s="1" t="s">
        <v>295</v>
      </c>
      <c r="H1017" s="1" t="s">
        <v>18</v>
      </c>
      <c r="I1017" s="1" t="s">
        <v>34</v>
      </c>
      <c r="J1017" s="1" t="s">
        <v>71</v>
      </c>
      <c r="K1017" s="1" t="s">
        <v>53</v>
      </c>
      <c r="L1017" s="1" t="s">
        <v>244</v>
      </c>
      <c r="M1017" s="1">
        <v>1210</v>
      </c>
    </row>
    <row r="1018" spans="1:13" ht="15.75" customHeight="1">
      <c r="A1018" s="1">
        <v>1030</v>
      </c>
      <c r="B1018" s="1" t="s">
        <v>29</v>
      </c>
      <c r="C1018" s="1" t="s">
        <v>150</v>
      </c>
      <c r="D1018" s="1" t="s">
        <v>31</v>
      </c>
      <c r="E1018" s="1">
        <v>15.6</v>
      </c>
      <c r="F1018" s="1" t="s">
        <v>48</v>
      </c>
      <c r="G1018" s="1" t="s">
        <v>88</v>
      </c>
      <c r="H1018" s="1" t="s">
        <v>50</v>
      </c>
      <c r="I1018" s="1" t="s">
        <v>34</v>
      </c>
      <c r="J1018" s="1" t="s">
        <v>35</v>
      </c>
      <c r="K1018" s="1" t="s">
        <v>53</v>
      </c>
      <c r="L1018" s="1" t="s">
        <v>59</v>
      </c>
      <c r="M1018" s="1">
        <v>769.99</v>
      </c>
    </row>
    <row r="1019" spans="1:13" ht="15.75" customHeight="1">
      <c r="A1019" s="1">
        <v>1031</v>
      </c>
      <c r="B1019" s="1" t="s">
        <v>86</v>
      </c>
      <c r="C1019" s="1" t="s">
        <v>1008</v>
      </c>
      <c r="D1019" s="1" t="s">
        <v>31</v>
      </c>
      <c r="E1019" s="1">
        <v>17.3</v>
      </c>
      <c r="F1019" s="1" t="s">
        <v>372</v>
      </c>
      <c r="G1019" s="1" t="s">
        <v>546</v>
      </c>
      <c r="H1019" s="1" t="s">
        <v>40</v>
      </c>
      <c r="I1019" s="1" t="s">
        <v>41</v>
      </c>
      <c r="J1019" s="1" t="s">
        <v>1009</v>
      </c>
      <c r="K1019" s="1" t="s">
        <v>662</v>
      </c>
      <c r="L1019" s="1" t="s">
        <v>183</v>
      </c>
      <c r="M1019" s="1">
        <v>2968</v>
      </c>
    </row>
    <row r="1020" spans="1:13" ht="15.75" customHeight="1">
      <c r="A1020" s="1">
        <v>1032</v>
      </c>
      <c r="B1020" s="1" t="s">
        <v>293</v>
      </c>
      <c r="C1020" s="1" t="s">
        <v>1010</v>
      </c>
      <c r="D1020" s="1" t="s">
        <v>31</v>
      </c>
      <c r="E1020" s="1">
        <v>14</v>
      </c>
      <c r="F1020" s="1" t="s">
        <v>66</v>
      </c>
      <c r="G1020" s="1" t="s">
        <v>295</v>
      </c>
      <c r="H1020" s="1" t="s">
        <v>18</v>
      </c>
      <c r="I1020" s="1" t="s">
        <v>34</v>
      </c>
      <c r="J1020" s="1" t="s">
        <v>71</v>
      </c>
      <c r="K1020" s="1" t="s">
        <v>53</v>
      </c>
      <c r="L1020" s="1" t="s">
        <v>610</v>
      </c>
      <c r="M1020" s="1">
        <v>1490</v>
      </c>
    </row>
    <row r="1021" spans="1:13" ht="15.75" customHeight="1">
      <c r="A1021" s="1">
        <v>1033</v>
      </c>
      <c r="B1021" s="1" t="s">
        <v>29</v>
      </c>
      <c r="C1021" s="1" t="s">
        <v>568</v>
      </c>
      <c r="D1021" s="1" t="s">
        <v>31</v>
      </c>
      <c r="E1021" s="1">
        <v>14</v>
      </c>
      <c r="F1021" s="1" t="s">
        <v>32</v>
      </c>
      <c r="G1021" s="1" t="s">
        <v>389</v>
      </c>
      <c r="H1021" s="1" t="s">
        <v>18</v>
      </c>
      <c r="I1021" s="1" t="s">
        <v>34</v>
      </c>
      <c r="J1021" s="1" t="s">
        <v>71</v>
      </c>
      <c r="K1021" s="1" t="s">
        <v>53</v>
      </c>
      <c r="L1021" s="1" t="s">
        <v>569</v>
      </c>
      <c r="M1021" s="1">
        <v>2229</v>
      </c>
    </row>
    <row r="1022" spans="1:13" ht="15.75" customHeight="1">
      <c r="A1022" s="1">
        <v>1034</v>
      </c>
      <c r="B1022" s="1" t="s">
        <v>74</v>
      </c>
      <c r="C1022" s="1" t="s">
        <v>1011</v>
      </c>
      <c r="D1022" s="1" t="s">
        <v>111</v>
      </c>
      <c r="E1022" s="1">
        <v>15.6</v>
      </c>
      <c r="F1022" s="1" t="s">
        <v>92</v>
      </c>
      <c r="G1022" s="1" t="s">
        <v>627</v>
      </c>
      <c r="H1022" s="1" t="s">
        <v>50</v>
      </c>
      <c r="I1022" s="1" t="s">
        <v>89</v>
      </c>
      <c r="J1022" s="1" t="s">
        <v>71</v>
      </c>
      <c r="K1022" s="1" t="s">
        <v>53</v>
      </c>
      <c r="L1022" s="1" t="s">
        <v>418</v>
      </c>
      <c r="M1022" s="1">
        <v>795.99</v>
      </c>
    </row>
    <row r="1023" spans="1:13" ht="15.75" customHeight="1">
      <c r="A1023" s="1">
        <v>1035</v>
      </c>
      <c r="B1023" s="1" t="s">
        <v>293</v>
      </c>
      <c r="C1023" s="1" t="s">
        <v>1012</v>
      </c>
      <c r="D1023" s="1" t="s">
        <v>15</v>
      </c>
      <c r="E1023" s="1">
        <v>13.3</v>
      </c>
      <c r="F1023" s="1" t="s">
        <v>32</v>
      </c>
      <c r="G1023" s="1" t="s">
        <v>295</v>
      </c>
      <c r="H1023" s="1" t="s">
        <v>18</v>
      </c>
      <c r="I1023" s="1" t="s">
        <v>34</v>
      </c>
      <c r="J1023" s="1" t="s">
        <v>71</v>
      </c>
      <c r="K1023" s="1" t="s">
        <v>53</v>
      </c>
      <c r="L1023" s="1" t="s">
        <v>141</v>
      </c>
      <c r="M1023" s="1">
        <v>1590</v>
      </c>
    </row>
    <row r="1024" spans="1:13" ht="15.75" customHeight="1">
      <c r="A1024" s="1">
        <v>1036</v>
      </c>
      <c r="B1024" s="1" t="s">
        <v>29</v>
      </c>
      <c r="C1024" s="1" t="s">
        <v>1013</v>
      </c>
      <c r="D1024" s="1" t="s">
        <v>31</v>
      </c>
      <c r="E1024" s="1">
        <v>13.3</v>
      </c>
      <c r="F1024" s="1" t="s">
        <v>66</v>
      </c>
      <c r="G1024" s="1" t="s">
        <v>33</v>
      </c>
      <c r="H1024" s="1" t="s">
        <v>18</v>
      </c>
      <c r="I1024" s="1" t="s">
        <v>34</v>
      </c>
      <c r="J1024" s="1" t="s">
        <v>35</v>
      </c>
      <c r="K1024" s="1" t="s">
        <v>53</v>
      </c>
      <c r="L1024" s="1" t="s">
        <v>1001</v>
      </c>
      <c r="M1024" s="1">
        <v>1149</v>
      </c>
    </row>
    <row r="1025" spans="1:13" ht="15.75" customHeight="1">
      <c r="A1025" s="1">
        <v>1037</v>
      </c>
      <c r="B1025" s="1" t="s">
        <v>29</v>
      </c>
      <c r="C1025" s="1" t="s">
        <v>226</v>
      </c>
      <c r="D1025" s="1" t="s">
        <v>31</v>
      </c>
      <c r="E1025" s="1">
        <v>14</v>
      </c>
      <c r="F1025" s="1" t="s">
        <v>32</v>
      </c>
      <c r="G1025" s="1" t="s">
        <v>83</v>
      </c>
      <c r="H1025" s="1" t="s">
        <v>18</v>
      </c>
      <c r="I1025" s="1" t="s">
        <v>34</v>
      </c>
      <c r="J1025" s="1" t="s">
        <v>127</v>
      </c>
      <c r="K1025" s="1" t="s">
        <v>53</v>
      </c>
      <c r="L1025" s="1" t="s">
        <v>599</v>
      </c>
      <c r="M1025" s="1">
        <v>1185.43</v>
      </c>
    </row>
    <row r="1026" spans="1:13" ht="15.75" customHeight="1">
      <c r="A1026" s="1">
        <v>1038</v>
      </c>
      <c r="B1026" s="1" t="s">
        <v>74</v>
      </c>
      <c r="C1026" s="1" t="s">
        <v>1014</v>
      </c>
      <c r="D1026" s="1" t="s">
        <v>31</v>
      </c>
      <c r="E1026" s="1">
        <v>15.6</v>
      </c>
      <c r="F1026" s="1" t="s">
        <v>32</v>
      </c>
      <c r="G1026" s="1" t="s">
        <v>765</v>
      </c>
      <c r="H1026" s="1" t="s">
        <v>18</v>
      </c>
      <c r="I1026" s="1" t="s">
        <v>51</v>
      </c>
      <c r="J1026" s="1" t="s">
        <v>71</v>
      </c>
      <c r="K1026" s="1" t="s">
        <v>53</v>
      </c>
      <c r="L1026" s="1" t="s">
        <v>1015</v>
      </c>
      <c r="M1026" s="1">
        <v>1046.44</v>
      </c>
    </row>
    <row r="1027" spans="1:13" ht="15.75" customHeight="1">
      <c r="A1027" s="1">
        <v>1039</v>
      </c>
      <c r="B1027" s="1" t="s">
        <v>29</v>
      </c>
      <c r="C1027" s="1" t="s">
        <v>500</v>
      </c>
      <c r="D1027" s="1" t="s">
        <v>15</v>
      </c>
      <c r="E1027" s="1">
        <v>12.5</v>
      </c>
      <c r="F1027" s="1" t="s">
        <v>48</v>
      </c>
      <c r="G1027" s="1" t="s">
        <v>33</v>
      </c>
      <c r="H1027" s="1" t="s">
        <v>50</v>
      </c>
      <c r="I1027" s="1" t="s">
        <v>34</v>
      </c>
      <c r="J1027" s="1" t="s">
        <v>35</v>
      </c>
      <c r="K1027" s="1" t="s">
        <v>53</v>
      </c>
      <c r="L1027" s="1" t="s">
        <v>269</v>
      </c>
      <c r="M1027" s="1">
        <v>1559</v>
      </c>
    </row>
    <row r="1028" spans="1:13" ht="15.75" customHeight="1">
      <c r="A1028" s="1">
        <v>1040</v>
      </c>
      <c r="B1028" s="1" t="s">
        <v>29</v>
      </c>
      <c r="C1028" s="1" t="s">
        <v>572</v>
      </c>
      <c r="D1028" s="1" t="s">
        <v>31</v>
      </c>
      <c r="E1028" s="1">
        <v>14</v>
      </c>
      <c r="F1028" s="1" t="s">
        <v>48</v>
      </c>
      <c r="G1028" s="1" t="s">
        <v>33</v>
      </c>
      <c r="H1028" s="1" t="s">
        <v>50</v>
      </c>
      <c r="I1028" s="1" t="s">
        <v>51</v>
      </c>
      <c r="J1028" s="1" t="s">
        <v>35</v>
      </c>
      <c r="K1028" s="1" t="s">
        <v>53</v>
      </c>
      <c r="L1028" s="1" t="s">
        <v>573</v>
      </c>
      <c r="M1028" s="1">
        <v>1189</v>
      </c>
    </row>
    <row r="1029" spans="1:13" ht="15.75" customHeight="1">
      <c r="A1029" s="1">
        <v>1041</v>
      </c>
      <c r="B1029" s="1" t="s">
        <v>29</v>
      </c>
      <c r="C1029" s="1" t="s">
        <v>489</v>
      </c>
      <c r="D1029" s="1" t="s">
        <v>31</v>
      </c>
      <c r="E1029" s="1">
        <v>14</v>
      </c>
      <c r="F1029" s="1" t="s">
        <v>48</v>
      </c>
      <c r="G1029" s="1" t="s">
        <v>33</v>
      </c>
      <c r="H1029" s="1" t="s">
        <v>50</v>
      </c>
      <c r="I1029" s="1" t="s">
        <v>51</v>
      </c>
      <c r="J1029" s="1" t="s">
        <v>35</v>
      </c>
      <c r="K1029" s="1" t="s">
        <v>53</v>
      </c>
      <c r="L1029" s="1" t="s">
        <v>350</v>
      </c>
      <c r="M1029" s="1">
        <v>1060</v>
      </c>
    </row>
    <row r="1030" spans="1:13" ht="15.75" customHeight="1">
      <c r="A1030" s="1">
        <v>1042</v>
      </c>
      <c r="B1030" s="1" t="s">
        <v>74</v>
      </c>
      <c r="C1030" s="1" t="s">
        <v>91</v>
      </c>
      <c r="D1030" s="1" t="s">
        <v>15</v>
      </c>
      <c r="E1030" s="1">
        <v>13.3</v>
      </c>
      <c r="F1030" s="1" t="s">
        <v>262</v>
      </c>
      <c r="G1030" s="1" t="s">
        <v>33</v>
      </c>
      <c r="H1030" s="1" t="s">
        <v>18</v>
      </c>
      <c r="I1030" s="1" t="s">
        <v>34</v>
      </c>
      <c r="J1030" s="1" t="s">
        <v>35</v>
      </c>
      <c r="K1030" s="1" t="s">
        <v>53</v>
      </c>
      <c r="L1030" s="1" t="s">
        <v>345</v>
      </c>
      <c r="M1030" s="1">
        <v>1624</v>
      </c>
    </row>
    <row r="1031" spans="1:13" ht="15.75" customHeight="1">
      <c r="A1031" s="1">
        <v>1043</v>
      </c>
      <c r="B1031" s="1" t="s">
        <v>29</v>
      </c>
      <c r="C1031" s="1" t="s">
        <v>275</v>
      </c>
      <c r="D1031" s="1" t="s">
        <v>31</v>
      </c>
      <c r="E1031" s="1">
        <v>17.3</v>
      </c>
      <c r="F1031" s="1" t="s">
        <v>32</v>
      </c>
      <c r="G1031" s="1" t="s">
        <v>33</v>
      </c>
      <c r="H1031" s="1" t="s">
        <v>18</v>
      </c>
      <c r="I1031" s="1" t="s">
        <v>34</v>
      </c>
      <c r="J1031" s="1" t="s">
        <v>127</v>
      </c>
      <c r="K1031" s="1" t="s">
        <v>53</v>
      </c>
      <c r="L1031" s="1" t="s">
        <v>680</v>
      </c>
      <c r="M1031" s="1">
        <v>1080</v>
      </c>
    </row>
    <row r="1032" spans="1:13" ht="15.75" customHeight="1">
      <c r="A1032" s="1">
        <v>1044</v>
      </c>
      <c r="B1032" s="1" t="s">
        <v>29</v>
      </c>
      <c r="C1032" s="1" t="s">
        <v>226</v>
      </c>
      <c r="D1032" s="1" t="s">
        <v>31</v>
      </c>
      <c r="E1032" s="1">
        <v>14</v>
      </c>
      <c r="F1032" s="1" t="s">
        <v>48</v>
      </c>
      <c r="G1032" s="1" t="s">
        <v>33</v>
      </c>
      <c r="H1032" s="1" t="s">
        <v>50</v>
      </c>
      <c r="I1032" s="1" t="s">
        <v>34</v>
      </c>
      <c r="J1032" s="1" t="s">
        <v>35</v>
      </c>
      <c r="K1032" s="1" t="s">
        <v>53</v>
      </c>
      <c r="L1032" s="1" t="s">
        <v>599</v>
      </c>
      <c r="M1032" s="1">
        <v>973</v>
      </c>
    </row>
    <row r="1033" spans="1:13" ht="15.75" customHeight="1">
      <c r="A1033" s="1">
        <v>1045</v>
      </c>
      <c r="B1033" s="1" t="s">
        <v>46</v>
      </c>
      <c r="C1033" s="1" t="s">
        <v>47</v>
      </c>
      <c r="D1033" s="1" t="s">
        <v>31</v>
      </c>
      <c r="E1033" s="1">
        <v>15.6</v>
      </c>
      <c r="F1033" s="1" t="s">
        <v>48</v>
      </c>
      <c r="G1033" s="1" t="s">
        <v>49</v>
      </c>
      <c r="H1033" s="1" t="s">
        <v>246</v>
      </c>
      <c r="I1033" s="1" t="s">
        <v>89</v>
      </c>
      <c r="J1033" s="1" t="s">
        <v>52</v>
      </c>
      <c r="K1033" s="1" t="s">
        <v>53</v>
      </c>
      <c r="L1033" s="1" t="s">
        <v>54</v>
      </c>
      <c r="M1033" s="1">
        <v>409</v>
      </c>
    </row>
    <row r="1034" spans="1:13" ht="15.75" customHeight="1">
      <c r="A1034" s="1">
        <v>1046</v>
      </c>
      <c r="B1034" s="1" t="s">
        <v>189</v>
      </c>
      <c r="C1034" s="1" t="s">
        <v>216</v>
      </c>
      <c r="D1034" s="1" t="s">
        <v>102</v>
      </c>
      <c r="E1034" s="1">
        <v>17.3</v>
      </c>
      <c r="F1034" s="1" t="s">
        <v>32</v>
      </c>
      <c r="G1034" s="1" t="s">
        <v>155</v>
      </c>
      <c r="H1034" s="1" t="s">
        <v>18</v>
      </c>
      <c r="I1034" s="1" t="s">
        <v>104</v>
      </c>
      <c r="J1034" s="1" t="s">
        <v>105</v>
      </c>
      <c r="K1034" s="1" t="s">
        <v>53</v>
      </c>
      <c r="L1034" s="1" t="s">
        <v>217</v>
      </c>
      <c r="M1034" s="1">
        <v>1191.8</v>
      </c>
    </row>
    <row r="1035" spans="1:13" ht="15.75" customHeight="1">
      <c r="A1035" s="1">
        <v>1047</v>
      </c>
      <c r="B1035" s="1" t="s">
        <v>29</v>
      </c>
      <c r="C1035" s="1" t="s">
        <v>937</v>
      </c>
      <c r="D1035" s="1" t="s">
        <v>31</v>
      </c>
      <c r="E1035" s="1">
        <v>14</v>
      </c>
      <c r="F1035" s="1" t="s">
        <v>32</v>
      </c>
      <c r="G1035" s="1" t="s">
        <v>295</v>
      </c>
      <c r="H1035" s="1" t="s">
        <v>18</v>
      </c>
      <c r="I1035" s="1" t="s">
        <v>34</v>
      </c>
      <c r="J1035" s="1" t="s">
        <v>71</v>
      </c>
      <c r="K1035" s="1" t="s">
        <v>662</v>
      </c>
      <c r="L1035" s="1" t="s">
        <v>350</v>
      </c>
      <c r="M1035" s="1">
        <v>1195</v>
      </c>
    </row>
    <row r="1036" spans="1:13" ht="15.75" customHeight="1">
      <c r="A1036" s="1">
        <v>1048</v>
      </c>
      <c r="B1036" s="1" t="s">
        <v>29</v>
      </c>
      <c r="C1036" s="1" t="s">
        <v>724</v>
      </c>
      <c r="D1036" s="1" t="s">
        <v>31</v>
      </c>
      <c r="E1036" s="1">
        <v>15.6</v>
      </c>
      <c r="F1036" s="1" t="s">
        <v>32</v>
      </c>
      <c r="G1036" s="1" t="s">
        <v>389</v>
      </c>
      <c r="H1036" s="1" t="s">
        <v>18</v>
      </c>
      <c r="I1036" s="1" t="s">
        <v>34</v>
      </c>
      <c r="J1036" s="1" t="s">
        <v>71</v>
      </c>
      <c r="K1036" s="1" t="s">
        <v>53</v>
      </c>
      <c r="L1036" s="1" t="s">
        <v>507</v>
      </c>
      <c r="M1036" s="1">
        <v>1228.99</v>
      </c>
    </row>
    <row r="1037" spans="1:13" ht="15.75" customHeight="1">
      <c r="A1037" s="1">
        <v>1049</v>
      </c>
      <c r="B1037" s="1" t="s">
        <v>29</v>
      </c>
      <c r="C1037" s="1" t="s">
        <v>864</v>
      </c>
      <c r="D1037" s="1" t="s">
        <v>15</v>
      </c>
      <c r="E1037" s="1">
        <v>12.5</v>
      </c>
      <c r="F1037" s="1" t="s">
        <v>32</v>
      </c>
      <c r="G1037" s="1" t="s">
        <v>389</v>
      </c>
      <c r="H1037" s="1" t="s">
        <v>18</v>
      </c>
      <c r="I1037" s="1" t="s">
        <v>34</v>
      </c>
      <c r="J1037" s="1" t="s">
        <v>71</v>
      </c>
      <c r="K1037" s="1" t="s">
        <v>53</v>
      </c>
      <c r="L1037" s="1" t="s">
        <v>269</v>
      </c>
      <c r="M1037" s="1">
        <v>1349</v>
      </c>
    </row>
    <row r="1038" spans="1:13" ht="15.75" customHeight="1">
      <c r="A1038" s="1">
        <v>1050</v>
      </c>
      <c r="B1038" s="1" t="s">
        <v>29</v>
      </c>
      <c r="C1038" s="1" t="s">
        <v>150</v>
      </c>
      <c r="D1038" s="1" t="s">
        <v>31</v>
      </c>
      <c r="E1038" s="1">
        <v>15.6</v>
      </c>
      <c r="F1038" s="1" t="s">
        <v>48</v>
      </c>
      <c r="G1038" s="1" t="s">
        <v>33</v>
      </c>
      <c r="H1038" s="1" t="s">
        <v>50</v>
      </c>
      <c r="I1038" s="1" t="s">
        <v>51</v>
      </c>
      <c r="J1038" s="1" t="s">
        <v>35</v>
      </c>
      <c r="K1038" s="1" t="s">
        <v>53</v>
      </c>
      <c r="L1038" s="1" t="s">
        <v>59</v>
      </c>
      <c r="M1038" s="1">
        <v>742</v>
      </c>
    </row>
    <row r="1039" spans="1:13" ht="15.75" customHeight="1">
      <c r="A1039" s="1">
        <v>1051</v>
      </c>
      <c r="B1039" s="1" t="s">
        <v>293</v>
      </c>
      <c r="C1039" s="1" t="s">
        <v>1016</v>
      </c>
      <c r="D1039" s="1" t="s">
        <v>15</v>
      </c>
      <c r="E1039" s="1">
        <v>14</v>
      </c>
      <c r="F1039" s="1" t="s">
        <v>66</v>
      </c>
      <c r="G1039" s="1" t="s">
        <v>442</v>
      </c>
      <c r="H1039" s="1" t="s">
        <v>18</v>
      </c>
      <c r="I1039" s="1" t="s">
        <v>34</v>
      </c>
      <c r="J1039" s="1" t="s">
        <v>71</v>
      </c>
      <c r="K1039" s="1" t="s">
        <v>53</v>
      </c>
      <c r="L1039" s="1" t="s">
        <v>610</v>
      </c>
      <c r="M1039" s="1">
        <v>1725</v>
      </c>
    </row>
    <row r="1040" spans="1:13" ht="15.75" customHeight="1">
      <c r="A1040" s="1">
        <v>1052</v>
      </c>
      <c r="B1040" s="1" t="s">
        <v>74</v>
      </c>
      <c r="C1040" s="1" t="s">
        <v>1014</v>
      </c>
      <c r="D1040" s="1" t="s">
        <v>31</v>
      </c>
      <c r="E1040" s="1">
        <v>15.6</v>
      </c>
      <c r="F1040" s="1" t="s">
        <v>32</v>
      </c>
      <c r="G1040" s="1" t="s">
        <v>765</v>
      </c>
      <c r="H1040" s="1" t="s">
        <v>18</v>
      </c>
      <c r="I1040" s="1" t="s">
        <v>34</v>
      </c>
      <c r="J1040" s="1" t="s">
        <v>71</v>
      </c>
      <c r="K1040" s="1" t="s">
        <v>662</v>
      </c>
      <c r="L1040" s="1" t="s">
        <v>1015</v>
      </c>
      <c r="M1040" s="1">
        <v>1062.95</v>
      </c>
    </row>
    <row r="1041" spans="1:13" ht="15.75" customHeight="1">
      <c r="A1041" s="1">
        <v>1053</v>
      </c>
      <c r="B1041" s="1" t="s">
        <v>29</v>
      </c>
      <c r="C1041" s="1" t="s">
        <v>226</v>
      </c>
      <c r="D1041" s="1" t="s">
        <v>31</v>
      </c>
      <c r="E1041" s="1">
        <v>14</v>
      </c>
      <c r="F1041" s="1" t="s">
        <v>32</v>
      </c>
      <c r="G1041" s="1" t="s">
        <v>33</v>
      </c>
      <c r="H1041" s="1" t="s">
        <v>18</v>
      </c>
      <c r="I1041" s="1" t="s">
        <v>34</v>
      </c>
      <c r="J1041" s="1" t="s">
        <v>35</v>
      </c>
      <c r="K1041" s="1" t="s">
        <v>53</v>
      </c>
      <c r="L1041" s="1" t="s">
        <v>599</v>
      </c>
      <c r="M1041" s="1">
        <v>1010.51</v>
      </c>
    </row>
    <row r="1042" spans="1:13" ht="15.75" customHeight="1">
      <c r="A1042" s="1">
        <v>1054</v>
      </c>
      <c r="B1042" s="1" t="s">
        <v>86</v>
      </c>
      <c r="C1042" s="1" t="s">
        <v>1017</v>
      </c>
      <c r="D1042" s="1" t="s">
        <v>111</v>
      </c>
      <c r="E1042" s="1">
        <v>15.6</v>
      </c>
      <c r="F1042" s="1" t="s">
        <v>92</v>
      </c>
      <c r="G1042" s="1" t="s">
        <v>389</v>
      </c>
      <c r="H1042" s="1" t="s">
        <v>50</v>
      </c>
      <c r="I1042" s="1" t="s">
        <v>34</v>
      </c>
      <c r="J1042" s="1" t="s">
        <v>71</v>
      </c>
      <c r="K1042" s="1" t="s">
        <v>53</v>
      </c>
      <c r="L1042" s="1" t="s">
        <v>202</v>
      </c>
      <c r="M1042" s="1">
        <v>847</v>
      </c>
    </row>
    <row r="1043" spans="1:13" ht="15.75" customHeight="1">
      <c r="A1043" s="1">
        <v>1055</v>
      </c>
      <c r="B1043" s="1" t="s">
        <v>361</v>
      </c>
      <c r="C1043" s="1" t="s">
        <v>1018</v>
      </c>
      <c r="D1043" s="1" t="s">
        <v>31</v>
      </c>
      <c r="E1043" s="1">
        <v>14</v>
      </c>
      <c r="F1043" s="1" t="s">
        <v>48</v>
      </c>
      <c r="G1043" s="1" t="s">
        <v>1019</v>
      </c>
      <c r="H1043" s="1" t="s">
        <v>97</v>
      </c>
      <c r="I1043" s="1" t="s">
        <v>98</v>
      </c>
      <c r="J1043" s="1" t="s">
        <v>99</v>
      </c>
      <c r="K1043" s="1" t="s">
        <v>53</v>
      </c>
      <c r="L1043" s="1" t="s">
        <v>488</v>
      </c>
      <c r="M1043" s="1">
        <v>210.8</v>
      </c>
    </row>
    <row r="1044" spans="1:13" ht="15.75" customHeight="1">
      <c r="A1044" s="1">
        <v>1056</v>
      </c>
      <c r="B1044" s="1" t="s">
        <v>293</v>
      </c>
      <c r="C1044" s="1" t="s">
        <v>1020</v>
      </c>
      <c r="D1044" s="1" t="s">
        <v>31</v>
      </c>
      <c r="E1044" s="1">
        <v>15.6</v>
      </c>
      <c r="F1044" s="1" t="s">
        <v>66</v>
      </c>
      <c r="G1044" s="1" t="s">
        <v>389</v>
      </c>
      <c r="H1044" s="1" t="s">
        <v>40</v>
      </c>
      <c r="I1044" s="1" t="s">
        <v>34</v>
      </c>
      <c r="J1044" s="1" t="s">
        <v>444</v>
      </c>
      <c r="K1044" s="1" t="s">
        <v>53</v>
      </c>
      <c r="L1044" s="1" t="s">
        <v>183</v>
      </c>
      <c r="M1044" s="1">
        <v>1425</v>
      </c>
    </row>
    <row r="1045" spans="1:13" ht="15.75" customHeight="1">
      <c r="A1045" s="1">
        <v>1057</v>
      </c>
      <c r="B1045" s="1" t="s">
        <v>86</v>
      </c>
      <c r="C1045" s="1" t="s">
        <v>1021</v>
      </c>
      <c r="D1045" s="1" t="s">
        <v>31</v>
      </c>
      <c r="E1045" s="1">
        <v>15.6</v>
      </c>
      <c r="F1045" s="1" t="s">
        <v>32</v>
      </c>
      <c r="G1045" s="1" t="s">
        <v>295</v>
      </c>
      <c r="H1045" s="1" t="s">
        <v>18</v>
      </c>
      <c r="I1045" s="1" t="s">
        <v>34</v>
      </c>
      <c r="J1045" s="1" t="s">
        <v>71</v>
      </c>
      <c r="K1045" s="1" t="s">
        <v>53</v>
      </c>
      <c r="L1045" s="1" t="s">
        <v>116</v>
      </c>
      <c r="M1045" s="1">
        <v>1049.5999999999999</v>
      </c>
    </row>
    <row r="1046" spans="1:13" ht="15.75" customHeight="1">
      <c r="A1046" s="1">
        <v>1058</v>
      </c>
      <c r="B1046" s="1" t="s">
        <v>29</v>
      </c>
      <c r="C1046" s="1" t="s">
        <v>312</v>
      </c>
      <c r="D1046" s="1" t="s">
        <v>31</v>
      </c>
      <c r="E1046" s="1">
        <v>14</v>
      </c>
      <c r="F1046" s="1" t="s">
        <v>32</v>
      </c>
      <c r="G1046" s="1" t="s">
        <v>295</v>
      </c>
      <c r="H1046" s="1" t="s">
        <v>50</v>
      </c>
      <c r="I1046" s="1" t="s">
        <v>51</v>
      </c>
      <c r="J1046" s="1" t="s">
        <v>71</v>
      </c>
      <c r="K1046" s="1" t="s">
        <v>53</v>
      </c>
      <c r="L1046" s="1" t="s">
        <v>911</v>
      </c>
      <c r="M1046" s="1">
        <v>1000</v>
      </c>
    </row>
    <row r="1047" spans="1:13" ht="15.75" customHeight="1">
      <c r="A1047" s="1">
        <v>1059</v>
      </c>
      <c r="B1047" s="1" t="s">
        <v>29</v>
      </c>
      <c r="C1047" s="1" t="s">
        <v>724</v>
      </c>
      <c r="D1047" s="1" t="s">
        <v>31</v>
      </c>
      <c r="E1047" s="1">
        <v>15.6</v>
      </c>
      <c r="F1047" s="1" t="s">
        <v>32</v>
      </c>
      <c r="G1047" s="1" t="s">
        <v>765</v>
      </c>
      <c r="H1047" s="1" t="s">
        <v>18</v>
      </c>
      <c r="I1047" s="1" t="s">
        <v>395</v>
      </c>
      <c r="J1047" s="1" t="s">
        <v>71</v>
      </c>
      <c r="K1047" s="1" t="s">
        <v>53</v>
      </c>
      <c r="L1047" s="1" t="s">
        <v>507</v>
      </c>
      <c r="M1047" s="1">
        <v>2103.34</v>
      </c>
    </row>
    <row r="1048" spans="1:13" ht="15.75" customHeight="1">
      <c r="A1048" s="1">
        <v>1060</v>
      </c>
      <c r="B1048" s="1" t="s">
        <v>29</v>
      </c>
      <c r="C1048" s="1" t="s">
        <v>568</v>
      </c>
      <c r="D1048" s="1" t="s">
        <v>31</v>
      </c>
      <c r="E1048" s="1">
        <v>14</v>
      </c>
      <c r="F1048" s="1" t="s">
        <v>32</v>
      </c>
      <c r="G1048" s="1" t="s">
        <v>295</v>
      </c>
      <c r="H1048" s="1" t="s">
        <v>18</v>
      </c>
      <c r="I1048" s="1" t="s">
        <v>34</v>
      </c>
      <c r="J1048" s="1" t="s">
        <v>71</v>
      </c>
      <c r="K1048" s="1" t="s">
        <v>662</v>
      </c>
      <c r="L1048" s="1" t="s">
        <v>569</v>
      </c>
      <c r="M1048" s="1">
        <v>1469</v>
      </c>
    </row>
    <row r="1049" spans="1:13" ht="15.75" customHeight="1">
      <c r="A1049" s="1">
        <v>1061</v>
      </c>
      <c r="B1049" s="1" t="s">
        <v>189</v>
      </c>
      <c r="C1049" s="1" t="s">
        <v>1022</v>
      </c>
      <c r="D1049" s="1" t="s">
        <v>102</v>
      </c>
      <c r="E1049" s="1">
        <v>17.3</v>
      </c>
      <c r="F1049" s="1" t="s">
        <v>66</v>
      </c>
      <c r="G1049" s="1" t="s">
        <v>706</v>
      </c>
      <c r="H1049" s="1" t="s">
        <v>40</v>
      </c>
      <c r="I1049" s="1" t="s">
        <v>156</v>
      </c>
      <c r="J1049" s="1" t="s">
        <v>420</v>
      </c>
      <c r="K1049" s="1" t="s">
        <v>53</v>
      </c>
      <c r="L1049" s="1" t="s">
        <v>619</v>
      </c>
      <c r="M1049" s="1">
        <v>1545.64</v>
      </c>
    </row>
    <row r="1050" spans="1:13" ht="15.75" customHeight="1">
      <c r="A1050" s="1">
        <v>1062</v>
      </c>
      <c r="B1050" s="1" t="s">
        <v>86</v>
      </c>
      <c r="C1050" s="1" t="s">
        <v>1023</v>
      </c>
      <c r="D1050" s="1" t="s">
        <v>102</v>
      </c>
      <c r="E1050" s="1">
        <v>17.3</v>
      </c>
      <c r="F1050" s="1" t="s">
        <v>66</v>
      </c>
      <c r="G1050" s="1" t="s">
        <v>624</v>
      </c>
      <c r="H1050" s="1" t="s">
        <v>40</v>
      </c>
      <c r="I1050" s="1" t="s">
        <v>104</v>
      </c>
      <c r="J1050" s="1" t="s">
        <v>420</v>
      </c>
      <c r="K1050" s="1" t="s">
        <v>53</v>
      </c>
      <c r="L1050" s="1" t="s">
        <v>707</v>
      </c>
      <c r="M1050" s="1">
        <v>2289.9899999999998</v>
      </c>
    </row>
    <row r="1051" spans="1:13" ht="15.75" customHeight="1">
      <c r="A1051" s="1">
        <v>1063</v>
      </c>
      <c r="B1051" s="1" t="s">
        <v>60</v>
      </c>
      <c r="C1051" s="1" t="s">
        <v>1024</v>
      </c>
      <c r="D1051" s="1" t="s">
        <v>95</v>
      </c>
      <c r="E1051" s="1">
        <v>11.6</v>
      </c>
      <c r="F1051" s="1" t="s">
        <v>48</v>
      </c>
      <c r="G1051" s="1" t="s">
        <v>204</v>
      </c>
      <c r="H1051" s="1" t="s">
        <v>50</v>
      </c>
      <c r="I1051" s="1" t="s">
        <v>486</v>
      </c>
      <c r="J1051" s="1" t="s">
        <v>99</v>
      </c>
      <c r="K1051" s="1" t="s">
        <v>456</v>
      </c>
      <c r="L1051" s="1" t="s">
        <v>141</v>
      </c>
      <c r="M1051" s="1">
        <v>287.89999999999998</v>
      </c>
    </row>
    <row r="1052" spans="1:13" ht="15.75" customHeight="1">
      <c r="A1052" s="1">
        <v>1064</v>
      </c>
      <c r="B1052" s="1" t="s">
        <v>86</v>
      </c>
      <c r="C1052" s="1" t="s">
        <v>441</v>
      </c>
      <c r="D1052" s="1" t="s">
        <v>31</v>
      </c>
      <c r="E1052" s="1">
        <v>14</v>
      </c>
      <c r="F1052" s="1" t="s">
        <v>539</v>
      </c>
      <c r="G1052" s="1" t="s">
        <v>442</v>
      </c>
      <c r="H1052" s="1" t="s">
        <v>40</v>
      </c>
      <c r="I1052" s="1" t="s">
        <v>34</v>
      </c>
      <c r="J1052" s="1" t="s">
        <v>71</v>
      </c>
      <c r="K1052" s="1" t="s">
        <v>662</v>
      </c>
      <c r="L1052" s="1" t="s">
        <v>319</v>
      </c>
      <c r="M1052" s="1">
        <v>2620</v>
      </c>
    </row>
    <row r="1053" spans="1:13" ht="15.75" customHeight="1">
      <c r="A1053" s="1">
        <v>1065</v>
      </c>
      <c r="B1053" s="1" t="s">
        <v>29</v>
      </c>
      <c r="C1053" s="1" t="s">
        <v>1025</v>
      </c>
      <c r="D1053" s="1" t="s">
        <v>31</v>
      </c>
      <c r="E1053" s="1">
        <v>15.6</v>
      </c>
      <c r="F1053" s="1" t="s">
        <v>66</v>
      </c>
      <c r="G1053" s="1" t="s">
        <v>83</v>
      </c>
      <c r="H1053" s="1" t="s">
        <v>18</v>
      </c>
      <c r="I1053" s="1" t="s">
        <v>89</v>
      </c>
      <c r="J1053" s="1" t="s">
        <v>90</v>
      </c>
      <c r="K1053" s="1" t="s">
        <v>53</v>
      </c>
      <c r="L1053" s="1" t="s">
        <v>115</v>
      </c>
      <c r="M1053" s="1">
        <v>979</v>
      </c>
    </row>
    <row r="1054" spans="1:13" ht="15.75" customHeight="1">
      <c r="A1054" s="1">
        <v>1066</v>
      </c>
      <c r="B1054" s="1" t="s">
        <v>74</v>
      </c>
      <c r="C1054" s="1" t="s">
        <v>1026</v>
      </c>
      <c r="D1054" s="1" t="s">
        <v>111</v>
      </c>
      <c r="E1054" s="1">
        <v>15.6</v>
      </c>
      <c r="F1054" s="1" t="s">
        <v>92</v>
      </c>
      <c r="G1054" s="1" t="s">
        <v>1027</v>
      </c>
      <c r="H1054" s="1" t="s">
        <v>18</v>
      </c>
      <c r="I1054" s="1" t="s">
        <v>34</v>
      </c>
      <c r="J1054" s="1" t="s">
        <v>35</v>
      </c>
      <c r="K1054" s="1" t="s">
        <v>53</v>
      </c>
      <c r="L1054" s="1" t="s">
        <v>116</v>
      </c>
      <c r="M1054" s="1">
        <v>1094</v>
      </c>
    </row>
    <row r="1055" spans="1:13" ht="15.75" customHeight="1">
      <c r="A1055" s="1">
        <v>1067</v>
      </c>
      <c r="B1055" s="1" t="s">
        <v>29</v>
      </c>
      <c r="C1055" s="1" t="s">
        <v>150</v>
      </c>
      <c r="D1055" s="1" t="s">
        <v>31</v>
      </c>
      <c r="E1055" s="1">
        <v>15.6</v>
      </c>
      <c r="F1055" s="1" t="s">
        <v>48</v>
      </c>
      <c r="G1055" s="1" t="s">
        <v>33</v>
      </c>
      <c r="H1055" s="1" t="s">
        <v>50</v>
      </c>
      <c r="I1055" s="1" t="s">
        <v>34</v>
      </c>
      <c r="J1055" s="1" t="s">
        <v>35</v>
      </c>
      <c r="K1055" s="1" t="s">
        <v>53</v>
      </c>
      <c r="L1055" s="1" t="s">
        <v>59</v>
      </c>
      <c r="M1055" s="1">
        <v>979</v>
      </c>
    </row>
    <row r="1056" spans="1:13" ht="15.75" customHeight="1">
      <c r="A1056" s="1">
        <v>1068</v>
      </c>
      <c r="B1056" s="1" t="s">
        <v>74</v>
      </c>
      <c r="C1056" s="1" t="s">
        <v>91</v>
      </c>
      <c r="D1056" s="1" t="s">
        <v>15</v>
      </c>
      <c r="E1056" s="1">
        <v>13.3</v>
      </c>
      <c r="F1056" s="1" t="s">
        <v>262</v>
      </c>
      <c r="G1056" s="1" t="s">
        <v>83</v>
      </c>
      <c r="H1056" s="1" t="s">
        <v>40</v>
      </c>
      <c r="I1056" s="1" t="s">
        <v>359</v>
      </c>
      <c r="J1056" s="1" t="s">
        <v>35</v>
      </c>
      <c r="K1056" s="1" t="s">
        <v>53</v>
      </c>
      <c r="L1056" s="1" t="s">
        <v>141</v>
      </c>
      <c r="M1056" s="1">
        <v>2254</v>
      </c>
    </row>
    <row r="1057" spans="1:13" ht="15.75" customHeight="1">
      <c r="A1057" s="1">
        <v>1069</v>
      </c>
      <c r="B1057" s="1" t="s">
        <v>29</v>
      </c>
      <c r="C1057" s="1" t="s">
        <v>572</v>
      </c>
      <c r="D1057" s="1" t="s">
        <v>31</v>
      </c>
      <c r="E1057" s="1">
        <v>15.6</v>
      </c>
      <c r="F1057" s="1" t="s">
        <v>48</v>
      </c>
      <c r="G1057" s="1" t="s">
        <v>627</v>
      </c>
      <c r="H1057" s="1" t="s">
        <v>50</v>
      </c>
      <c r="I1057" s="1" t="s">
        <v>51</v>
      </c>
      <c r="J1057" s="1" t="s">
        <v>71</v>
      </c>
      <c r="K1057" s="1" t="s">
        <v>53</v>
      </c>
      <c r="L1057" s="1" t="s">
        <v>573</v>
      </c>
      <c r="M1057" s="1">
        <v>705.15</v>
      </c>
    </row>
    <row r="1058" spans="1:13" ht="15.75" customHeight="1">
      <c r="A1058" s="1">
        <v>1070</v>
      </c>
      <c r="B1058" s="1" t="s">
        <v>29</v>
      </c>
      <c r="C1058" s="1" t="s">
        <v>1028</v>
      </c>
      <c r="D1058" s="1" t="s">
        <v>31</v>
      </c>
      <c r="E1058" s="1">
        <v>15.6</v>
      </c>
      <c r="F1058" s="1" t="s">
        <v>48</v>
      </c>
      <c r="G1058" s="1" t="s">
        <v>33</v>
      </c>
      <c r="H1058" s="1" t="s">
        <v>50</v>
      </c>
      <c r="I1058" s="1" t="s">
        <v>51</v>
      </c>
      <c r="J1058" s="1" t="s">
        <v>35</v>
      </c>
      <c r="K1058" s="1" t="s">
        <v>36</v>
      </c>
      <c r="L1058" s="1" t="s">
        <v>232</v>
      </c>
      <c r="M1058" s="1">
        <v>499</v>
      </c>
    </row>
    <row r="1059" spans="1:13" ht="15.75" customHeight="1">
      <c r="A1059" s="1">
        <v>1071</v>
      </c>
      <c r="B1059" s="1" t="s">
        <v>46</v>
      </c>
      <c r="C1059" s="1" t="s">
        <v>1029</v>
      </c>
      <c r="D1059" s="1" t="s">
        <v>31</v>
      </c>
      <c r="E1059" s="1">
        <v>15.6</v>
      </c>
      <c r="F1059" s="1" t="s">
        <v>48</v>
      </c>
      <c r="G1059" s="1" t="s">
        <v>481</v>
      </c>
      <c r="H1059" s="1" t="s">
        <v>18</v>
      </c>
      <c r="I1059" s="1" t="s">
        <v>89</v>
      </c>
      <c r="J1059" s="1" t="s">
        <v>52</v>
      </c>
      <c r="K1059" s="1" t="s">
        <v>53</v>
      </c>
      <c r="L1059" s="1" t="s">
        <v>183</v>
      </c>
      <c r="M1059" s="1">
        <v>449</v>
      </c>
    </row>
    <row r="1060" spans="1:13" ht="15.75" customHeight="1">
      <c r="A1060" s="1">
        <v>1072</v>
      </c>
      <c r="B1060" s="1" t="s">
        <v>74</v>
      </c>
      <c r="C1060" s="1" t="s">
        <v>1030</v>
      </c>
      <c r="D1060" s="1" t="s">
        <v>111</v>
      </c>
      <c r="E1060" s="1">
        <v>13.3</v>
      </c>
      <c r="F1060" s="1" t="s">
        <v>92</v>
      </c>
      <c r="G1060" s="1" t="s">
        <v>83</v>
      </c>
      <c r="H1060" s="1" t="s">
        <v>162</v>
      </c>
      <c r="I1060" s="1" t="s">
        <v>34</v>
      </c>
      <c r="J1060" s="1" t="s">
        <v>35</v>
      </c>
      <c r="K1060" s="1" t="s">
        <v>53</v>
      </c>
      <c r="L1060" s="1" t="s">
        <v>69</v>
      </c>
      <c r="M1060" s="1">
        <v>1299</v>
      </c>
    </row>
    <row r="1061" spans="1:13" ht="15.75" customHeight="1">
      <c r="A1061" s="1">
        <v>1073</v>
      </c>
      <c r="B1061" s="1" t="s">
        <v>189</v>
      </c>
      <c r="C1061" s="1" t="s">
        <v>1031</v>
      </c>
      <c r="D1061" s="1" t="s">
        <v>102</v>
      </c>
      <c r="E1061" s="1">
        <v>15.6</v>
      </c>
      <c r="F1061" s="1" t="s">
        <v>32</v>
      </c>
      <c r="G1061" s="1" t="s">
        <v>624</v>
      </c>
      <c r="H1061" s="1" t="s">
        <v>40</v>
      </c>
      <c r="I1061" s="1" t="s">
        <v>156</v>
      </c>
      <c r="J1061" s="1" t="s">
        <v>157</v>
      </c>
      <c r="K1061" s="1" t="s">
        <v>53</v>
      </c>
      <c r="L1061" s="1" t="s">
        <v>738</v>
      </c>
      <c r="M1061" s="1">
        <v>1819</v>
      </c>
    </row>
    <row r="1062" spans="1:13" ht="15.75" customHeight="1">
      <c r="A1062" s="1">
        <v>1074</v>
      </c>
      <c r="B1062" s="1" t="s">
        <v>29</v>
      </c>
      <c r="C1062" s="1" t="s">
        <v>150</v>
      </c>
      <c r="D1062" s="1" t="s">
        <v>31</v>
      </c>
      <c r="E1062" s="1">
        <v>15.6</v>
      </c>
      <c r="F1062" s="1" t="s">
        <v>32</v>
      </c>
      <c r="G1062" s="1" t="s">
        <v>83</v>
      </c>
      <c r="H1062" s="1" t="s">
        <v>18</v>
      </c>
      <c r="I1062" s="1" t="s">
        <v>34</v>
      </c>
      <c r="J1062" s="1" t="s">
        <v>35</v>
      </c>
      <c r="K1062" s="1" t="s">
        <v>53</v>
      </c>
      <c r="L1062" s="1" t="s">
        <v>59</v>
      </c>
      <c r="M1062" s="1">
        <v>1070</v>
      </c>
    </row>
    <row r="1063" spans="1:13" ht="15.75" customHeight="1">
      <c r="A1063" s="1">
        <v>1075</v>
      </c>
      <c r="B1063" s="1" t="s">
        <v>60</v>
      </c>
      <c r="C1063" s="1" t="s">
        <v>1032</v>
      </c>
      <c r="D1063" s="1" t="s">
        <v>102</v>
      </c>
      <c r="E1063" s="1">
        <v>17.3</v>
      </c>
      <c r="F1063" s="1" t="s">
        <v>66</v>
      </c>
      <c r="G1063" s="1" t="s">
        <v>624</v>
      </c>
      <c r="H1063" s="1" t="s">
        <v>40</v>
      </c>
      <c r="I1063" s="1" t="s">
        <v>89</v>
      </c>
      <c r="J1063" s="1" t="s">
        <v>641</v>
      </c>
      <c r="K1063" s="1" t="s">
        <v>36</v>
      </c>
      <c r="L1063" s="1" t="s">
        <v>1033</v>
      </c>
      <c r="M1063" s="1">
        <v>998</v>
      </c>
    </row>
    <row r="1064" spans="1:13" ht="15.75" customHeight="1">
      <c r="A1064" s="1">
        <v>1076</v>
      </c>
      <c r="B1064" s="1" t="s">
        <v>74</v>
      </c>
      <c r="C1064" s="1" t="s">
        <v>75</v>
      </c>
      <c r="D1064" s="1" t="s">
        <v>31</v>
      </c>
      <c r="E1064" s="1">
        <v>15.6</v>
      </c>
      <c r="F1064" s="1" t="s">
        <v>32</v>
      </c>
      <c r="G1064" s="1" t="s">
        <v>33</v>
      </c>
      <c r="H1064" s="1" t="s">
        <v>50</v>
      </c>
      <c r="I1064" s="1" t="s">
        <v>89</v>
      </c>
      <c r="J1064" s="1" t="s">
        <v>132</v>
      </c>
      <c r="K1064" s="1" t="s">
        <v>53</v>
      </c>
      <c r="L1064" s="1" t="s">
        <v>447</v>
      </c>
      <c r="M1064" s="1">
        <v>559</v>
      </c>
    </row>
    <row r="1065" spans="1:13" ht="15.75" customHeight="1">
      <c r="A1065" s="1">
        <v>1077</v>
      </c>
      <c r="B1065" s="1" t="s">
        <v>74</v>
      </c>
      <c r="C1065" s="1" t="s">
        <v>279</v>
      </c>
      <c r="D1065" s="1" t="s">
        <v>31</v>
      </c>
      <c r="E1065" s="1">
        <v>15.6</v>
      </c>
      <c r="F1065" s="1" t="s">
        <v>32</v>
      </c>
      <c r="G1065" s="1" t="s">
        <v>83</v>
      </c>
      <c r="H1065" s="1" t="s">
        <v>40</v>
      </c>
      <c r="I1065" s="1" t="s">
        <v>221</v>
      </c>
      <c r="J1065" s="1" t="s">
        <v>280</v>
      </c>
      <c r="K1065" s="1" t="s">
        <v>53</v>
      </c>
      <c r="L1065" s="1" t="s">
        <v>826</v>
      </c>
      <c r="M1065" s="1">
        <v>989.99</v>
      </c>
    </row>
    <row r="1066" spans="1:13" ht="15.75" customHeight="1">
      <c r="A1066" s="1">
        <v>1079</v>
      </c>
      <c r="B1066" s="1" t="s">
        <v>189</v>
      </c>
      <c r="C1066" s="1" t="s">
        <v>1034</v>
      </c>
      <c r="D1066" s="1" t="s">
        <v>102</v>
      </c>
      <c r="E1066" s="1">
        <v>15.6</v>
      </c>
      <c r="F1066" s="1" t="s">
        <v>32</v>
      </c>
      <c r="G1066" s="1" t="s">
        <v>624</v>
      </c>
      <c r="H1066" s="1" t="s">
        <v>40</v>
      </c>
      <c r="I1066" s="1" t="s">
        <v>156</v>
      </c>
      <c r="J1066" s="1" t="s">
        <v>157</v>
      </c>
      <c r="K1066" s="1" t="s">
        <v>53</v>
      </c>
      <c r="L1066" s="1" t="s">
        <v>202</v>
      </c>
      <c r="M1066" s="1">
        <v>1929</v>
      </c>
    </row>
    <row r="1067" spans="1:13" ht="15.75" customHeight="1">
      <c r="A1067" s="1">
        <v>1080</v>
      </c>
      <c r="B1067" s="1" t="s">
        <v>74</v>
      </c>
      <c r="C1067" s="1" t="s">
        <v>91</v>
      </c>
      <c r="D1067" s="1" t="s">
        <v>15</v>
      </c>
      <c r="E1067" s="1">
        <v>13.3</v>
      </c>
      <c r="F1067" s="1" t="s">
        <v>32</v>
      </c>
      <c r="G1067" s="1" t="s">
        <v>83</v>
      </c>
      <c r="H1067" s="1" t="s">
        <v>18</v>
      </c>
      <c r="I1067" s="1" t="s">
        <v>34</v>
      </c>
      <c r="J1067" s="1" t="s">
        <v>35</v>
      </c>
      <c r="K1067" s="1" t="s">
        <v>53</v>
      </c>
      <c r="L1067" s="1" t="s">
        <v>345</v>
      </c>
      <c r="M1067" s="1">
        <v>1458</v>
      </c>
    </row>
    <row r="1068" spans="1:13" ht="15.75" customHeight="1">
      <c r="A1068" s="1">
        <v>1081</v>
      </c>
      <c r="B1068" s="1" t="s">
        <v>60</v>
      </c>
      <c r="C1068" s="1" t="s">
        <v>1035</v>
      </c>
      <c r="D1068" s="1" t="s">
        <v>102</v>
      </c>
      <c r="E1068" s="1">
        <v>17.3</v>
      </c>
      <c r="F1068" s="1" t="s">
        <v>66</v>
      </c>
      <c r="G1068" s="1" t="s">
        <v>706</v>
      </c>
      <c r="H1068" s="1" t="s">
        <v>1036</v>
      </c>
      <c r="I1068" s="1" t="s">
        <v>359</v>
      </c>
      <c r="J1068" s="1" t="s">
        <v>1037</v>
      </c>
      <c r="K1068" s="1" t="s">
        <v>53</v>
      </c>
      <c r="L1068" s="1" t="s">
        <v>943</v>
      </c>
      <c r="M1068" s="1">
        <v>3975</v>
      </c>
    </row>
    <row r="1069" spans="1:13" ht="15.75" customHeight="1">
      <c r="A1069" s="1">
        <v>1082</v>
      </c>
      <c r="B1069" s="1" t="s">
        <v>74</v>
      </c>
      <c r="C1069" s="1" t="s">
        <v>921</v>
      </c>
      <c r="D1069" s="1" t="s">
        <v>111</v>
      </c>
      <c r="E1069" s="1">
        <v>13.3</v>
      </c>
      <c r="F1069" s="1" t="s">
        <v>112</v>
      </c>
      <c r="G1069" s="1" t="s">
        <v>389</v>
      </c>
      <c r="H1069" s="1" t="s">
        <v>18</v>
      </c>
      <c r="I1069" s="1" t="s">
        <v>34</v>
      </c>
      <c r="J1069" s="1" t="s">
        <v>71</v>
      </c>
      <c r="K1069" s="1" t="s">
        <v>53</v>
      </c>
      <c r="L1069" s="1" t="s">
        <v>113</v>
      </c>
      <c r="M1069" s="1">
        <v>798.01</v>
      </c>
    </row>
    <row r="1070" spans="1:13" ht="15.75" customHeight="1">
      <c r="A1070" s="1">
        <v>1083</v>
      </c>
      <c r="B1070" s="1" t="s">
        <v>74</v>
      </c>
      <c r="C1070" s="1" t="s">
        <v>786</v>
      </c>
      <c r="D1070" s="1" t="s">
        <v>102</v>
      </c>
      <c r="E1070" s="1">
        <v>15.6</v>
      </c>
      <c r="F1070" s="1" t="s">
        <v>379</v>
      </c>
      <c r="G1070" s="1" t="s">
        <v>624</v>
      </c>
      <c r="H1070" s="1" t="s">
        <v>40</v>
      </c>
      <c r="I1070" s="1" t="s">
        <v>156</v>
      </c>
      <c r="J1070" s="1" t="s">
        <v>727</v>
      </c>
      <c r="K1070" s="1" t="s">
        <v>53</v>
      </c>
      <c r="L1070" s="1" t="s">
        <v>787</v>
      </c>
      <c r="M1070" s="1">
        <v>1329</v>
      </c>
    </row>
    <row r="1071" spans="1:13" ht="15.75" customHeight="1">
      <c r="A1071" s="1">
        <v>1084</v>
      </c>
      <c r="B1071" s="1" t="s">
        <v>13</v>
      </c>
      <c r="C1071" s="1" t="s">
        <v>78</v>
      </c>
      <c r="D1071" s="1" t="s">
        <v>15</v>
      </c>
      <c r="E1071" s="1">
        <v>12</v>
      </c>
      <c r="F1071" s="1" t="s">
        <v>79</v>
      </c>
      <c r="G1071" s="1" t="s">
        <v>1038</v>
      </c>
      <c r="H1071" s="1" t="s">
        <v>18</v>
      </c>
      <c r="I1071" s="1" t="s">
        <v>56</v>
      </c>
      <c r="J1071" s="1" t="s">
        <v>300</v>
      </c>
      <c r="K1071" s="1" t="s">
        <v>58</v>
      </c>
      <c r="L1071" s="1" t="s">
        <v>884</v>
      </c>
      <c r="M1071" s="1">
        <v>1300</v>
      </c>
    </row>
    <row r="1072" spans="1:13" ht="15.75" customHeight="1">
      <c r="A1072" s="1">
        <v>1085</v>
      </c>
      <c r="B1072" s="1" t="s">
        <v>74</v>
      </c>
      <c r="C1072" s="1" t="s">
        <v>1039</v>
      </c>
      <c r="D1072" s="1" t="s">
        <v>31</v>
      </c>
      <c r="E1072" s="1">
        <v>15.6</v>
      </c>
      <c r="F1072" s="1" t="s">
        <v>48</v>
      </c>
      <c r="G1072" s="1" t="s">
        <v>627</v>
      </c>
      <c r="H1072" s="1" t="s">
        <v>50</v>
      </c>
      <c r="I1072" s="1" t="s">
        <v>51</v>
      </c>
      <c r="J1072" s="1" t="s">
        <v>71</v>
      </c>
      <c r="K1072" s="1" t="s">
        <v>53</v>
      </c>
      <c r="L1072" s="1" t="s">
        <v>353</v>
      </c>
      <c r="M1072" s="1">
        <v>481.98</v>
      </c>
    </row>
    <row r="1073" spans="1:13" ht="15.75" customHeight="1">
      <c r="A1073" s="1">
        <v>1086</v>
      </c>
      <c r="B1073" s="1" t="s">
        <v>29</v>
      </c>
      <c r="C1073" s="1" t="s">
        <v>572</v>
      </c>
      <c r="D1073" s="1" t="s">
        <v>31</v>
      </c>
      <c r="E1073" s="1">
        <v>15.6</v>
      </c>
      <c r="F1073" s="1" t="s">
        <v>48</v>
      </c>
      <c r="G1073" s="1" t="s">
        <v>295</v>
      </c>
      <c r="H1073" s="1" t="s">
        <v>50</v>
      </c>
      <c r="I1073" s="1" t="s">
        <v>51</v>
      </c>
      <c r="J1073" s="1" t="s">
        <v>71</v>
      </c>
      <c r="K1073" s="1" t="s">
        <v>53</v>
      </c>
      <c r="L1073" s="1" t="s">
        <v>573</v>
      </c>
      <c r="M1073" s="1">
        <v>1199</v>
      </c>
    </row>
    <row r="1074" spans="1:13" ht="15.75" customHeight="1">
      <c r="A1074" s="1">
        <v>1087</v>
      </c>
      <c r="B1074" s="1" t="s">
        <v>29</v>
      </c>
      <c r="C1074" s="1" t="s">
        <v>864</v>
      </c>
      <c r="D1074" s="1" t="s">
        <v>15</v>
      </c>
      <c r="E1074" s="1">
        <v>12.5</v>
      </c>
      <c r="F1074" s="1" t="s">
        <v>32</v>
      </c>
      <c r="G1074" s="1" t="s">
        <v>295</v>
      </c>
      <c r="H1074" s="1" t="s">
        <v>18</v>
      </c>
      <c r="I1074" s="1" t="s">
        <v>34</v>
      </c>
      <c r="J1074" s="1" t="s">
        <v>71</v>
      </c>
      <c r="K1074" s="1" t="s">
        <v>662</v>
      </c>
      <c r="L1074" s="1" t="s">
        <v>269</v>
      </c>
      <c r="M1074" s="1">
        <v>1199</v>
      </c>
    </row>
    <row r="1075" spans="1:13" ht="15.75" customHeight="1">
      <c r="A1075" s="1">
        <v>1088</v>
      </c>
      <c r="B1075" s="1" t="s">
        <v>29</v>
      </c>
      <c r="C1075" s="1" t="s">
        <v>181</v>
      </c>
      <c r="D1075" s="1" t="s">
        <v>31</v>
      </c>
      <c r="E1075" s="1">
        <v>13.3</v>
      </c>
      <c r="F1075" s="1" t="s">
        <v>32</v>
      </c>
      <c r="G1075" s="1" t="s">
        <v>83</v>
      </c>
      <c r="H1075" s="1" t="s">
        <v>18</v>
      </c>
      <c r="I1075" s="1" t="s">
        <v>34</v>
      </c>
      <c r="J1075" s="1" t="s">
        <v>35</v>
      </c>
      <c r="K1075" s="1" t="s">
        <v>53</v>
      </c>
      <c r="L1075" s="1" t="s">
        <v>182</v>
      </c>
      <c r="M1075" s="1">
        <v>1090</v>
      </c>
    </row>
    <row r="1076" spans="1:13" ht="15.75" customHeight="1">
      <c r="A1076" s="1">
        <v>1089</v>
      </c>
      <c r="B1076" s="1" t="s">
        <v>86</v>
      </c>
      <c r="C1076" s="1" t="s">
        <v>265</v>
      </c>
      <c r="D1076" s="1" t="s">
        <v>15</v>
      </c>
      <c r="E1076" s="1">
        <v>12.5</v>
      </c>
      <c r="F1076" s="1" t="s">
        <v>92</v>
      </c>
      <c r="G1076" s="1" t="s">
        <v>389</v>
      </c>
      <c r="H1076" s="1" t="s">
        <v>18</v>
      </c>
      <c r="I1076" s="1" t="s">
        <v>34</v>
      </c>
      <c r="J1076" s="1" t="s">
        <v>71</v>
      </c>
      <c r="K1076" s="1" t="s">
        <v>53</v>
      </c>
      <c r="L1076" s="1" t="s">
        <v>64</v>
      </c>
      <c r="M1076" s="1">
        <v>1713.49</v>
      </c>
    </row>
    <row r="1077" spans="1:13" ht="15.75" customHeight="1">
      <c r="A1077" s="1">
        <v>1090</v>
      </c>
      <c r="B1077" s="1" t="s">
        <v>86</v>
      </c>
      <c r="C1077" s="1" t="s">
        <v>1040</v>
      </c>
      <c r="D1077" s="1" t="s">
        <v>31</v>
      </c>
      <c r="E1077" s="1">
        <v>17.3</v>
      </c>
      <c r="F1077" s="1" t="s">
        <v>364</v>
      </c>
      <c r="G1077" s="1" t="s">
        <v>295</v>
      </c>
      <c r="H1077" s="1" t="s">
        <v>18</v>
      </c>
      <c r="I1077" s="1" t="s">
        <v>1041</v>
      </c>
      <c r="J1077" s="1" t="s">
        <v>1042</v>
      </c>
      <c r="K1077" s="1" t="s">
        <v>53</v>
      </c>
      <c r="L1077" s="1" t="s">
        <v>1043</v>
      </c>
      <c r="M1077" s="1">
        <v>659</v>
      </c>
    </row>
    <row r="1078" spans="1:13" ht="15.75" customHeight="1">
      <c r="A1078" s="1">
        <v>1091</v>
      </c>
      <c r="B1078" s="1" t="s">
        <v>86</v>
      </c>
      <c r="C1078" s="1" t="s">
        <v>1044</v>
      </c>
      <c r="D1078" s="1" t="s">
        <v>31</v>
      </c>
      <c r="E1078" s="1">
        <v>15.6</v>
      </c>
      <c r="F1078" s="1" t="s">
        <v>66</v>
      </c>
      <c r="G1078" s="1" t="s">
        <v>811</v>
      </c>
      <c r="H1078" s="1" t="s">
        <v>50</v>
      </c>
      <c r="I1078" s="1" t="s">
        <v>89</v>
      </c>
      <c r="J1078" s="1" t="s">
        <v>396</v>
      </c>
      <c r="K1078" s="1" t="s">
        <v>53</v>
      </c>
      <c r="L1078" s="1" t="s">
        <v>116</v>
      </c>
      <c r="M1078" s="1">
        <v>977</v>
      </c>
    </row>
    <row r="1079" spans="1:13" ht="15.75" customHeight="1">
      <c r="A1079" s="1">
        <v>1092</v>
      </c>
      <c r="B1079" s="1" t="s">
        <v>189</v>
      </c>
      <c r="C1079" s="1" t="s">
        <v>1045</v>
      </c>
      <c r="D1079" s="1" t="s">
        <v>102</v>
      </c>
      <c r="E1079" s="1">
        <v>17.3</v>
      </c>
      <c r="F1079" s="1" t="s">
        <v>32</v>
      </c>
      <c r="G1079" s="1" t="s">
        <v>155</v>
      </c>
      <c r="H1079" s="1" t="s">
        <v>40</v>
      </c>
      <c r="I1079" s="1" t="s">
        <v>156</v>
      </c>
      <c r="J1079" s="1" t="s">
        <v>192</v>
      </c>
      <c r="K1079" s="1" t="s">
        <v>53</v>
      </c>
      <c r="L1079" s="1" t="s">
        <v>619</v>
      </c>
      <c r="M1079" s="1">
        <v>2499</v>
      </c>
    </row>
    <row r="1080" spans="1:13" ht="15.75" customHeight="1">
      <c r="A1080" s="1">
        <v>1093</v>
      </c>
      <c r="B1080" s="1" t="s">
        <v>86</v>
      </c>
      <c r="C1080" s="1" t="s">
        <v>1046</v>
      </c>
      <c r="D1080" s="1" t="s">
        <v>31</v>
      </c>
      <c r="E1080" s="1">
        <v>15.6</v>
      </c>
      <c r="F1080" s="1" t="s">
        <v>48</v>
      </c>
      <c r="G1080" s="1" t="s">
        <v>295</v>
      </c>
      <c r="H1080" s="1" t="s">
        <v>50</v>
      </c>
      <c r="I1080" s="1" t="s">
        <v>51</v>
      </c>
      <c r="J1080" s="1" t="s">
        <v>71</v>
      </c>
      <c r="K1080" s="1" t="s">
        <v>53</v>
      </c>
      <c r="L1080" s="1" t="s">
        <v>54</v>
      </c>
      <c r="M1080" s="1">
        <v>540</v>
      </c>
    </row>
    <row r="1081" spans="1:13" ht="15.75" customHeight="1">
      <c r="A1081" s="1">
        <v>1094</v>
      </c>
      <c r="B1081" s="1" t="s">
        <v>29</v>
      </c>
      <c r="C1081" s="1" t="s">
        <v>956</v>
      </c>
      <c r="D1081" s="1" t="s">
        <v>31</v>
      </c>
      <c r="E1081" s="1">
        <v>15.6</v>
      </c>
      <c r="F1081" s="1" t="s">
        <v>32</v>
      </c>
      <c r="G1081" s="1" t="s">
        <v>295</v>
      </c>
      <c r="H1081" s="1" t="s">
        <v>50</v>
      </c>
      <c r="I1081" s="1" t="s">
        <v>51</v>
      </c>
      <c r="J1081" s="1" t="s">
        <v>71</v>
      </c>
      <c r="K1081" s="1" t="s">
        <v>662</v>
      </c>
      <c r="L1081" s="1" t="s">
        <v>573</v>
      </c>
      <c r="M1081" s="1">
        <v>940</v>
      </c>
    </row>
    <row r="1082" spans="1:13" ht="15.75" customHeight="1">
      <c r="A1082" s="1">
        <v>1095</v>
      </c>
      <c r="B1082" s="1" t="s">
        <v>86</v>
      </c>
      <c r="C1082" s="1" t="s">
        <v>1047</v>
      </c>
      <c r="D1082" s="1" t="s">
        <v>15</v>
      </c>
      <c r="E1082" s="1">
        <v>12.5</v>
      </c>
      <c r="F1082" s="1" t="s">
        <v>885</v>
      </c>
      <c r="G1082" s="1" t="s">
        <v>299</v>
      </c>
      <c r="H1082" s="1" t="s">
        <v>18</v>
      </c>
      <c r="I1082" s="1" t="s">
        <v>41</v>
      </c>
      <c r="J1082" s="1" t="s">
        <v>300</v>
      </c>
      <c r="K1082" s="1" t="s">
        <v>53</v>
      </c>
      <c r="L1082" s="1" t="s">
        <v>1048</v>
      </c>
      <c r="M1082" s="1">
        <v>1399</v>
      </c>
    </row>
    <row r="1083" spans="1:13" ht="15.75" customHeight="1">
      <c r="A1083" s="1">
        <v>1096</v>
      </c>
      <c r="B1083" s="1" t="s">
        <v>86</v>
      </c>
      <c r="C1083" s="1" t="s">
        <v>1023</v>
      </c>
      <c r="D1083" s="1" t="s">
        <v>102</v>
      </c>
      <c r="E1083" s="1">
        <v>17.3</v>
      </c>
      <c r="F1083" s="1" t="s">
        <v>66</v>
      </c>
      <c r="G1083" s="1" t="s">
        <v>706</v>
      </c>
      <c r="H1083" s="1" t="s">
        <v>338</v>
      </c>
      <c r="I1083" s="1" t="s">
        <v>1049</v>
      </c>
      <c r="J1083" s="1" t="s">
        <v>420</v>
      </c>
      <c r="K1083" s="1" t="s">
        <v>53</v>
      </c>
      <c r="L1083" s="1" t="s">
        <v>707</v>
      </c>
      <c r="M1083" s="1">
        <v>3240</v>
      </c>
    </row>
    <row r="1084" spans="1:13" ht="15.75" customHeight="1">
      <c r="A1084" s="1">
        <v>1097</v>
      </c>
      <c r="B1084" s="1" t="s">
        <v>86</v>
      </c>
      <c r="C1084" s="1" t="s">
        <v>175</v>
      </c>
      <c r="D1084" s="1" t="s">
        <v>111</v>
      </c>
      <c r="E1084" s="1">
        <v>10.1</v>
      </c>
      <c r="F1084" s="1" t="s">
        <v>176</v>
      </c>
      <c r="G1084" s="1" t="s">
        <v>177</v>
      </c>
      <c r="H1084" s="1" t="s">
        <v>50</v>
      </c>
      <c r="I1084" s="1" t="s">
        <v>131</v>
      </c>
      <c r="J1084" s="1" t="s">
        <v>99</v>
      </c>
      <c r="K1084" s="1" t="s">
        <v>53</v>
      </c>
      <c r="L1084" s="1" t="s">
        <v>179</v>
      </c>
      <c r="M1084" s="1">
        <v>646.27</v>
      </c>
    </row>
    <row r="1085" spans="1:13" ht="15.75" customHeight="1">
      <c r="A1085" s="1">
        <v>1098</v>
      </c>
      <c r="B1085" s="1" t="s">
        <v>29</v>
      </c>
      <c r="C1085" s="1" t="s">
        <v>268</v>
      </c>
      <c r="D1085" s="1" t="s">
        <v>15</v>
      </c>
      <c r="E1085" s="1">
        <v>13.3</v>
      </c>
      <c r="F1085" s="1" t="s">
        <v>372</v>
      </c>
      <c r="G1085" s="1" t="s">
        <v>83</v>
      </c>
      <c r="H1085" s="1" t="s">
        <v>40</v>
      </c>
      <c r="I1085" s="1" t="s">
        <v>41</v>
      </c>
      <c r="J1085" s="1" t="s">
        <v>35</v>
      </c>
      <c r="K1085" s="1" t="s">
        <v>53</v>
      </c>
      <c r="L1085" s="1" t="s">
        <v>64</v>
      </c>
      <c r="M1085" s="1">
        <v>2049</v>
      </c>
    </row>
    <row r="1086" spans="1:13" ht="15.75" customHeight="1">
      <c r="A1086" s="1">
        <v>1099</v>
      </c>
      <c r="B1086" s="1" t="s">
        <v>74</v>
      </c>
      <c r="C1086" s="1" t="s">
        <v>432</v>
      </c>
      <c r="D1086" s="1" t="s">
        <v>31</v>
      </c>
      <c r="E1086" s="1">
        <v>15.6</v>
      </c>
      <c r="F1086" s="1" t="s">
        <v>32</v>
      </c>
      <c r="G1086" s="1" t="s">
        <v>33</v>
      </c>
      <c r="H1086" s="1" t="s">
        <v>18</v>
      </c>
      <c r="I1086" s="1" t="s">
        <v>34</v>
      </c>
      <c r="J1086" s="1" t="s">
        <v>35</v>
      </c>
      <c r="K1086" s="1" t="s">
        <v>53</v>
      </c>
      <c r="L1086" s="1" t="s">
        <v>433</v>
      </c>
      <c r="M1086" s="1">
        <v>750</v>
      </c>
    </row>
    <row r="1087" spans="1:13" ht="15.75" customHeight="1">
      <c r="A1087" s="1">
        <v>1100</v>
      </c>
      <c r="B1087" s="1" t="s">
        <v>29</v>
      </c>
      <c r="C1087" s="1" t="s">
        <v>312</v>
      </c>
      <c r="D1087" s="1" t="s">
        <v>31</v>
      </c>
      <c r="E1087" s="1">
        <v>14</v>
      </c>
      <c r="F1087" s="1" t="s">
        <v>32</v>
      </c>
      <c r="G1087" s="1" t="s">
        <v>295</v>
      </c>
      <c r="H1087" s="1" t="s">
        <v>50</v>
      </c>
      <c r="I1087" s="1" t="s">
        <v>51</v>
      </c>
      <c r="J1087" s="1" t="s">
        <v>71</v>
      </c>
      <c r="K1087" s="1" t="s">
        <v>662</v>
      </c>
      <c r="L1087" s="1" t="s">
        <v>911</v>
      </c>
      <c r="M1087" s="1">
        <v>1030.99</v>
      </c>
    </row>
    <row r="1088" spans="1:13" ht="15.75" customHeight="1">
      <c r="A1088" s="1">
        <v>1101</v>
      </c>
      <c r="B1088" s="1" t="s">
        <v>29</v>
      </c>
      <c r="C1088" s="1" t="s">
        <v>398</v>
      </c>
      <c r="D1088" s="1" t="s">
        <v>378</v>
      </c>
      <c r="E1088" s="1">
        <v>15.6</v>
      </c>
      <c r="F1088" s="1" t="s">
        <v>32</v>
      </c>
      <c r="G1088" s="1" t="s">
        <v>389</v>
      </c>
      <c r="H1088" s="1" t="s">
        <v>18</v>
      </c>
      <c r="I1088" s="1" t="s">
        <v>34</v>
      </c>
      <c r="J1088" s="1" t="s">
        <v>1050</v>
      </c>
      <c r="K1088" s="1" t="s">
        <v>662</v>
      </c>
      <c r="L1088" s="1" t="s">
        <v>207</v>
      </c>
      <c r="M1088" s="1">
        <v>1495</v>
      </c>
    </row>
    <row r="1089" spans="1:13" ht="15.75" customHeight="1">
      <c r="A1089" s="1">
        <v>1102</v>
      </c>
      <c r="B1089" s="1" t="s">
        <v>86</v>
      </c>
      <c r="C1089" s="1" t="s">
        <v>984</v>
      </c>
      <c r="D1089" s="1" t="s">
        <v>31</v>
      </c>
      <c r="E1089" s="1">
        <v>14</v>
      </c>
      <c r="F1089" s="1" t="s">
        <v>32</v>
      </c>
      <c r="G1089" s="1" t="s">
        <v>295</v>
      </c>
      <c r="H1089" s="1" t="s">
        <v>18</v>
      </c>
      <c r="I1089" s="1" t="s">
        <v>629</v>
      </c>
      <c r="J1089" s="1" t="s">
        <v>71</v>
      </c>
      <c r="K1089" s="1" t="s">
        <v>662</v>
      </c>
      <c r="L1089" s="1" t="s">
        <v>196</v>
      </c>
      <c r="M1089" s="1">
        <v>1199</v>
      </c>
    </row>
    <row r="1090" spans="1:13" ht="15.75" customHeight="1">
      <c r="A1090" s="1">
        <v>1103</v>
      </c>
      <c r="B1090" s="1" t="s">
        <v>29</v>
      </c>
      <c r="C1090" s="1" t="s">
        <v>1051</v>
      </c>
      <c r="D1090" s="1" t="s">
        <v>31</v>
      </c>
      <c r="E1090" s="1">
        <v>13.3</v>
      </c>
      <c r="F1090" s="1" t="s">
        <v>976</v>
      </c>
      <c r="G1090" s="1" t="s">
        <v>1052</v>
      </c>
      <c r="H1090" s="1" t="s">
        <v>50</v>
      </c>
      <c r="I1090" s="1" t="s">
        <v>98</v>
      </c>
      <c r="J1090" s="1" t="s">
        <v>300</v>
      </c>
      <c r="K1090" s="1" t="s">
        <v>456</v>
      </c>
      <c r="L1090" s="1" t="s">
        <v>345</v>
      </c>
      <c r="M1090" s="1">
        <v>615</v>
      </c>
    </row>
    <row r="1091" spans="1:13" ht="15.75" customHeight="1">
      <c r="A1091" s="1">
        <v>1104</v>
      </c>
      <c r="B1091" s="1" t="s">
        <v>46</v>
      </c>
      <c r="C1091" s="1" t="s">
        <v>1029</v>
      </c>
      <c r="D1091" s="1" t="s">
        <v>31</v>
      </c>
      <c r="E1091" s="1">
        <v>15.6</v>
      </c>
      <c r="F1091" s="1" t="s">
        <v>48</v>
      </c>
      <c r="G1091" s="1" t="s">
        <v>481</v>
      </c>
      <c r="H1091" s="1" t="s">
        <v>50</v>
      </c>
      <c r="I1091" s="1" t="s">
        <v>51</v>
      </c>
      <c r="J1091" s="1" t="s">
        <v>52</v>
      </c>
      <c r="K1091" s="1" t="s">
        <v>53</v>
      </c>
      <c r="L1091" s="1" t="s">
        <v>183</v>
      </c>
      <c r="M1091" s="1">
        <v>387</v>
      </c>
    </row>
    <row r="1092" spans="1:13" ht="15.75" customHeight="1">
      <c r="A1092" s="1">
        <v>1105</v>
      </c>
      <c r="B1092" s="1" t="s">
        <v>74</v>
      </c>
      <c r="C1092" s="1" t="s">
        <v>509</v>
      </c>
      <c r="D1092" s="1" t="s">
        <v>31</v>
      </c>
      <c r="E1092" s="1">
        <v>15.6</v>
      </c>
      <c r="F1092" s="1" t="s">
        <v>48</v>
      </c>
      <c r="G1092" s="1" t="s">
        <v>1053</v>
      </c>
      <c r="H1092" s="1" t="s">
        <v>50</v>
      </c>
      <c r="I1092" s="1" t="s">
        <v>51</v>
      </c>
      <c r="J1092" s="1" t="s">
        <v>132</v>
      </c>
      <c r="K1092" s="1" t="s">
        <v>147</v>
      </c>
      <c r="L1092" s="1" t="s">
        <v>77</v>
      </c>
      <c r="M1092" s="1">
        <v>393.49</v>
      </c>
    </row>
    <row r="1093" spans="1:13" ht="15.75" customHeight="1">
      <c r="A1093" s="1">
        <v>1106</v>
      </c>
      <c r="B1093" s="1" t="s">
        <v>29</v>
      </c>
      <c r="C1093" s="1" t="s">
        <v>30</v>
      </c>
      <c r="D1093" s="1" t="s">
        <v>31</v>
      </c>
      <c r="E1093" s="1">
        <v>15.6</v>
      </c>
      <c r="F1093" s="1" t="s">
        <v>48</v>
      </c>
      <c r="G1093" s="1" t="s">
        <v>70</v>
      </c>
      <c r="H1093" s="1" t="s">
        <v>50</v>
      </c>
      <c r="I1093" s="1" t="s">
        <v>89</v>
      </c>
      <c r="J1093" s="1" t="s">
        <v>71</v>
      </c>
      <c r="K1093" s="1" t="s">
        <v>36</v>
      </c>
      <c r="L1093" s="1" t="s">
        <v>37</v>
      </c>
      <c r="M1093" s="1">
        <v>345.99</v>
      </c>
    </row>
    <row r="1094" spans="1:13" ht="15.75" customHeight="1">
      <c r="A1094" s="1">
        <v>1107</v>
      </c>
      <c r="B1094" s="1" t="s">
        <v>60</v>
      </c>
      <c r="C1094" s="1" t="s">
        <v>1054</v>
      </c>
      <c r="D1094" s="1" t="s">
        <v>102</v>
      </c>
      <c r="E1094" s="1">
        <v>17.3</v>
      </c>
      <c r="F1094" s="1" t="s">
        <v>66</v>
      </c>
      <c r="G1094" s="1" t="s">
        <v>155</v>
      </c>
      <c r="H1094" s="1" t="s">
        <v>18</v>
      </c>
      <c r="I1094" s="1" t="s">
        <v>156</v>
      </c>
      <c r="J1094" s="1" t="s">
        <v>157</v>
      </c>
      <c r="K1094" s="1" t="s">
        <v>53</v>
      </c>
      <c r="L1094" s="1" t="s">
        <v>217</v>
      </c>
      <c r="M1094" s="1">
        <v>1599</v>
      </c>
    </row>
    <row r="1095" spans="1:13" ht="15.75" customHeight="1">
      <c r="A1095" s="1">
        <v>1108</v>
      </c>
      <c r="B1095" s="1" t="s">
        <v>74</v>
      </c>
      <c r="C1095" s="1" t="s">
        <v>215</v>
      </c>
      <c r="D1095" s="1" t="s">
        <v>15</v>
      </c>
      <c r="E1095" s="1">
        <v>13.3</v>
      </c>
      <c r="F1095" s="1" t="s">
        <v>66</v>
      </c>
      <c r="G1095" s="1" t="s">
        <v>67</v>
      </c>
      <c r="H1095" s="1" t="s">
        <v>50</v>
      </c>
      <c r="I1095" s="1" t="s">
        <v>34</v>
      </c>
      <c r="J1095" s="1" t="s">
        <v>121</v>
      </c>
      <c r="K1095" s="1" t="s">
        <v>53</v>
      </c>
      <c r="L1095" s="1" t="s">
        <v>199</v>
      </c>
      <c r="M1095" s="1">
        <v>818.35</v>
      </c>
    </row>
    <row r="1096" spans="1:13" ht="15.75" customHeight="1">
      <c r="A1096" s="1">
        <v>1109</v>
      </c>
      <c r="B1096" s="1" t="s">
        <v>29</v>
      </c>
      <c r="C1096" s="1" t="s">
        <v>500</v>
      </c>
      <c r="D1096" s="1" t="s">
        <v>95</v>
      </c>
      <c r="E1096" s="1">
        <v>12.5</v>
      </c>
      <c r="F1096" s="1" t="s">
        <v>48</v>
      </c>
      <c r="G1096" s="1" t="s">
        <v>295</v>
      </c>
      <c r="H1096" s="1" t="s">
        <v>50</v>
      </c>
      <c r="I1096" s="1" t="s">
        <v>19</v>
      </c>
      <c r="J1096" s="1" t="s">
        <v>71</v>
      </c>
      <c r="K1096" s="1" t="s">
        <v>662</v>
      </c>
      <c r="L1096" s="1" t="s">
        <v>183</v>
      </c>
      <c r="M1096" s="1">
        <v>1599</v>
      </c>
    </row>
    <row r="1097" spans="1:13" ht="15.75" customHeight="1">
      <c r="A1097" s="1">
        <v>1110</v>
      </c>
      <c r="B1097" s="1" t="s">
        <v>46</v>
      </c>
      <c r="C1097" s="1" t="s">
        <v>1055</v>
      </c>
      <c r="D1097" s="1" t="s">
        <v>31</v>
      </c>
      <c r="E1097" s="1">
        <v>15.6</v>
      </c>
      <c r="F1097" s="1" t="s">
        <v>32</v>
      </c>
      <c r="G1097" s="1" t="s">
        <v>33</v>
      </c>
      <c r="H1097" s="1" t="s">
        <v>18</v>
      </c>
      <c r="I1097" s="1" t="s">
        <v>156</v>
      </c>
      <c r="J1097" s="1" t="s">
        <v>396</v>
      </c>
      <c r="K1097" s="1" t="s">
        <v>53</v>
      </c>
      <c r="L1097" s="1" t="s">
        <v>183</v>
      </c>
      <c r="M1097" s="1">
        <v>799</v>
      </c>
    </row>
    <row r="1098" spans="1:13" ht="15.75" customHeight="1">
      <c r="A1098" s="1">
        <v>1111</v>
      </c>
      <c r="B1098" s="1" t="s">
        <v>74</v>
      </c>
      <c r="C1098" s="1" t="s">
        <v>279</v>
      </c>
      <c r="D1098" s="1" t="s">
        <v>31</v>
      </c>
      <c r="E1098" s="1">
        <v>15.6</v>
      </c>
      <c r="F1098" s="1" t="s">
        <v>32</v>
      </c>
      <c r="G1098" s="1" t="s">
        <v>33</v>
      </c>
      <c r="H1098" s="1" t="s">
        <v>18</v>
      </c>
      <c r="I1098" s="1" t="s">
        <v>89</v>
      </c>
      <c r="J1098" s="1" t="s">
        <v>280</v>
      </c>
      <c r="K1098" s="1" t="s">
        <v>53</v>
      </c>
      <c r="L1098" s="1" t="s">
        <v>281</v>
      </c>
      <c r="M1098" s="1">
        <v>638.79999999999995</v>
      </c>
    </row>
    <row r="1099" spans="1:13" ht="15.75" customHeight="1">
      <c r="A1099" s="1">
        <v>1112</v>
      </c>
      <c r="B1099" s="1" t="s">
        <v>189</v>
      </c>
      <c r="C1099" s="1" t="s">
        <v>1056</v>
      </c>
      <c r="D1099" s="1" t="s">
        <v>102</v>
      </c>
      <c r="E1099" s="1">
        <v>17.3</v>
      </c>
      <c r="F1099" s="1" t="s">
        <v>32</v>
      </c>
      <c r="G1099" s="1" t="s">
        <v>624</v>
      </c>
      <c r="H1099" s="1" t="s">
        <v>18</v>
      </c>
      <c r="I1099" s="1" t="s">
        <v>34</v>
      </c>
      <c r="J1099" s="1" t="s">
        <v>641</v>
      </c>
      <c r="K1099" s="1" t="s">
        <v>53</v>
      </c>
      <c r="L1099" s="1" t="s">
        <v>516</v>
      </c>
      <c r="M1099" s="1">
        <v>1599</v>
      </c>
    </row>
    <row r="1100" spans="1:13" ht="15.75" customHeight="1">
      <c r="A1100" s="1">
        <v>1113</v>
      </c>
      <c r="B1100" s="1" t="s">
        <v>29</v>
      </c>
      <c r="C1100" s="1" t="s">
        <v>1028</v>
      </c>
      <c r="D1100" s="1" t="s">
        <v>31</v>
      </c>
      <c r="E1100" s="1">
        <v>15.6</v>
      </c>
      <c r="F1100" s="1" t="s">
        <v>48</v>
      </c>
      <c r="G1100" s="1" t="s">
        <v>491</v>
      </c>
      <c r="H1100" s="1" t="s">
        <v>50</v>
      </c>
      <c r="I1100" s="1" t="s">
        <v>89</v>
      </c>
      <c r="J1100" s="1" t="s">
        <v>492</v>
      </c>
      <c r="K1100" s="1" t="s">
        <v>53</v>
      </c>
      <c r="L1100" s="1" t="s">
        <v>232</v>
      </c>
      <c r="M1100" s="1">
        <v>500</v>
      </c>
    </row>
    <row r="1101" spans="1:13" ht="15.75" customHeight="1">
      <c r="A1101" s="1">
        <v>1114</v>
      </c>
      <c r="B1101" s="1" t="s">
        <v>60</v>
      </c>
      <c r="C1101" s="1" t="s">
        <v>1057</v>
      </c>
      <c r="D1101" s="1" t="s">
        <v>102</v>
      </c>
      <c r="E1101" s="1">
        <v>17.3</v>
      </c>
      <c r="F1101" s="1" t="s">
        <v>66</v>
      </c>
      <c r="G1101" s="1" t="s">
        <v>624</v>
      </c>
      <c r="H1101" s="1" t="s">
        <v>40</v>
      </c>
      <c r="I1101" s="1" t="s">
        <v>104</v>
      </c>
      <c r="J1101" s="1" t="s">
        <v>420</v>
      </c>
      <c r="K1101" s="1" t="s">
        <v>53</v>
      </c>
      <c r="L1101" s="1" t="s">
        <v>421</v>
      </c>
      <c r="M1101" s="1">
        <v>2299</v>
      </c>
    </row>
    <row r="1102" spans="1:13" ht="15.75" customHeight="1">
      <c r="A1102" s="1">
        <v>1115</v>
      </c>
      <c r="B1102" s="1" t="s">
        <v>74</v>
      </c>
      <c r="C1102" s="1" t="s">
        <v>1058</v>
      </c>
      <c r="D1102" s="1" t="s">
        <v>15</v>
      </c>
      <c r="E1102" s="1">
        <v>12.5</v>
      </c>
      <c r="F1102" s="1" t="s">
        <v>48</v>
      </c>
      <c r="G1102" s="1" t="s">
        <v>627</v>
      </c>
      <c r="H1102" s="1" t="s">
        <v>50</v>
      </c>
      <c r="I1102" s="1" t="s">
        <v>51</v>
      </c>
      <c r="J1102" s="1" t="s">
        <v>71</v>
      </c>
      <c r="K1102" s="1" t="s">
        <v>662</v>
      </c>
      <c r="L1102" s="1" t="s">
        <v>244</v>
      </c>
      <c r="M1102" s="1">
        <v>1135.1500000000001</v>
      </c>
    </row>
    <row r="1103" spans="1:13" ht="15.75" customHeight="1">
      <c r="A1103" s="1">
        <v>1116</v>
      </c>
      <c r="B1103" s="1" t="s">
        <v>74</v>
      </c>
      <c r="C1103" s="1" t="s">
        <v>1058</v>
      </c>
      <c r="D1103" s="1" t="s">
        <v>15</v>
      </c>
      <c r="E1103" s="1">
        <v>12.5</v>
      </c>
      <c r="F1103" s="1" t="s">
        <v>48</v>
      </c>
      <c r="G1103" s="1" t="s">
        <v>627</v>
      </c>
      <c r="H1103" s="1" t="s">
        <v>50</v>
      </c>
      <c r="I1103" s="1" t="s">
        <v>19</v>
      </c>
      <c r="J1103" s="1" t="s">
        <v>71</v>
      </c>
      <c r="K1103" s="1" t="s">
        <v>662</v>
      </c>
      <c r="L1103" s="1" t="s">
        <v>244</v>
      </c>
      <c r="M1103" s="1">
        <v>1166.97</v>
      </c>
    </row>
    <row r="1104" spans="1:13" ht="15.75" customHeight="1">
      <c r="A1104" s="1">
        <v>1117</v>
      </c>
      <c r="B1104" s="1" t="s">
        <v>46</v>
      </c>
      <c r="C1104" s="1" t="s">
        <v>1059</v>
      </c>
      <c r="D1104" s="1" t="s">
        <v>31</v>
      </c>
      <c r="E1104" s="1">
        <v>15.6</v>
      </c>
      <c r="F1104" s="1" t="s">
        <v>48</v>
      </c>
      <c r="G1104" s="1" t="s">
        <v>454</v>
      </c>
      <c r="H1104" s="1" t="s">
        <v>50</v>
      </c>
      <c r="I1104" s="1" t="s">
        <v>455</v>
      </c>
      <c r="J1104" s="1" t="s">
        <v>132</v>
      </c>
      <c r="K1104" s="1" t="s">
        <v>456</v>
      </c>
      <c r="L1104" s="1" t="s">
        <v>947</v>
      </c>
      <c r="M1104" s="1">
        <v>209</v>
      </c>
    </row>
    <row r="1105" spans="1:13" ht="15.75" customHeight="1">
      <c r="A1105" s="1">
        <v>1118</v>
      </c>
      <c r="B1105" s="1" t="s">
        <v>29</v>
      </c>
      <c r="C1105" s="1" t="s">
        <v>695</v>
      </c>
      <c r="D1105" s="1" t="s">
        <v>378</v>
      </c>
      <c r="E1105" s="1">
        <v>17.3</v>
      </c>
      <c r="F1105" s="1" t="s">
        <v>66</v>
      </c>
      <c r="G1105" s="1" t="s">
        <v>624</v>
      </c>
      <c r="H1105" s="1" t="s">
        <v>18</v>
      </c>
      <c r="I1105" s="1" t="s">
        <v>89</v>
      </c>
      <c r="J1105" s="1" t="s">
        <v>1060</v>
      </c>
      <c r="K1105" s="1" t="s">
        <v>662</v>
      </c>
      <c r="L1105" s="1" t="s">
        <v>1043</v>
      </c>
      <c r="M1105" s="1">
        <v>2899</v>
      </c>
    </row>
    <row r="1106" spans="1:13" ht="15.75" customHeight="1">
      <c r="A1106" s="1">
        <v>1119</v>
      </c>
      <c r="B1106" s="1" t="s">
        <v>86</v>
      </c>
      <c r="C1106" s="1" t="s">
        <v>101</v>
      </c>
      <c r="D1106" s="1" t="s">
        <v>102</v>
      </c>
      <c r="E1106" s="1">
        <v>15.6</v>
      </c>
      <c r="F1106" s="1" t="s">
        <v>32</v>
      </c>
      <c r="G1106" s="1" t="s">
        <v>155</v>
      </c>
      <c r="H1106" s="1" t="s">
        <v>40</v>
      </c>
      <c r="I1106" s="1" t="s">
        <v>41</v>
      </c>
      <c r="J1106" s="1" t="s">
        <v>201</v>
      </c>
      <c r="K1106" s="1" t="s">
        <v>53</v>
      </c>
      <c r="L1106" s="1" t="s">
        <v>183</v>
      </c>
      <c r="M1106" s="1">
        <v>1199</v>
      </c>
    </row>
    <row r="1107" spans="1:13" ht="15.75" customHeight="1">
      <c r="A1107" s="1">
        <v>1120</v>
      </c>
      <c r="B1107" s="1" t="s">
        <v>74</v>
      </c>
      <c r="C1107" s="1" t="s">
        <v>1058</v>
      </c>
      <c r="D1107" s="1" t="s">
        <v>15</v>
      </c>
      <c r="E1107" s="1">
        <v>12.5</v>
      </c>
      <c r="F1107" s="1" t="s">
        <v>48</v>
      </c>
      <c r="G1107" s="1" t="s">
        <v>295</v>
      </c>
      <c r="H1107" s="1" t="s">
        <v>18</v>
      </c>
      <c r="I1107" s="1" t="s">
        <v>34</v>
      </c>
      <c r="J1107" s="1" t="s">
        <v>71</v>
      </c>
      <c r="K1107" s="1" t="s">
        <v>662</v>
      </c>
      <c r="L1107" s="1" t="s">
        <v>244</v>
      </c>
      <c r="M1107" s="1">
        <v>1413.1</v>
      </c>
    </row>
    <row r="1108" spans="1:13" ht="15.75" customHeight="1">
      <c r="A1108" s="1">
        <v>1121</v>
      </c>
      <c r="B1108" s="1" t="s">
        <v>189</v>
      </c>
      <c r="C1108" s="1" t="s">
        <v>1061</v>
      </c>
      <c r="D1108" s="1" t="s">
        <v>102</v>
      </c>
      <c r="E1108" s="1">
        <v>17.3</v>
      </c>
      <c r="F1108" s="1" t="s">
        <v>32</v>
      </c>
      <c r="G1108" s="1" t="s">
        <v>624</v>
      </c>
      <c r="H1108" s="1" t="s">
        <v>18</v>
      </c>
      <c r="I1108" s="1" t="s">
        <v>104</v>
      </c>
      <c r="J1108" s="1" t="s">
        <v>665</v>
      </c>
      <c r="K1108" s="1" t="s">
        <v>53</v>
      </c>
      <c r="L1108" s="1" t="s">
        <v>304</v>
      </c>
      <c r="M1108" s="1">
        <v>1511.19</v>
      </c>
    </row>
    <row r="1109" spans="1:13" ht="15.75" customHeight="1">
      <c r="A1109" s="1">
        <v>1122</v>
      </c>
      <c r="B1109" s="1" t="s">
        <v>86</v>
      </c>
      <c r="C1109" s="1" t="s">
        <v>1017</v>
      </c>
      <c r="D1109" s="1" t="s">
        <v>111</v>
      </c>
      <c r="E1109" s="1">
        <v>15.6</v>
      </c>
      <c r="F1109" s="1" t="s">
        <v>92</v>
      </c>
      <c r="G1109" s="1" t="s">
        <v>295</v>
      </c>
      <c r="H1109" s="1" t="s">
        <v>50</v>
      </c>
      <c r="I1109" s="1" t="s">
        <v>34</v>
      </c>
      <c r="J1109" s="1" t="s">
        <v>71</v>
      </c>
      <c r="K1109" s="1" t="s">
        <v>53</v>
      </c>
      <c r="L1109" s="1" t="s">
        <v>54</v>
      </c>
      <c r="M1109" s="1">
        <v>867</v>
      </c>
    </row>
    <row r="1110" spans="1:13" ht="15.75" customHeight="1">
      <c r="A1110" s="1">
        <v>1123</v>
      </c>
      <c r="B1110" s="1" t="s">
        <v>29</v>
      </c>
      <c r="C1110" s="1" t="s">
        <v>1062</v>
      </c>
      <c r="D1110" s="1" t="s">
        <v>31</v>
      </c>
      <c r="E1110" s="1">
        <v>15.6</v>
      </c>
      <c r="F1110" s="1" t="s">
        <v>32</v>
      </c>
      <c r="G1110" s="1" t="s">
        <v>138</v>
      </c>
      <c r="H1110" s="1" t="s">
        <v>50</v>
      </c>
      <c r="I1110" s="1" t="s">
        <v>89</v>
      </c>
      <c r="J1110" s="1" t="s">
        <v>595</v>
      </c>
      <c r="K1110" s="1" t="s">
        <v>53</v>
      </c>
      <c r="L1110" s="1" t="s">
        <v>54</v>
      </c>
      <c r="M1110" s="1">
        <v>398</v>
      </c>
    </row>
    <row r="1111" spans="1:13" ht="15.75" customHeight="1">
      <c r="A1111" s="1">
        <v>1124</v>
      </c>
      <c r="B1111" s="1" t="s">
        <v>60</v>
      </c>
      <c r="C1111" s="1" t="s">
        <v>1063</v>
      </c>
      <c r="D1111" s="1" t="s">
        <v>102</v>
      </c>
      <c r="E1111" s="1">
        <v>15.6</v>
      </c>
      <c r="F1111" s="1" t="s">
        <v>66</v>
      </c>
      <c r="G1111" s="1" t="s">
        <v>624</v>
      </c>
      <c r="H1111" s="1" t="s">
        <v>40</v>
      </c>
      <c r="I1111" s="1" t="s">
        <v>104</v>
      </c>
      <c r="J1111" s="1" t="s">
        <v>665</v>
      </c>
      <c r="K1111" s="1" t="s">
        <v>53</v>
      </c>
      <c r="L1111" s="1" t="s">
        <v>735</v>
      </c>
      <c r="M1111" s="1">
        <v>1339</v>
      </c>
    </row>
    <row r="1112" spans="1:13" ht="15.75" customHeight="1">
      <c r="A1112" s="1">
        <v>1125</v>
      </c>
      <c r="B1112" s="1" t="s">
        <v>29</v>
      </c>
      <c r="C1112" s="1" t="s">
        <v>687</v>
      </c>
      <c r="D1112" s="1" t="s">
        <v>31</v>
      </c>
      <c r="E1112" s="1">
        <v>13.3</v>
      </c>
      <c r="F1112" s="1" t="s">
        <v>262</v>
      </c>
      <c r="G1112" s="1" t="s">
        <v>1064</v>
      </c>
      <c r="H1112" s="1" t="s">
        <v>18</v>
      </c>
      <c r="I1112" s="1" t="s">
        <v>34</v>
      </c>
      <c r="J1112" s="1" t="s">
        <v>300</v>
      </c>
      <c r="K1112" s="1" t="s">
        <v>53</v>
      </c>
      <c r="L1112" s="1" t="s">
        <v>579</v>
      </c>
      <c r="M1112" s="1">
        <v>1699</v>
      </c>
    </row>
    <row r="1113" spans="1:13" ht="15.75" customHeight="1">
      <c r="A1113" s="1">
        <v>1126</v>
      </c>
      <c r="B1113" s="1" t="s">
        <v>74</v>
      </c>
      <c r="C1113" s="1" t="s">
        <v>1065</v>
      </c>
      <c r="D1113" s="1" t="s">
        <v>31</v>
      </c>
      <c r="E1113" s="1">
        <v>15.6</v>
      </c>
      <c r="F1113" s="1" t="s">
        <v>48</v>
      </c>
      <c r="G1113" s="1" t="s">
        <v>295</v>
      </c>
      <c r="H1113" s="1" t="s">
        <v>50</v>
      </c>
      <c r="I1113" s="1" t="s">
        <v>51</v>
      </c>
      <c r="J1113" s="1" t="s">
        <v>1066</v>
      </c>
      <c r="K1113" s="1" t="s">
        <v>662</v>
      </c>
      <c r="L1113" s="1" t="s">
        <v>434</v>
      </c>
      <c r="M1113" s="1">
        <v>769.15</v>
      </c>
    </row>
    <row r="1114" spans="1:13" ht="15.75" customHeight="1">
      <c r="A1114" s="1">
        <v>1127</v>
      </c>
      <c r="B1114" s="1" t="s">
        <v>86</v>
      </c>
      <c r="C1114" s="1" t="s">
        <v>1067</v>
      </c>
      <c r="D1114" s="1" t="s">
        <v>31</v>
      </c>
      <c r="E1114" s="1">
        <v>15.6</v>
      </c>
      <c r="F1114" s="1" t="s">
        <v>48</v>
      </c>
      <c r="G1114" s="1" t="s">
        <v>446</v>
      </c>
      <c r="H1114" s="1" t="s">
        <v>50</v>
      </c>
      <c r="I1114" s="1" t="s">
        <v>19</v>
      </c>
      <c r="J1114" s="1" t="s">
        <v>71</v>
      </c>
      <c r="K1114" s="1" t="s">
        <v>53</v>
      </c>
      <c r="L1114" s="1" t="s">
        <v>54</v>
      </c>
      <c r="M1114" s="1">
        <v>429</v>
      </c>
    </row>
    <row r="1115" spans="1:13" ht="15.75" customHeight="1">
      <c r="A1115" s="1">
        <v>1128</v>
      </c>
      <c r="B1115" s="1" t="s">
        <v>29</v>
      </c>
      <c r="C1115" s="1" t="s">
        <v>1068</v>
      </c>
      <c r="D1115" s="1" t="s">
        <v>15</v>
      </c>
      <c r="E1115" s="1">
        <v>13.3</v>
      </c>
      <c r="F1115" s="1" t="s">
        <v>32</v>
      </c>
      <c r="G1115" s="1" t="s">
        <v>389</v>
      </c>
      <c r="H1115" s="1" t="s">
        <v>18</v>
      </c>
      <c r="I1115" s="1" t="s">
        <v>41</v>
      </c>
      <c r="J1115" s="1" t="s">
        <v>71</v>
      </c>
      <c r="K1115" s="1" t="s">
        <v>53</v>
      </c>
      <c r="L1115" s="1" t="s">
        <v>579</v>
      </c>
      <c r="M1115" s="1">
        <v>1969</v>
      </c>
    </row>
    <row r="1116" spans="1:13" ht="15.75" customHeight="1">
      <c r="A1116" s="1">
        <v>1129</v>
      </c>
      <c r="B1116" s="1" t="s">
        <v>86</v>
      </c>
      <c r="C1116" s="1" t="s">
        <v>175</v>
      </c>
      <c r="D1116" s="1" t="s">
        <v>111</v>
      </c>
      <c r="E1116" s="1">
        <v>10.1</v>
      </c>
      <c r="F1116" s="1" t="s">
        <v>176</v>
      </c>
      <c r="G1116" s="1" t="s">
        <v>177</v>
      </c>
      <c r="H1116" s="1" t="s">
        <v>50</v>
      </c>
      <c r="I1116" s="1" t="s">
        <v>131</v>
      </c>
      <c r="J1116" s="1" t="s">
        <v>99</v>
      </c>
      <c r="K1116" s="1" t="s">
        <v>178</v>
      </c>
      <c r="L1116" s="1" t="s">
        <v>179</v>
      </c>
      <c r="M1116" s="1">
        <v>549</v>
      </c>
    </row>
    <row r="1117" spans="1:13" ht="15.75" customHeight="1">
      <c r="A1117" s="1">
        <v>1130</v>
      </c>
      <c r="B1117" s="1" t="s">
        <v>74</v>
      </c>
      <c r="C1117" s="1" t="s">
        <v>91</v>
      </c>
      <c r="D1117" s="1" t="s">
        <v>15</v>
      </c>
      <c r="E1117" s="1">
        <v>13.3</v>
      </c>
      <c r="F1117" s="1" t="s">
        <v>32</v>
      </c>
      <c r="G1117" s="1" t="s">
        <v>263</v>
      </c>
      <c r="H1117" s="1" t="s">
        <v>18</v>
      </c>
      <c r="I1117" s="1" t="s">
        <v>34</v>
      </c>
      <c r="J1117" s="1" t="s">
        <v>20</v>
      </c>
      <c r="K1117" s="1" t="s">
        <v>53</v>
      </c>
      <c r="L1117" s="1" t="s">
        <v>264</v>
      </c>
      <c r="M1117" s="1">
        <v>1379</v>
      </c>
    </row>
    <row r="1118" spans="1:13" ht="15.75" customHeight="1">
      <c r="A1118" s="1">
        <v>1131</v>
      </c>
      <c r="B1118" s="1" t="s">
        <v>86</v>
      </c>
      <c r="C1118" s="1" t="s">
        <v>1023</v>
      </c>
      <c r="D1118" s="1" t="s">
        <v>102</v>
      </c>
      <c r="E1118" s="1">
        <v>17.3</v>
      </c>
      <c r="F1118" s="1" t="s">
        <v>66</v>
      </c>
      <c r="G1118" s="1" t="s">
        <v>706</v>
      </c>
      <c r="H1118" s="1" t="s">
        <v>40</v>
      </c>
      <c r="I1118" s="1" t="s">
        <v>1069</v>
      </c>
      <c r="J1118" s="1" t="s">
        <v>420</v>
      </c>
      <c r="K1118" s="1" t="s">
        <v>53</v>
      </c>
      <c r="L1118" s="1" t="s">
        <v>707</v>
      </c>
      <c r="M1118" s="1">
        <v>2749.99</v>
      </c>
    </row>
    <row r="1119" spans="1:13" ht="15.75" customHeight="1">
      <c r="A1119" s="1">
        <v>1132</v>
      </c>
      <c r="B1119" s="1" t="s">
        <v>365</v>
      </c>
      <c r="C1119" s="1" t="s">
        <v>896</v>
      </c>
      <c r="D1119" s="1" t="s">
        <v>15</v>
      </c>
      <c r="E1119" s="1">
        <v>12.5</v>
      </c>
      <c r="F1119" s="1" t="s">
        <v>1070</v>
      </c>
      <c r="G1119" s="1" t="s">
        <v>389</v>
      </c>
      <c r="H1119" s="1" t="s">
        <v>18</v>
      </c>
      <c r="I1119" s="1" t="s">
        <v>34</v>
      </c>
      <c r="J1119" s="1" t="s">
        <v>71</v>
      </c>
      <c r="K1119" s="1" t="s">
        <v>53</v>
      </c>
      <c r="L1119" s="1" t="s">
        <v>242</v>
      </c>
      <c r="M1119" s="1">
        <v>1029</v>
      </c>
    </row>
    <row r="1120" spans="1:13" ht="15.75" customHeight="1">
      <c r="A1120" s="1">
        <v>1133</v>
      </c>
      <c r="B1120" s="1" t="s">
        <v>293</v>
      </c>
      <c r="C1120" s="1" t="s">
        <v>1071</v>
      </c>
      <c r="D1120" s="1" t="s">
        <v>15</v>
      </c>
      <c r="E1120" s="1">
        <v>13.3</v>
      </c>
      <c r="F1120" s="1" t="s">
        <v>32</v>
      </c>
      <c r="G1120" s="1" t="s">
        <v>83</v>
      </c>
      <c r="H1120" s="1" t="s">
        <v>40</v>
      </c>
      <c r="I1120" s="1" t="s">
        <v>41</v>
      </c>
      <c r="J1120" s="1" t="s">
        <v>35</v>
      </c>
      <c r="K1120" s="1" t="s">
        <v>53</v>
      </c>
      <c r="L1120" s="1" t="s">
        <v>333</v>
      </c>
      <c r="M1120" s="1">
        <v>2226</v>
      </c>
    </row>
    <row r="1121" spans="1:13" ht="15.75" customHeight="1">
      <c r="A1121" s="1">
        <v>1134</v>
      </c>
      <c r="B1121" s="1" t="s">
        <v>60</v>
      </c>
      <c r="C1121" s="1" t="s">
        <v>1072</v>
      </c>
      <c r="D1121" s="1" t="s">
        <v>102</v>
      </c>
      <c r="E1121" s="1">
        <v>17.3</v>
      </c>
      <c r="F1121" s="1" t="s">
        <v>32</v>
      </c>
      <c r="G1121" s="1" t="s">
        <v>624</v>
      </c>
      <c r="H1121" s="1" t="s">
        <v>18</v>
      </c>
      <c r="I1121" s="1" t="s">
        <v>104</v>
      </c>
      <c r="J1121" s="1" t="s">
        <v>665</v>
      </c>
      <c r="K1121" s="1" t="s">
        <v>53</v>
      </c>
      <c r="L1121" s="1" t="s">
        <v>1073</v>
      </c>
      <c r="M1121" s="1">
        <v>1312.49</v>
      </c>
    </row>
    <row r="1122" spans="1:13" ht="15.75" customHeight="1">
      <c r="A1122" s="1">
        <v>1135</v>
      </c>
      <c r="B1122" s="1" t="s">
        <v>361</v>
      </c>
      <c r="C1122" s="1" t="s">
        <v>1074</v>
      </c>
      <c r="D1122" s="1" t="s">
        <v>31</v>
      </c>
      <c r="E1122" s="1">
        <v>13.3</v>
      </c>
      <c r="F1122" s="1" t="s">
        <v>32</v>
      </c>
      <c r="G1122" s="1" t="s">
        <v>1019</v>
      </c>
      <c r="H1122" s="1" t="s">
        <v>50</v>
      </c>
      <c r="I1122" s="1" t="s">
        <v>98</v>
      </c>
      <c r="J1122" s="1" t="s">
        <v>99</v>
      </c>
      <c r="K1122" s="1" t="s">
        <v>53</v>
      </c>
      <c r="L1122" s="1" t="s">
        <v>119</v>
      </c>
      <c r="M1122" s="1">
        <v>196</v>
      </c>
    </row>
    <row r="1123" spans="1:13" ht="15.75" customHeight="1">
      <c r="A1123" s="1">
        <v>1136</v>
      </c>
      <c r="B1123" s="1" t="s">
        <v>29</v>
      </c>
      <c r="C1123" s="1" t="s">
        <v>1068</v>
      </c>
      <c r="D1123" s="1" t="s">
        <v>31</v>
      </c>
      <c r="E1123" s="1">
        <v>13.3</v>
      </c>
      <c r="F1123" s="1" t="s">
        <v>32</v>
      </c>
      <c r="G1123" s="1" t="s">
        <v>295</v>
      </c>
      <c r="H1123" s="1" t="s">
        <v>18</v>
      </c>
      <c r="I1123" s="1" t="s">
        <v>34</v>
      </c>
      <c r="J1123" s="1" t="s">
        <v>71</v>
      </c>
      <c r="K1123" s="1" t="s">
        <v>53</v>
      </c>
      <c r="L1123" s="1" t="s">
        <v>579</v>
      </c>
      <c r="M1123" s="1">
        <v>1690</v>
      </c>
    </row>
    <row r="1124" spans="1:13" ht="15.75" customHeight="1">
      <c r="A1124" s="1">
        <v>1137</v>
      </c>
      <c r="B1124" s="1" t="s">
        <v>29</v>
      </c>
      <c r="C1124" s="1" t="s">
        <v>568</v>
      </c>
      <c r="D1124" s="1" t="s">
        <v>31</v>
      </c>
      <c r="E1124" s="1">
        <v>14</v>
      </c>
      <c r="F1124" s="1" t="s">
        <v>32</v>
      </c>
      <c r="G1124" s="1" t="s">
        <v>295</v>
      </c>
      <c r="H1124" s="1" t="s">
        <v>18</v>
      </c>
      <c r="I1124" s="1" t="s">
        <v>34</v>
      </c>
      <c r="J1124" s="1" t="s">
        <v>71</v>
      </c>
      <c r="K1124" s="1" t="s">
        <v>662</v>
      </c>
      <c r="L1124" s="1" t="s">
        <v>569</v>
      </c>
      <c r="M1124" s="1">
        <v>1513</v>
      </c>
    </row>
    <row r="1125" spans="1:13" ht="15.75" customHeight="1">
      <c r="A1125" s="1">
        <v>1138</v>
      </c>
      <c r="B1125" s="1" t="s">
        <v>74</v>
      </c>
      <c r="C1125" s="1" t="s">
        <v>1014</v>
      </c>
      <c r="D1125" s="1" t="s">
        <v>31</v>
      </c>
      <c r="E1125" s="1">
        <v>15.6</v>
      </c>
      <c r="F1125" s="1" t="s">
        <v>48</v>
      </c>
      <c r="G1125" s="1" t="s">
        <v>295</v>
      </c>
      <c r="H1125" s="1" t="s">
        <v>50</v>
      </c>
      <c r="I1125" s="1" t="s">
        <v>51</v>
      </c>
      <c r="J1125" s="1" t="s">
        <v>71</v>
      </c>
      <c r="K1125" s="1" t="s">
        <v>147</v>
      </c>
      <c r="L1125" s="1" t="s">
        <v>1015</v>
      </c>
      <c r="M1125" s="1">
        <v>523.63</v>
      </c>
    </row>
    <row r="1126" spans="1:13" ht="15.75" customHeight="1">
      <c r="A1126" s="1">
        <v>1139</v>
      </c>
      <c r="B1126" s="1" t="s">
        <v>60</v>
      </c>
      <c r="C1126" s="1" t="s">
        <v>188</v>
      </c>
      <c r="D1126" s="1" t="s">
        <v>31</v>
      </c>
      <c r="E1126" s="1">
        <v>15.6</v>
      </c>
      <c r="F1126" s="1" t="s">
        <v>48</v>
      </c>
      <c r="G1126" s="1" t="s">
        <v>88</v>
      </c>
      <c r="H1126" s="1" t="s">
        <v>50</v>
      </c>
      <c r="I1126" s="1" t="s">
        <v>89</v>
      </c>
      <c r="J1126" s="1" t="s">
        <v>35</v>
      </c>
      <c r="K1126" s="1" t="s">
        <v>53</v>
      </c>
      <c r="L1126" s="1" t="s">
        <v>153</v>
      </c>
      <c r="M1126" s="1">
        <v>435</v>
      </c>
    </row>
    <row r="1127" spans="1:13" ht="15.75" customHeight="1">
      <c r="A1127" s="1">
        <v>1140</v>
      </c>
      <c r="B1127" s="1" t="s">
        <v>86</v>
      </c>
      <c r="C1127" s="1" t="s">
        <v>265</v>
      </c>
      <c r="D1127" s="1" t="s">
        <v>111</v>
      </c>
      <c r="E1127" s="1">
        <v>14</v>
      </c>
      <c r="F1127" s="1" t="s">
        <v>92</v>
      </c>
      <c r="G1127" s="1" t="s">
        <v>389</v>
      </c>
      <c r="H1127" s="1" t="s">
        <v>18</v>
      </c>
      <c r="I1127" s="1" t="s">
        <v>34</v>
      </c>
      <c r="J1127" s="1" t="s">
        <v>71</v>
      </c>
      <c r="K1127" s="1" t="s">
        <v>53</v>
      </c>
      <c r="L1127" s="1" t="s">
        <v>202</v>
      </c>
      <c r="M1127" s="1">
        <v>1669</v>
      </c>
    </row>
    <row r="1128" spans="1:13" ht="15.75" customHeight="1">
      <c r="A1128" s="1">
        <v>1141</v>
      </c>
      <c r="B1128" s="1" t="s">
        <v>86</v>
      </c>
      <c r="C1128" s="1" t="s">
        <v>175</v>
      </c>
      <c r="D1128" s="1" t="s">
        <v>111</v>
      </c>
      <c r="E1128" s="1">
        <v>10.1</v>
      </c>
      <c r="F1128" s="1" t="s">
        <v>176</v>
      </c>
      <c r="G1128" s="1" t="s">
        <v>177</v>
      </c>
      <c r="H1128" s="1" t="s">
        <v>50</v>
      </c>
      <c r="I1128" s="1" t="s">
        <v>131</v>
      </c>
      <c r="J1128" s="1" t="s">
        <v>99</v>
      </c>
      <c r="K1128" s="1" t="s">
        <v>53</v>
      </c>
      <c r="L1128" s="1" t="s">
        <v>179</v>
      </c>
      <c r="M1128" s="1">
        <v>479</v>
      </c>
    </row>
    <row r="1129" spans="1:13" ht="15.75" customHeight="1">
      <c r="A1129" s="1">
        <v>1142</v>
      </c>
      <c r="B1129" s="1" t="s">
        <v>29</v>
      </c>
      <c r="C1129" s="1" t="s">
        <v>864</v>
      </c>
      <c r="D1129" s="1" t="s">
        <v>15</v>
      </c>
      <c r="E1129" s="1">
        <v>12.5</v>
      </c>
      <c r="F1129" s="1" t="s">
        <v>48</v>
      </c>
      <c r="G1129" s="1" t="s">
        <v>765</v>
      </c>
      <c r="H1129" s="1" t="s">
        <v>18</v>
      </c>
      <c r="I1129" s="1" t="s">
        <v>34</v>
      </c>
      <c r="J1129" s="1" t="s">
        <v>71</v>
      </c>
      <c r="K1129" s="1" t="s">
        <v>662</v>
      </c>
      <c r="L1129" s="1" t="s">
        <v>269</v>
      </c>
      <c r="M1129" s="1">
        <v>1895</v>
      </c>
    </row>
    <row r="1130" spans="1:13" ht="15.75" customHeight="1">
      <c r="A1130" s="1">
        <v>1143</v>
      </c>
      <c r="B1130" s="1" t="s">
        <v>86</v>
      </c>
      <c r="C1130" s="1" t="s">
        <v>101</v>
      </c>
      <c r="D1130" s="1" t="s">
        <v>102</v>
      </c>
      <c r="E1130" s="1">
        <v>15.6</v>
      </c>
      <c r="F1130" s="1" t="s">
        <v>66</v>
      </c>
      <c r="G1130" s="1" t="s">
        <v>103</v>
      </c>
      <c r="H1130" s="1" t="s">
        <v>18</v>
      </c>
      <c r="I1130" s="1" t="s">
        <v>104</v>
      </c>
      <c r="J1130" s="1" t="s">
        <v>157</v>
      </c>
      <c r="K1130" s="1" t="s">
        <v>36</v>
      </c>
      <c r="L1130" s="1" t="s">
        <v>183</v>
      </c>
      <c r="M1130" s="1">
        <v>989</v>
      </c>
    </row>
    <row r="1131" spans="1:13" ht="15.75" customHeight="1">
      <c r="A1131" s="1">
        <v>1144</v>
      </c>
      <c r="B1131" s="1" t="s">
        <v>29</v>
      </c>
      <c r="C1131" s="1" t="s">
        <v>1075</v>
      </c>
      <c r="D1131" s="1" t="s">
        <v>102</v>
      </c>
      <c r="E1131" s="1">
        <v>17.3</v>
      </c>
      <c r="F1131" s="1" t="s">
        <v>66</v>
      </c>
      <c r="G1131" s="1" t="s">
        <v>811</v>
      </c>
      <c r="H1131" s="1" t="s">
        <v>18</v>
      </c>
      <c r="I1131" s="1" t="s">
        <v>104</v>
      </c>
      <c r="J1131" s="1" t="s">
        <v>157</v>
      </c>
      <c r="K1131" s="1" t="s">
        <v>53</v>
      </c>
      <c r="L1131" s="1" t="s">
        <v>371</v>
      </c>
      <c r="M1131" s="1">
        <v>1129</v>
      </c>
    </row>
    <row r="1132" spans="1:13" ht="15.75" customHeight="1">
      <c r="A1132" s="1">
        <v>1145</v>
      </c>
      <c r="B1132" s="1" t="s">
        <v>29</v>
      </c>
      <c r="C1132" s="1" t="s">
        <v>1076</v>
      </c>
      <c r="D1132" s="1" t="s">
        <v>31</v>
      </c>
      <c r="E1132" s="1">
        <v>15.6</v>
      </c>
      <c r="F1132" s="1" t="s">
        <v>48</v>
      </c>
      <c r="G1132" s="1" t="s">
        <v>83</v>
      </c>
      <c r="H1132" s="1" t="s">
        <v>18</v>
      </c>
      <c r="I1132" s="1" t="s">
        <v>221</v>
      </c>
      <c r="J1132" s="1" t="s">
        <v>35</v>
      </c>
      <c r="K1132" s="1" t="s">
        <v>53</v>
      </c>
      <c r="L1132" s="1" t="s">
        <v>59</v>
      </c>
      <c r="M1132" s="1">
        <v>629</v>
      </c>
    </row>
    <row r="1133" spans="1:13" ht="15.75" customHeight="1">
      <c r="A1133" s="1">
        <v>1146</v>
      </c>
      <c r="B1133" s="1" t="s">
        <v>86</v>
      </c>
      <c r="C1133" s="1" t="s">
        <v>1077</v>
      </c>
      <c r="D1133" s="1" t="s">
        <v>111</v>
      </c>
      <c r="E1133" s="1">
        <v>14</v>
      </c>
      <c r="F1133" s="1" t="s">
        <v>92</v>
      </c>
      <c r="G1133" s="1" t="s">
        <v>442</v>
      </c>
      <c r="H1133" s="1" t="s">
        <v>18</v>
      </c>
      <c r="I1133" s="1" t="s">
        <v>41</v>
      </c>
      <c r="J1133" s="1" t="s">
        <v>1078</v>
      </c>
      <c r="K1133" s="1" t="s">
        <v>662</v>
      </c>
      <c r="L1133" s="1" t="s">
        <v>202</v>
      </c>
      <c r="M1133" s="1">
        <v>2050.38</v>
      </c>
    </row>
    <row r="1134" spans="1:13" ht="15.75" customHeight="1">
      <c r="A1134" s="1">
        <v>1147</v>
      </c>
      <c r="B1134" s="1" t="s">
        <v>60</v>
      </c>
      <c r="C1134" s="1" t="s">
        <v>1079</v>
      </c>
      <c r="D1134" s="1" t="s">
        <v>31</v>
      </c>
      <c r="E1134" s="1">
        <v>14</v>
      </c>
      <c r="F1134" s="1" t="s">
        <v>48</v>
      </c>
      <c r="G1134" s="1" t="s">
        <v>143</v>
      </c>
      <c r="H1134" s="1" t="s">
        <v>50</v>
      </c>
      <c r="I1134" s="1" t="s">
        <v>98</v>
      </c>
      <c r="J1134" s="1" t="s">
        <v>144</v>
      </c>
      <c r="K1134" s="1" t="s">
        <v>53</v>
      </c>
      <c r="L1134" s="1" t="s">
        <v>244</v>
      </c>
      <c r="M1134" s="1">
        <v>278</v>
      </c>
    </row>
    <row r="1135" spans="1:13" ht="15.75" customHeight="1">
      <c r="A1135" s="1">
        <v>1148</v>
      </c>
      <c r="B1135" s="1" t="s">
        <v>29</v>
      </c>
      <c r="C1135" s="1" t="s">
        <v>30</v>
      </c>
      <c r="D1135" s="1" t="s">
        <v>15</v>
      </c>
      <c r="E1135" s="1">
        <v>15.6</v>
      </c>
      <c r="F1135" s="1" t="s">
        <v>32</v>
      </c>
      <c r="G1135" s="1" t="s">
        <v>83</v>
      </c>
      <c r="H1135" s="1" t="s">
        <v>18</v>
      </c>
      <c r="I1135" s="1" t="s">
        <v>34</v>
      </c>
      <c r="J1135" s="1" t="s">
        <v>35</v>
      </c>
      <c r="K1135" s="1" t="s">
        <v>53</v>
      </c>
      <c r="L1135" s="1" t="s">
        <v>507</v>
      </c>
      <c r="M1135" s="1">
        <v>752</v>
      </c>
    </row>
    <row r="1136" spans="1:13" ht="15.75" customHeight="1">
      <c r="A1136" s="1">
        <v>1149</v>
      </c>
      <c r="B1136" s="1" t="s">
        <v>46</v>
      </c>
      <c r="C1136" s="1" t="s">
        <v>374</v>
      </c>
      <c r="D1136" s="1" t="s">
        <v>31</v>
      </c>
      <c r="E1136" s="1">
        <v>15.6</v>
      </c>
      <c r="F1136" s="1" t="s">
        <v>32</v>
      </c>
      <c r="G1136" s="1" t="s">
        <v>33</v>
      </c>
      <c r="H1136" s="1" t="s">
        <v>50</v>
      </c>
      <c r="I1136" s="1" t="s">
        <v>89</v>
      </c>
      <c r="J1136" s="1" t="s">
        <v>90</v>
      </c>
      <c r="K1136" s="1" t="s">
        <v>53</v>
      </c>
      <c r="L1136" s="1" t="s">
        <v>375</v>
      </c>
      <c r="M1136" s="1">
        <v>616</v>
      </c>
    </row>
    <row r="1137" spans="1:13" ht="15.75" customHeight="1">
      <c r="A1137" s="1">
        <v>1150</v>
      </c>
      <c r="B1137" s="1" t="s">
        <v>86</v>
      </c>
      <c r="C1137" s="1" t="s">
        <v>1080</v>
      </c>
      <c r="D1137" s="1" t="s">
        <v>31</v>
      </c>
      <c r="E1137" s="1">
        <v>15.6</v>
      </c>
      <c r="F1137" s="1" t="s">
        <v>32</v>
      </c>
      <c r="G1137" s="1" t="s">
        <v>389</v>
      </c>
      <c r="H1137" s="1" t="s">
        <v>40</v>
      </c>
      <c r="I1137" s="1" t="s">
        <v>309</v>
      </c>
      <c r="J1137" s="1" t="s">
        <v>1081</v>
      </c>
      <c r="K1137" s="1" t="s">
        <v>53</v>
      </c>
      <c r="L1137" s="1" t="s">
        <v>106</v>
      </c>
      <c r="M1137" s="1">
        <v>1099</v>
      </c>
    </row>
    <row r="1138" spans="1:13" ht="15.75" customHeight="1">
      <c r="A1138" s="1">
        <v>1151</v>
      </c>
      <c r="B1138" s="1" t="s">
        <v>29</v>
      </c>
      <c r="C1138" s="1" t="s">
        <v>695</v>
      </c>
      <c r="D1138" s="1" t="s">
        <v>378</v>
      </c>
      <c r="E1138" s="1">
        <v>17.3</v>
      </c>
      <c r="F1138" s="1" t="s">
        <v>66</v>
      </c>
      <c r="G1138" s="1" t="s">
        <v>624</v>
      </c>
      <c r="H1138" s="1" t="s">
        <v>18</v>
      </c>
      <c r="I1138" s="1" t="s">
        <v>34</v>
      </c>
      <c r="J1138" s="1" t="s">
        <v>1082</v>
      </c>
      <c r="K1138" s="1" t="s">
        <v>662</v>
      </c>
      <c r="L1138" s="1" t="s">
        <v>209</v>
      </c>
      <c r="M1138" s="1">
        <v>3949.4</v>
      </c>
    </row>
    <row r="1139" spans="1:13" ht="15.75" customHeight="1">
      <c r="A1139" s="1">
        <v>1153</v>
      </c>
      <c r="B1139" s="1" t="s">
        <v>74</v>
      </c>
      <c r="C1139" s="1" t="s">
        <v>279</v>
      </c>
      <c r="D1139" s="1" t="s">
        <v>31</v>
      </c>
      <c r="E1139" s="1">
        <v>15.6</v>
      </c>
      <c r="F1139" s="1" t="s">
        <v>48</v>
      </c>
      <c r="G1139" s="1" t="s">
        <v>33</v>
      </c>
      <c r="H1139" s="1" t="s">
        <v>18</v>
      </c>
      <c r="I1139" s="1" t="s">
        <v>89</v>
      </c>
      <c r="J1139" s="1" t="s">
        <v>280</v>
      </c>
      <c r="K1139" s="1" t="s">
        <v>53</v>
      </c>
      <c r="L1139" s="1" t="s">
        <v>106</v>
      </c>
      <c r="M1139" s="1">
        <v>784</v>
      </c>
    </row>
    <row r="1140" spans="1:13" ht="15.75" customHeight="1">
      <c r="A1140" s="1">
        <v>1154</v>
      </c>
      <c r="B1140" s="1" t="s">
        <v>189</v>
      </c>
      <c r="C1140" s="1" t="s">
        <v>1022</v>
      </c>
      <c r="D1140" s="1" t="s">
        <v>102</v>
      </c>
      <c r="E1140" s="1">
        <v>17.3</v>
      </c>
      <c r="F1140" s="1" t="s">
        <v>32</v>
      </c>
      <c r="G1140" s="1" t="s">
        <v>546</v>
      </c>
      <c r="H1140" s="1" t="s">
        <v>40</v>
      </c>
      <c r="I1140" s="1" t="s">
        <v>156</v>
      </c>
      <c r="J1140" s="1" t="s">
        <v>420</v>
      </c>
      <c r="K1140" s="1" t="s">
        <v>53</v>
      </c>
      <c r="L1140" s="1" t="s">
        <v>619</v>
      </c>
      <c r="M1140" s="1">
        <v>2399</v>
      </c>
    </row>
    <row r="1141" spans="1:13" ht="15.75" customHeight="1">
      <c r="A1141" s="1">
        <v>1155</v>
      </c>
      <c r="B1141" s="1" t="s">
        <v>29</v>
      </c>
      <c r="C1141" s="1" t="s">
        <v>724</v>
      </c>
      <c r="D1141" s="1" t="s">
        <v>15</v>
      </c>
      <c r="E1141" s="1">
        <v>15.6</v>
      </c>
      <c r="F1141" s="1" t="s">
        <v>32</v>
      </c>
      <c r="G1141" s="1" t="s">
        <v>389</v>
      </c>
      <c r="H1141" s="1" t="s">
        <v>18</v>
      </c>
      <c r="I1141" s="1" t="s">
        <v>34</v>
      </c>
      <c r="J1141" s="1" t="s">
        <v>71</v>
      </c>
      <c r="K1141" s="1" t="s">
        <v>662</v>
      </c>
      <c r="L1141" s="1" t="s">
        <v>125</v>
      </c>
      <c r="M1141" s="1">
        <v>2171.7199999999998</v>
      </c>
    </row>
    <row r="1142" spans="1:13" ht="15.75" customHeight="1">
      <c r="A1142" s="1">
        <v>1156</v>
      </c>
      <c r="B1142" s="1" t="s">
        <v>86</v>
      </c>
      <c r="C1142" s="1" t="s">
        <v>441</v>
      </c>
      <c r="D1142" s="1" t="s">
        <v>111</v>
      </c>
      <c r="E1142" s="1">
        <v>14</v>
      </c>
      <c r="F1142" s="1" t="s">
        <v>885</v>
      </c>
      <c r="G1142" s="1" t="s">
        <v>442</v>
      </c>
      <c r="H1142" s="1" t="s">
        <v>40</v>
      </c>
      <c r="I1142" s="1" t="s">
        <v>41</v>
      </c>
      <c r="J1142" s="1" t="s">
        <v>71</v>
      </c>
      <c r="K1142" s="1" t="s">
        <v>53</v>
      </c>
      <c r="L1142" s="1" t="s">
        <v>149</v>
      </c>
      <c r="M1142" s="1">
        <v>2440</v>
      </c>
    </row>
    <row r="1143" spans="1:13" ht="15.75" customHeight="1">
      <c r="A1143" s="1">
        <v>1157</v>
      </c>
      <c r="B1143" s="1" t="s">
        <v>189</v>
      </c>
      <c r="C1143" s="1" t="s">
        <v>1083</v>
      </c>
      <c r="D1143" s="1" t="s">
        <v>102</v>
      </c>
      <c r="E1143" s="1">
        <v>15.6</v>
      </c>
      <c r="F1143" s="1" t="s">
        <v>32</v>
      </c>
      <c r="G1143" s="1" t="s">
        <v>155</v>
      </c>
      <c r="H1143" s="1" t="s">
        <v>18</v>
      </c>
      <c r="I1143" s="1" t="s">
        <v>104</v>
      </c>
      <c r="J1143" s="1" t="s">
        <v>105</v>
      </c>
      <c r="K1143" s="1" t="s">
        <v>53</v>
      </c>
      <c r="L1143" s="1" t="s">
        <v>183</v>
      </c>
      <c r="M1143" s="1">
        <v>1142.8</v>
      </c>
    </row>
    <row r="1144" spans="1:13" ht="15.75" customHeight="1">
      <c r="A1144" s="1">
        <v>1160</v>
      </c>
      <c r="B1144" s="1" t="s">
        <v>29</v>
      </c>
      <c r="C1144" s="1" t="s">
        <v>1068</v>
      </c>
      <c r="D1144" s="1" t="s">
        <v>111</v>
      </c>
      <c r="E1144" s="1">
        <v>13.3</v>
      </c>
      <c r="F1144" s="1" t="s">
        <v>112</v>
      </c>
      <c r="G1144" s="1" t="s">
        <v>765</v>
      </c>
      <c r="H1144" s="1" t="s">
        <v>18</v>
      </c>
      <c r="I1144" s="1" t="s">
        <v>34</v>
      </c>
      <c r="J1144" s="1" t="s">
        <v>71</v>
      </c>
      <c r="K1144" s="1" t="s">
        <v>53</v>
      </c>
      <c r="L1144" s="1" t="s">
        <v>314</v>
      </c>
      <c r="M1144" s="1">
        <v>1629</v>
      </c>
    </row>
    <row r="1145" spans="1:13" ht="15.75" customHeight="1">
      <c r="A1145" s="1">
        <v>1161</v>
      </c>
      <c r="B1145" s="1" t="s">
        <v>29</v>
      </c>
      <c r="C1145" s="1" t="s">
        <v>833</v>
      </c>
      <c r="D1145" s="1" t="s">
        <v>378</v>
      </c>
      <c r="E1145" s="1">
        <v>15.6</v>
      </c>
      <c r="F1145" s="1" t="s">
        <v>66</v>
      </c>
      <c r="G1145" s="1" t="s">
        <v>624</v>
      </c>
      <c r="H1145" s="1" t="s">
        <v>18</v>
      </c>
      <c r="I1145" s="1" t="s">
        <v>34</v>
      </c>
      <c r="J1145" s="1" t="s">
        <v>853</v>
      </c>
      <c r="K1145" s="1" t="s">
        <v>662</v>
      </c>
      <c r="L1145" s="1" t="s">
        <v>735</v>
      </c>
      <c r="M1145" s="1">
        <v>2229</v>
      </c>
    </row>
    <row r="1146" spans="1:13" ht="15.75" customHeight="1">
      <c r="A1146" s="1">
        <v>1162</v>
      </c>
      <c r="B1146" s="1" t="s">
        <v>29</v>
      </c>
      <c r="C1146" s="1" t="s">
        <v>1068</v>
      </c>
      <c r="D1146" s="1" t="s">
        <v>111</v>
      </c>
      <c r="E1146" s="1">
        <v>13.3</v>
      </c>
      <c r="F1146" s="1" t="s">
        <v>358</v>
      </c>
      <c r="G1146" s="1" t="s">
        <v>442</v>
      </c>
      <c r="H1146" s="1" t="s">
        <v>18</v>
      </c>
      <c r="I1146" s="1" t="s">
        <v>34</v>
      </c>
      <c r="J1146" s="1" t="s">
        <v>71</v>
      </c>
      <c r="K1146" s="1" t="s">
        <v>53</v>
      </c>
      <c r="L1146" s="1" t="s">
        <v>314</v>
      </c>
      <c r="M1146" s="1">
        <v>1799</v>
      </c>
    </row>
    <row r="1147" spans="1:13" ht="15.75" customHeight="1">
      <c r="A1147" s="1">
        <v>1163</v>
      </c>
      <c r="B1147" s="1" t="s">
        <v>29</v>
      </c>
      <c r="C1147" s="1" t="s">
        <v>971</v>
      </c>
      <c r="D1147" s="1" t="s">
        <v>378</v>
      </c>
      <c r="E1147" s="1">
        <v>15.6</v>
      </c>
      <c r="F1147" s="1" t="s">
        <v>32</v>
      </c>
      <c r="G1147" s="1" t="s">
        <v>624</v>
      </c>
      <c r="H1147" s="1" t="s">
        <v>18</v>
      </c>
      <c r="I1147" s="1" t="s">
        <v>34</v>
      </c>
      <c r="J1147" s="1" t="s">
        <v>853</v>
      </c>
      <c r="K1147" s="1" t="s">
        <v>662</v>
      </c>
      <c r="L1147" s="1" t="s">
        <v>347</v>
      </c>
      <c r="M1147" s="1">
        <v>1899</v>
      </c>
    </row>
    <row r="1148" spans="1:13" ht="15.75" customHeight="1">
      <c r="A1148" s="1">
        <v>1164</v>
      </c>
      <c r="B1148" s="1" t="s">
        <v>29</v>
      </c>
      <c r="C1148" s="1" t="s">
        <v>864</v>
      </c>
      <c r="D1148" s="1" t="s">
        <v>15</v>
      </c>
      <c r="E1148" s="1">
        <v>12.5</v>
      </c>
      <c r="F1148" s="1" t="s">
        <v>32</v>
      </c>
      <c r="G1148" s="1" t="s">
        <v>1084</v>
      </c>
      <c r="H1148" s="1" t="s">
        <v>18</v>
      </c>
      <c r="I1148" s="1" t="s">
        <v>34</v>
      </c>
      <c r="J1148" s="1" t="s">
        <v>71</v>
      </c>
      <c r="K1148" s="1" t="s">
        <v>662</v>
      </c>
      <c r="L1148" s="1" t="s">
        <v>269</v>
      </c>
      <c r="M1148" s="1">
        <v>2296.9499999999998</v>
      </c>
    </row>
    <row r="1149" spans="1:13" ht="15.75" customHeight="1">
      <c r="A1149" s="1">
        <v>1165</v>
      </c>
      <c r="B1149" s="1" t="s">
        <v>74</v>
      </c>
      <c r="C1149" s="1" t="s">
        <v>653</v>
      </c>
      <c r="D1149" s="1" t="s">
        <v>31</v>
      </c>
      <c r="E1149" s="1">
        <v>15.6</v>
      </c>
      <c r="F1149" s="1" t="s">
        <v>32</v>
      </c>
      <c r="G1149" s="1" t="s">
        <v>83</v>
      </c>
      <c r="H1149" s="1" t="s">
        <v>18</v>
      </c>
      <c r="I1149" s="1" t="s">
        <v>34</v>
      </c>
      <c r="J1149" s="1" t="s">
        <v>90</v>
      </c>
      <c r="K1149" s="1" t="s">
        <v>53</v>
      </c>
      <c r="L1149" s="1" t="s">
        <v>433</v>
      </c>
      <c r="M1149" s="1">
        <v>1009.9</v>
      </c>
    </row>
    <row r="1150" spans="1:13" ht="15.75" customHeight="1">
      <c r="A1150" s="1">
        <v>1166</v>
      </c>
      <c r="B1150" s="1" t="s">
        <v>29</v>
      </c>
      <c r="C1150" s="1" t="s">
        <v>724</v>
      </c>
      <c r="D1150" s="1" t="s">
        <v>31</v>
      </c>
      <c r="E1150" s="1">
        <v>15.6</v>
      </c>
      <c r="F1150" s="1" t="s">
        <v>32</v>
      </c>
      <c r="G1150" s="1" t="s">
        <v>295</v>
      </c>
      <c r="H1150" s="1" t="s">
        <v>18</v>
      </c>
      <c r="I1150" s="1" t="s">
        <v>34</v>
      </c>
      <c r="J1150" s="1" t="s">
        <v>71</v>
      </c>
      <c r="K1150" s="1" t="s">
        <v>662</v>
      </c>
      <c r="L1150" s="1" t="s">
        <v>125</v>
      </c>
      <c r="M1150" s="1">
        <v>1579</v>
      </c>
    </row>
    <row r="1151" spans="1:13" ht="15.75" customHeight="1">
      <c r="A1151" s="1">
        <v>1167</v>
      </c>
      <c r="B1151" s="1" t="s">
        <v>86</v>
      </c>
      <c r="C1151" s="1" t="s">
        <v>441</v>
      </c>
      <c r="D1151" s="1" t="s">
        <v>111</v>
      </c>
      <c r="E1151" s="1">
        <v>14</v>
      </c>
      <c r="F1151" s="1" t="s">
        <v>885</v>
      </c>
      <c r="G1151" s="1" t="s">
        <v>389</v>
      </c>
      <c r="H1151" s="1" t="s">
        <v>18</v>
      </c>
      <c r="I1151" s="1" t="s">
        <v>34</v>
      </c>
      <c r="J1151" s="1" t="s">
        <v>71</v>
      </c>
      <c r="K1151" s="1" t="s">
        <v>53</v>
      </c>
      <c r="L1151" s="1" t="s">
        <v>566</v>
      </c>
      <c r="M1151" s="1">
        <v>2339</v>
      </c>
    </row>
    <row r="1152" spans="1:13" ht="15.75" customHeight="1">
      <c r="A1152" s="1">
        <v>1168</v>
      </c>
      <c r="B1152" s="1" t="s">
        <v>86</v>
      </c>
      <c r="C1152" s="1" t="s">
        <v>1085</v>
      </c>
      <c r="D1152" s="1" t="s">
        <v>31</v>
      </c>
      <c r="E1152" s="1">
        <v>15.6</v>
      </c>
      <c r="F1152" s="1" t="s">
        <v>48</v>
      </c>
      <c r="G1152" s="1" t="s">
        <v>446</v>
      </c>
      <c r="H1152" s="1" t="s">
        <v>50</v>
      </c>
      <c r="I1152" s="1" t="s">
        <v>89</v>
      </c>
      <c r="J1152" s="1" t="s">
        <v>71</v>
      </c>
      <c r="K1152" s="1" t="s">
        <v>36</v>
      </c>
      <c r="L1152" s="1" t="s">
        <v>207</v>
      </c>
      <c r="M1152" s="1">
        <v>339</v>
      </c>
    </row>
    <row r="1153" spans="1:13" ht="15.75" customHeight="1">
      <c r="A1153" s="1">
        <v>1169</v>
      </c>
      <c r="B1153" s="1" t="s">
        <v>29</v>
      </c>
      <c r="C1153" s="1" t="s">
        <v>1086</v>
      </c>
      <c r="D1153" s="1" t="s">
        <v>31</v>
      </c>
      <c r="E1153" s="1">
        <v>15.6</v>
      </c>
      <c r="F1153" s="1" t="s">
        <v>48</v>
      </c>
      <c r="G1153" s="1" t="s">
        <v>674</v>
      </c>
      <c r="H1153" s="1" t="s">
        <v>50</v>
      </c>
      <c r="I1153" s="1" t="s">
        <v>51</v>
      </c>
      <c r="J1153" s="1" t="s">
        <v>675</v>
      </c>
      <c r="K1153" s="1" t="s">
        <v>53</v>
      </c>
      <c r="L1153" s="1" t="s">
        <v>37</v>
      </c>
      <c r="M1153" s="1">
        <v>297</v>
      </c>
    </row>
    <row r="1154" spans="1:13" ht="15.75" customHeight="1">
      <c r="A1154" s="1">
        <v>1170</v>
      </c>
      <c r="B1154" s="1" t="s">
        <v>86</v>
      </c>
      <c r="C1154" s="1" t="s">
        <v>1087</v>
      </c>
      <c r="D1154" s="1" t="s">
        <v>31</v>
      </c>
      <c r="E1154" s="1">
        <v>15.6</v>
      </c>
      <c r="F1154" s="1" t="s">
        <v>32</v>
      </c>
      <c r="G1154" s="1" t="s">
        <v>295</v>
      </c>
      <c r="H1154" s="1" t="s">
        <v>18</v>
      </c>
      <c r="I1154" s="1" t="s">
        <v>89</v>
      </c>
      <c r="J1154" s="1" t="s">
        <v>1042</v>
      </c>
      <c r="K1154" s="1" t="s">
        <v>36</v>
      </c>
      <c r="L1154" s="1" t="s">
        <v>826</v>
      </c>
      <c r="M1154" s="1">
        <v>599</v>
      </c>
    </row>
    <row r="1155" spans="1:13" ht="15.75" customHeight="1">
      <c r="A1155" s="1">
        <v>1171</v>
      </c>
      <c r="B1155" s="1" t="s">
        <v>74</v>
      </c>
      <c r="C1155" s="1" t="s">
        <v>308</v>
      </c>
      <c r="D1155" s="1" t="s">
        <v>102</v>
      </c>
      <c r="E1155" s="1">
        <v>15.6</v>
      </c>
      <c r="F1155" s="1" t="s">
        <v>32</v>
      </c>
      <c r="G1155" s="1" t="s">
        <v>155</v>
      </c>
      <c r="H1155" s="1" t="s">
        <v>18</v>
      </c>
      <c r="I1155" s="1" t="s">
        <v>89</v>
      </c>
      <c r="J1155" s="1" t="s">
        <v>941</v>
      </c>
      <c r="K1155" s="1" t="s">
        <v>53</v>
      </c>
      <c r="L1155" s="1" t="s">
        <v>249</v>
      </c>
      <c r="M1155" s="1">
        <v>1199</v>
      </c>
    </row>
    <row r="1156" spans="1:13" ht="15.75" customHeight="1">
      <c r="A1156" s="1">
        <v>1172</v>
      </c>
      <c r="B1156" s="1" t="s">
        <v>74</v>
      </c>
      <c r="C1156" s="1" t="s">
        <v>351</v>
      </c>
      <c r="D1156" s="1" t="s">
        <v>31</v>
      </c>
      <c r="E1156" s="1">
        <v>15.6</v>
      </c>
      <c r="F1156" s="1" t="s">
        <v>859</v>
      </c>
      <c r="G1156" s="1" t="s">
        <v>811</v>
      </c>
      <c r="H1156" s="1" t="s">
        <v>18</v>
      </c>
      <c r="I1156" s="1" t="s">
        <v>34</v>
      </c>
      <c r="J1156" s="1" t="s">
        <v>1088</v>
      </c>
      <c r="K1156" s="1" t="s">
        <v>53</v>
      </c>
      <c r="L1156" s="1" t="s">
        <v>59</v>
      </c>
      <c r="M1156" s="1">
        <v>2250.6799999999998</v>
      </c>
    </row>
    <row r="1157" spans="1:13" ht="15.75" customHeight="1">
      <c r="A1157" s="1">
        <v>1173</v>
      </c>
      <c r="B1157" s="1" t="s">
        <v>29</v>
      </c>
      <c r="C1157" s="1" t="s">
        <v>1089</v>
      </c>
      <c r="D1157" s="1" t="s">
        <v>31</v>
      </c>
      <c r="E1157" s="1">
        <v>15.6</v>
      </c>
      <c r="F1157" s="1" t="s">
        <v>32</v>
      </c>
      <c r="G1157" s="1" t="s">
        <v>427</v>
      </c>
      <c r="H1157" s="1" t="s">
        <v>50</v>
      </c>
      <c r="I1157" s="1" t="s">
        <v>34</v>
      </c>
      <c r="J1157" s="1" t="s">
        <v>185</v>
      </c>
      <c r="K1157" s="1" t="s">
        <v>53</v>
      </c>
      <c r="L1157" s="1" t="s">
        <v>115</v>
      </c>
      <c r="M1157" s="1">
        <v>478.89</v>
      </c>
    </row>
    <row r="1158" spans="1:13" ht="15.75" customHeight="1">
      <c r="A1158" s="1">
        <v>1174</v>
      </c>
      <c r="B1158" s="1" t="s">
        <v>189</v>
      </c>
      <c r="C1158" s="1" t="s">
        <v>1090</v>
      </c>
      <c r="D1158" s="1" t="s">
        <v>102</v>
      </c>
      <c r="E1158" s="1">
        <v>17.3</v>
      </c>
      <c r="F1158" s="1" t="s">
        <v>32</v>
      </c>
      <c r="G1158" s="1" t="s">
        <v>155</v>
      </c>
      <c r="H1158" s="1" t="s">
        <v>40</v>
      </c>
      <c r="I1158" s="1" t="s">
        <v>156</v>
      </c>
      <c r="J1158" s="1" t="s">
        <v>201</v>
      </c>
      <c r="K1158" s="1" t="s">
        <v>53</v>
      </c>
      <c r="L1158" s="1" t="s">
        <v>217</v>
      </c>
      <c r="M1158" s="1">
        <v>1492.8</v>
      </c>
    </row>
    <row r="1159" spans="1:13" ht="15.75" customHeight="1">
      <c r="A1159" s="1">
        <v>1175</v>
      </c>
      <c r="B1159" s="1" t="s">
        <v>86</v>
      </c>
      <c r="C1159" s="1" t="s">
        <v>1091</v>
      </c>
      <c r="D1159" s="1" t="s">
        <v>15</v>
      </c>
      <c r="E1159" s="1">
        <v>14</v>
      </c>
      <c r="F1159" s="1" t="s">
        <v>32</v>
      </c>
      <c r="G1159" s="1" t="s">
        <v>442</v>
      </c>
      <c r="H1159" s="1" t="s">
        <v>162</v>
      </c>
      <c r="I1159" s="1" t="s">
        <v>41</v>
      </c>
      <c r="J1159" s="1" t="s">
        <v>71</v>
      </c>
      <c r="K1159" s="1" t="s">
        <v>662</v>
      </c>
      <c r="L1159" s="1" t="s">
        <v>199</v>
      </c>
      <c r="M1159" s="1">
        <v>2299</v>
      </c>
    </row>
    <row r="1160" spans="1:13" ht="15.75" customHeight="1">
      <c r="A1160" s="1">
        <v>1176</v>
      </c>
      <c r="B1160" s="1" t="s">
        <v>86</v>
      </c>
      <c r="C1160" s="1" t="s">
        <v>1092</v>
      </c>
      <c r="D1160" s="1" t="s">
        <v>31</v>
      </c>
      <c r="E1160" s="1">
        <v>15.6</v>
      </c>
      <c r="F1160" s="1" t="s">
        <v>32</v>
      </c>
      <c r="G1160" s="1" t="s">
        <v>295</v>
      </c>
      <c r="H1160" s="1" t="s">
        <v>18</v>
      </c>
      <c r="I1160" s="1" t="s">
        <v>309</v>
      </c>
      <c r="J1160" s="1" t="s">
        <v>1042</v>
      </c>
      <c r="K1160" s="1" t="s">
        <v>53</v>
      </c>
      <c r="L1160" s="1" t="s">
        <v>106</v>
      </c>
      <c r="M1160" s="1">
        <v>788.49</v>
      </c>
    </row>
    <row r="1161" spans="1:13" ht="15.75" customHeight="1">
      <c r="A1161" s="1">
        <v>1177</v>
      </c>
      <c r="B1161" s="1" t="s">
        <v>29</v>
      </c>
      <c r="C1161" s="1" t="s">
        <v>1068</v>
      </c>
      <c r="D1161" s="1" t="s">
        <v>111</v>
      </c>
      <c r="E1161" s="1">
        <v>13.3</v>
      </c>
      <c r="F1161" s="1" t="s">
        <v>358</v>
      </c>
      <c r="G1161" s="1" t="s">
        <v>442</v>
      </c>
      <c r="H1161" s="1" t="s">
        <v>18</v>
      </c>
      <c r="I1161" s="1" t="s">
        <v>41</v>
      </c>
      <c r="J1161" s="1" t="s">
        <v>71</v>
      </c>
      <c r="K1161" s="1" t="s">
        <v>53</v>
      </c>
      <c r="L1161" s="1" t="s">
        <v>314</v>
      </c>
      <c r="M1161" s="1">
        <v>2041</v>
      </c>
    </row>
    <row r="1162" spans="1:13" ht="15.75" customHeight="1">
      <c r="A1162" s="1">
        <v>1178</v>
      </c>
      <c r="B1162" s="1" t="s">
        <v>86</v>
      </c>
      <c r="C1162" s="1" t="s">
        <v>984</v>
      </c>
      <c r="D1162" s="1" t="s">
        <v>15</v>
      </c>
      <c r="E1162" s="1">
        <v>14</v>
      </c>
      <c r="F1162" s="1" t="s">
        <v>32</v>
      </c>
      <c r="G1162" s="1" t="s">
        <v>442</v>
      </c>
      <c r="H1162" s="1" t="s">
        <v>18</v>
      </c>
      <c r="I1162" s="1" t="s">
        <v>34</v>
      </c>
      <c r="J1162" s="1" t="s">
        <v>71</v>
      </c>
      <c r="K1162" s="1" t="s">
        <v>662</v>
      </c>
      <c r="L1162" s="1" t="s">
        <v>196</v>
      </c>
      <c r="M1162" s="1">
        <v>1499</v>
      </c>
    </row>
    <row r="1163" spans="1:13" ht="15.75" customHeight="1">
      <c r="A1163" s="1">
        <v>1179</v>
      </c>
      <c r="B1163" s="1" t="s">
        <v>189</v>
      </c>
      <c r="C1163" s="1" t="s">
        <v>1093</v>
      </c>
      <c r="D1163" s="1" t="s">
        <v>102</v>
      </c>
      <c r="E1163" s="1">
        <v>14</v>
      </c>
      <c r="F1163" s="1" t="s">
        <v>32</v>
      </c>
      <c r="G1163" s="1" t="s">
        <v>624</v>
      </c>
      <c r="H1163" s="1" t="s">
        <v>40</v>
      </c>
      <c r="I1163" s="1" t="s">
        <v>156</v>
      </c>
      <c r="J1163" s="1" t="s">
        <v>727</v>
      </c>
      <c r="K1163" s="1" t="s">
        <v>53</v>
      </c>
      <c r="L1163" s="1" t="s">
        <v>196</v>
      </c>
      <c r="M1163" s="1">
        <v>1769</v>
      </c>
    </row>
    <row r="1164" spans="1:13" ht="15.75" customHeight="1">
      <c r="A1164" s="1">
        <v>1180</v>
      </c>
      <c r="B1164" s="1" t="s">
        <v>29</v>
      </c>
      <c r="C1164" s="1" t="s">
        <v>1094</v>
      </c>
      <c r="D1164" s="1" t="s">
        <v>102</v>
      </c>
      <c r="E1164" s="1">
        <v>15.6</v>
      </c>
      <c r="F1164" s="1" t="s">
        <v>66</v>
      </c>
      <c r="G1164" s="1" t="s">
        <v>155</v>
      </c>
      <c r="H1164" s="1" t="s">
        <v>18</v>
      </c>
      <c r="I1164" s="1" t="s">
        <v>89</v>
      </c>
      <c r="J1164" s="1" t="s">
        <v>105</v>
      </c>
      <c r="K1164" s="1" t="s">
        <v>53</v>
      </c>
      <c r="L1164" s="1" t="s">
        <v>249</v>
      </c>
      <c r="M1164" s="1">
        <v>899</v>
      </c>
    </row>
    <row r="1165" spans="1:13" ht="15.75" customHeight="1">
      <c r="A1165" s="1">
        <v>1181</v>
      </c>
      <c r="B1165" s="1" t="s">
        <v>86</v>
      </c>
      <c r="C1165" s="1" t="s">
        <v>1095</v>
      </c>
      <c r="D1165" s="1" t="s">
        <v>31</v>
      </c>
      <c r="E1165" s="1">
        <v>15.6</v>
      </c>
      <c r="F1165" s="1" t="s">
        <v>48</v>
      </c>
      <c r="G1165" s="1" t="s">
        <v>446</v>
      </c>
      <c r="H1165" s="1" t="s">
        <v>18</v>
      </c>
      <c r="I1165" s="1" t="s">
        <v>89</v>
      </c>
      <c r="J1165" s="1" t="s">
        <v>71</v>
      </c>
      <c r="K1165" s="1" t="s">
        <v>53</v>
      </c>
      <c r="L1165" s="1" t="s">
        <v>77</v>
      </c>
      <c r="M1165" s="1">
        <v>459</v>
      </c>
    </row>
    <row r="1166" spans="1:13" ht="15.75" customHeight="1">
      <c r="A1166" s="1">
        <v>1182</v>
      </c>
      <c r="B1166" s="1" t="s">
        <v>29</v>
      </c>
      <c r="C1166" s="1" t="s">
        <v>1096</v>
      </c>
      <c r="D1166" s="1" t="s">
        <v>31</v>
      </c>
      <c r="E1166" s="1">
        <v>15.6</v>
      </c>
      <c r="F1166" s="1" t="s">
        <v>48</v>
      </c>
      <c r="G1166" s="1" t="s">
        <v>295</v>
      </c>
      <c r="H1166" s="1" t="s">
        <v>50</v>
      </c>
      <c r="I1166" s="1" t="s">
        <v>51</v>
      </c>
      <c r="J1166" s="1" t="s">
        <v>71</v>
      </c>
      <c r="K1166" s="1" t="s">
        <v>36</v>
      </c>
      <c r="L1166" s="1" t="s">
        <v>54</v>
      </c>
      <c r="M1166" s="1">
        <v>476.99</v>
      </c>
    </row>
    <row r="1167" spans="1:13" ht="15.75" customHeight="1">
      <c r="A1167" s="1">
        <v>1183</v>
      </c>
      <c r="B1167" s="1" t="s">
        <v>74</v>
      </c>
      <c r="C1167" s="1" t="s">
        <v>308</v>
      </c>
      <c r="D1167" s="1" t="s">
        <v>102</v>
      </c>
      <c r="E1167" s="1">
        <v>15.6</v>
      </c>
      <c r="F1167" s="1" t="s">
        <v>379</v>
      </c>
      <c r="G1167" s="1" t="s">
        <v>155</v>
      </c>
      <c r="H1167" s="1" t="s">
        <v>18</v>
      </c>
      <c r="I1167" s="1" t="s">
        <v>104</v>
      </c>
      <c r="J1167" s="1" t="s">
        <v>201</v>
      </c>
      <c r="K1167" s="1" t="s">
        <v>53</v>
      </c>
      <c r="L1167" s="1" t="s">
        <v>249</v>
      </c>
      <c r="M1167" s="1">
        <v>1498</v>
      </c>
    </row>
    <row r="1168" spans="1:13" ht="15.75" customHeight="1">
      <c r="A1168" s="1">
        <v>1184</v>
      </c>
      <c r="B1168" s="1" t="s">
        <v>86</v>
      </c>
      <c r="C1168" s="1" t="s">
        <v>678</v>
      </c>
      <c r="D1168" s="1" t="s">
        <v>31</v>
      </c>
      <c r="E1168" s="1">
        <v>15.6</v>
      </c>
      <c r="F1168" s="1" t="s">
        <v>66</v>
      </c>
      <c r="G1168" s="1" t="s">
        <v>33</v>
      </c>
      <c r="H1168" s="1" t="s">
        <v>18</v>
      </c>
      <c r="I1168" s="1" t="s">
        <v>34</v>
      </c>
      <c r="J1168" s="1" t="s">
        <v>35</v>
      </c>
      <c r="K1168" s="1" t="s">
        <v>53</v>
      </c>
      <c r="L1168" s="1" t="s">
        <v>350</v>
      </c>
      <c r="M1168" s="1">
        <v>1390</v>
      </c>
    </row>
    <row r="1169" spans="1:13" ht="15.75" customHeight="1">
      <c r="A1169" s="1">
        <v>1185</v>
      </c>
      <c r="B1169" s="1" t="s">
        <v>86</v>
      </c>
      <c r="C1169" s="1" t="s">
        <v>1097</v>
      </c>
      <c r="D1169" s="1" t="s">
        <v>31</v>
      </c>
      <c r="E1169" s="1">
        <v>15.6</v>
      </c>
      <c r="F1169" s="1" t="s">
        <v>32</v>
      </c>
      <c r="G1169" s="1" t="s">
        <v>70</v>
      </c>
      <c r="H1169" s="1" t="s">
        <v>50</v>
      </c>
      <c r="I1169" s="1" t="s">
        <v>89</v>
      </c>
      <c r="J1169" s="1" t="s">
        <v>393</v>
      </c>
      <c r="K1169" s="1" t="s">
        <v>53</v>
      </c>
      <c r="L1169" s="1" t="s">
        <v>77</v>
      </c>
      <c r="M1169" s="1">
        <v>468</v>
      </c>
    </row>
    <row r="1170" spans="1:13" ht="15.75" customHeight="1">
      <c r="A1170" s="1">
        <v>1186</v>
      </c>
      <c r="B1170" s="1" t="s">
        <v>29</v>
      </c>
      <c r="C1170" s="1" t="s">
        <v>1098</v>
      </c>
      <c r="D1170" s="1" t="s">
        <v>31</v>
      </c>
      <c r="E1170" s="1">
        <v>14</v>
      </c>
      <c r="F1170" s="1" t="s">
        <v>48</v>
      </c>
      <c r="G1170" s="1" t="s">
        <v>204</v>
      </c>
      <c r="H1170" s="1" t="s">
        <v>97</v>
      </c>
      <c r="I1170" s="1" t="s">
        <v>98</v>
      </c>
      <c r="J1170" s="1" t="s">
        <v>99</v>
      </c>
      <c r="K1170" s="1" t="s">
        <v>53</v>
      </c>
      <c r="L1170" s="1" t="s">
        <v>145</v>
      </c>
      <c r="M1170" s="1">
        <v>249</v>
      </c>
    </row>
    <row r="1171" spans="1:13" ht="15.75" customHeight="1">
      <c r="A1171" s="1">
        <v>1187</v>
      </c>
      <c r="B1171" s="1" t="s">
        <v>189</v>
      </c>
      <c r="C1171" s="1" t="s">
        <v>1099</v>
      </c>
      <c r="D1171" s="1" t="s">
        <v>102</v>
      </c>
      <c r="E1171" s="1">
        <v>15.6</v>
      </c>
      <c r="F1171" s="1" t="s">
        <v>66</v>
      </c>
      <c r="G1171" s="1" t="s">
        <v>83</v>
      </c>
      <c r="H1171" s="1" t="s">
        <v>18</v>
      </c>
      <c r="I1171" s="1" t="s">
        <v>89</v>
      </c>
      <c r="J1171" s="1" t="s">
        <v>105</v>
      </c>
      <c r="K1171" s="1" t="s">
        <v>53</v>
      </c>
      <c r="L1171" s="1" t="s">
        <v>77</v>
      </c>
      <c r="M1171" s="1">
        <v>839</v>
      </c>
    </row>
    <row r="1172" spans="1:13" ht="15.75" customHeight="1">
      <c r="A1172" s="1">
        <v>1188</v>
      </c>
      <c r="B1172" s="1" t="s">
        <v>29</v>
      </c>
      <c r="C1172" s="1" t="s">
        <v>1028</v>
      </c>
      <c r="D1172" s="1" t="s">
        <v>31</v>
      </c>
      <c r="E1172" s="1">
        <v>15.6</v>
      </c>
      <c r="F1172" s="1" t="s">
        <v>32</v>
      </c>
      <c r="G1172" s="1" t="s">
        <v>389</v>
      </c>
      <c r="H1172" s="1" t="s">
        <v>18</v>
      </c>
      <c r="I1172" s="1" t="s">
        <v>34</v>
      </c>
      <c r="J1172" s="1" t="s">
        <v>71</v>
      </c>
      <c r="K1172" s="1" t="s">
        <v>53</v>
      </c>
      <c r="L1172" s="1" t="s">
        <v>232</v>
      </c>
      <c r="M1172" s="1">
        <v>679</v>
      </c>
    </row>
    <row r="1173" spans="1:13" ht="15.75" customHeight="1">
      <c r="A1173" s="1">
        <v>1189</v>
      </c>
      <c r="B1173" s="1" t="s">
        <v>29</v>
      </c>
      <c r="C1173" s="1" t="s">
        <v>150</v>
      </c>
      <c r="D1173" s="1" t="s">
        <v>31</v>
      </c>
      <c r="E1173" s="1">
        <v>15.6</v>
      </c>
      <c r="F1173" s="1" t="s">
        <v>32</v>
      </c>
      <c r="G1173" s="1" t="s">
        <v>62</v>
      </c>
      <c r="H1173" s="1" t="s">
        <v>40</v>
      </c>
      <c r="I1173" s="1" t="s">
        <v>41</v>
      </c>
      <c r="J1173" s="1" t="s">
        <v>68</v>
      </c>
      <c r="K1173" s="1" t="s">
        <v>53</v>
      </c>
      <c r="L1173" s="1" t="s">
        <v>54</v>
      </c>
      <c r="M1173" s="1">
        <v>1159</v>
      </c>
    </row>
    <row r="1174" spans="1:13" ht="15.75" customHeight="1">
      <c r="A1174" s="1">
        <v>1190</v>
      </c>
      <c r="B1174" s="1" t="s">
        <v>60</v>
      </c>
      <c r="C1174" s="1" t="s">
        <v>1100</v>
      </c>
      <c r="D1174" s="1" t="s">
        <v>31</v>
      </c>
      <c r="E1174" s="1">
        <v>15.6</v>
      </c>
      <c r="F1174" s="1" t="s">
        <v>48</v>
      </c>
      <c r="G1174" s="1" t="s">
        <v>798</v>
      </c>
      <c r="H1174" s="1" t="s">
        <v>50</v>
      </c>
      <c r="I1174" s="1" t="s">
        <v>51</v>
      </c>
      <c r="J1174" s="1" t="s">
        <v>132</v>
      </c>
      <c r="K1174" s="1" t="s">
        <v>53</v>
      </c>
      <c r="L1174" s="1" t="s">
        <v>77</v>
      </c>
      <c r="M1174" s="1">
        <v>369</v>
      </c>
    </row>
    <row r="1175" spans="1:13" ht="15.75" customHeight="1">
      <c r="A1175" s="1">
        <v>1191</v>
      </c>
      <c r="B1175" s="1" t="s">
        <v>86</v>
      </c>
      <c r="C1175" s="1" t="s">
        <v>1101</v>
      </c>
      <c r="D1175" s="1" t="s">
        <v>31</v>
      </c>
      <c r="E1175" s="1">
        <v>15.6</v>
      </c>
      <c r="F1175" s="1" t="s">
        <v>48</v>
      </c>
      <c r="G1175" s="1" t="s">
        <v>295</v>
      </c>
      <c r="H1175" s="1" t="s">
        <v>50</v>
      </c>
      <c r="I1175" s="1" t="s">
        <v>51</v>
      </c>
      <c r="J1175" s="1" t="s">
        <v>71</v>
      </c>
      <c r="K1175" s="1" t="s">
        <v>36</v>
      </c>
      <c r="L1175" s="1" t="s">
        <v>54</v>
      </c>
      <c r="M1175" s="1">
        <v>398</v>
      </c>
    </row>
    <row r="1176" spans="1:13" ht="15.75" customHeight="1">
      <c r="A1176" s="1">
        <v>1192</v>
      </c>
      <c r="B1176" s="1" t="s">
        <v>86</v>
      </c>
      <c r="C1176" s="1" t="s">
        <v>951</v>
      </c>
      <c r="D1176" s="1" t="s">
        <v>31</v>
      </c>
      <c r="E1176" s="1">
        <v>15.6</v>
      </c>
      <c r="F1176" s="1" t="s">
        <v>32</v>
      </c>
      <c r="G1176" s="1" t="s">
        <v>83</v>
      </c>
      <c r="H1176" s="1" t="s">
        <v>18</v>
      </c>
      <c r="I1176" s="1" t="s">
        <v>89</v>
      </c>
      <c r="J1176" s="1" t="s">
        <v>90</v>
      </c>
      <c r="K1176" s="1" t="s">
        <v>36</v>
      </c>
      <c r="L1176" s="1" t="s">
        <v>77</v>
      </c>
      <c r="M1176" s="1">
        <v>709</v>
      </c>
    </row>
    <row r="1177" spans="1:13" ht="15.75" customHeight="1">
      <c r="A1177" s="1">
        <v>1193</v>
      </c>
      <c r="B1177" s="1" t="s">
        <v>60</v>
      </c>
      <c r="C1177" s="1" t="s">
        <v>1102</v>
      </c>
      <c r="D1177" s="1" t="s">
        <v>31</v>
      </c>
      <c r="E1177" s="1">
        <v>14</v>
      </c>
      <c r="F1177" s="1" t="s">
        <v>32</v>
      </c>
      <c r="G1177" s="1" t="s">
        <v>88</v>
      </c>
      <c r="H1177" s="1" t="s">
        <v>50</v>
      </c>
      <c r="I1177" s="1" t="s">
        <v>34</v>
      </c>
      <c r="J1177" s="1" t="s">
        <v>35</v>
      </c>
      <c r="K1177" s="1" t="s">
        <v>53</v>
      </c>
      <c r="L1177" s="1" t="s">
        <v>153</v>
      </c>
      <c r="M1177" s="1">
        <v>769</v>
      </c>
    </row>
    <row r="1178" spans="1:13" ht="15.75" customHeight="1">
      <c r="A1178" s="1">
        <v>1194</v>
      </c>
      <c r="B1178" s="1" t="s">
        <v>86</v>
      </c>
      <c r="C1178" s="1" t="s">
        <v>1103</v>
      </c>
      <c r="D1178" s="1" t="s">
        <v>31</v>
      </c>
      <c r="E1178" s="1">
        <v>15.6</v>
      </c>
      <c r="F1178" s="1" t="s">
        <v>32</v>
      </c>
      <c r="G1178" s="1" t="s">
        <v>389</v>
      </c>
      <c r="H1178" s="1" t="s">
        <v>50</v>
      </c>
      <c r="I1178" s="1" t="s">
        <v>309</v>
      </c>
      <c r="J1178" s="1" t="s">
        <v>71</v>
      </c>
      <c r="K1178" s="1" t="s">
        <v>662</v>
      </c>
      <c r="L1178" s="1" t="s">
        <v>826</v>
      </c>
      <c r="M1178" s="1">
        <v>825</v>
      </c>
    </row>
    <row r="1179" spans="1:13" ht="15.75" customHeight="1">
      <c r="A1179" s="1">
        <v>1195</v>
      </c>
      <c r="B1179" s="1" t="s">
        <v>86</v>
      </c>
      <c r="C1179" s="1" t="s">
        <v>761</v>
      </c>
      <c r="D1179" s="1" t="s">
        <v>102</v>
      </c>
      <c r="E1179" s="1">
        <v>15.6</v>
      </c>
      <c r="F1179" s="1" t="s">
        <v>66</v>
      </c>
      <c r="G1179" s="1" t="s">
        <v>624</v>
      </c>
      <c r="H1179" s="1" t="s">
        <v>40</v>
      </c>
      <c r="I1179" s="1" t="s">
        <v>41</v>
      </c>
      <c r="J1179" s="1" t="s">
        <v>762</v>
      </c>
      <c r="K1179" s="1" t="s">
        <v>53</v>
      </c>
      <c r="L1179" s="1" t="s">
        <v>763</v>
      </c>
      <c r="M1179" s="1">
        <v>1305</v>
      </c>
    </row>
    <row r="1180" spans="1:13" ht="15.75" customHeight="1">
      <c r="A1180" s="1">
        <v>1196</v>
      </c>
      <c r="B1180" s="1" t="s">
        <v>189</v>
      </c>
      <c r="C1180" s="1" t="s">
        <v>1104</v>
      </c>
      <c r="D1180" s="1" t="s">
        <v>102</v>
      </c>
      <c r="E1180" s="1">
        <v>15.6</v>
      </c>
      <c r="F1180" s="1" t="s">
        <v>32</v>
      </c>
      <c r="G1180" s="1" t="s">
        <v>624</v>
      </c>
      <c r="H1180" s="1" t="s">
        <v>40</v>
      </c>
      <c r="I1180" s="1" t="s">
        <v>104</v>
      </c>
      <c r="J1180" s="1" t="s">
        <v>727</v>
      </c>
      <c r="K1180" s="1" t="s">
        <v>53</v>
      </c>
      <c r="L1180" s="1" t="s">
        <v>115</v>
      </c>
      <c r="M1180" s="1">
        <v>2153.37</v>
      </c>
    </row>
    <row r="1181" spans="1:13" ht="15.75" customHeight="1">
      <c r="A1181" s="1">
        <v>1197</v>
      </c>
      <c r="B1181" s="1" t="s">
        <v>29</v>
      </c>
      <c r="C1181" s="1" t="s">
        <v>150</v>
      </c>
      <c r="D1181" s="1" t="s">
        <v>31</v>
      </c>
      <c r="E1181" s="1">
        <v>15.6</v>
      </c>
      <c r="F1181" s="1" t="s">
        <v>48</v>
      </c>
      <c r="G1181" s="1" t="s">
        <v>627</v>
      </c>
      <c r="H1181" s="1" t="s">
        <v>50</v>
      </c>
      <c r="I1181" s="1" t="s">
        <v>51</v>
      </c>
      <c r="J1181" s="1" t="s">
        <v>71</v>
      </c>
      <c r="K1181" s="1" t="s">
        <v>53</v>
      </c>
      <c r="L1181" s="1" t="s">
        <v>924</v>
      </c>
      <c r="M1181" s="1">
        <v>650</v>
      </c>
    </row>
    <row r="1182" spans="1:13" ht="15.75" customHeight="1">
      <c r="A1182" s="1">
        <v>1198</v>
      </c>
      <c r="B1182" s="1" t="s">
        <v>86</v>
      </c>
      <c r="C1182" s="1" t="s">
        <v>441</v>
      </c>
      <c r="D1182" s="1" t="s">
        <v>111</v>
      </c>
      <c r="E1182" s="1">
        <v>14</v>
      </c>
      <c r="F1182" s="1" t="s">
        <v>885</v>
      </c>
      <c r="G1182" s="1" t="s">
        <v>295</v>
      </c>
      <c r="H1182" s="1" t="s">
        <v>18</v>
      </c>
      <c r="I1182" s="1" t="s">
        <v>34</v>
      </c>
      <c r="J1182" s="1" t="s">
        <v>71</v>
      </c>
      <c r="K1182" s="1" t="s">
        <v>53</v>
      </c>
      <c r="L1182" s="1" t="s">
        <v>443</v>
      </c>
      <c r="M1182" s="1">
        <v>1637</v>
      </c>
    </row>
    <row r="1183" spans="1:13" ht="15.75" customHeight="1">
      <c r="A1183" s="1">
        <v>1199</v>
      </c>
      <c r="B1183" s="1" t="s">
        <v>86</v>
      </c>
      <c r="C1183" s="1" t="s">
        <v>730</v>
      </c>
      <c r="D1183" s="1" t="s">
        <v>15</v>
      </c>
      <c r="E1183" s="1">
        <v>15.6</v>
      </c>
      <c r="F1183" s="1" t="s">
        <v>32</v>
      </c>
      <c r="G1183" s="1" t="s">
        <v>83</v>
      </c>
      <c r="H1183" s="1" t="s">
        <v>246</v>
      </c>
      <c r="I1183" s="1" t="s">
        <v>34</v>
      </c>
      <c r="J1183" s="1" t="s">
        <v>247</v>
      </c>
      <c r="K1183" s="1" t="s">
        <v>53</v>
      </c>
      <c r="L1183" s="1" t="s">
        <v>911</v>
      </c>
      <c r="M1183" s="1">
        <v>831</v>
      </c>
    </row>
    <row r="1184" spans="1:13" ht="15.75" customHeight="1">
      <c r="A1184" s="1">
        <v>1200</v>
      </c>
      <c r="B1184" s="1" t="s">
        <v>74</v>
      </c>
      <c r="C1184" s="1" t="s">
        <v>653</v>
      </c>
      <c r="D1184" s="1" t="s">
        <v>31</v>
      </c>
      <c r="E1184" s="1">
        <v>15.6</v>
      </c>
      <c r="F1184" s="1" t="s">
        <v>32</v>
      </c>
      <c r="G1184" s="1" t="s">
        <v>83</v>
      </c>
      <c r="H1184" s="1" t="s">
        <v>18</v>
      </c>
      <c r="I1184" s="1" t="s">
        <v>34</v>
      </c>
      <c r="J1184" s="1" t="s">
        <v>523</v>
      </c>
      <c r="K1184" s="1" t="s">
        <v>147</v>
      </c>
      <c r="L1184" s="1" t="s">
        <v>813</v>
      </c>
      <c r="M1184" s="1">
        <v>895.01</v>
      </c>
    </row>
    <row r="1185" spans="1:13" ht="15.75" customHeight="1">
      <c r="A1185" s="1">
        <v>1201</v>
      </c>
      <c r="B1185" s="1" t="s">
        <v>46</v>
      </c>
      <c r="C1185" s="1" t="s">
        <v>47</v>
      </c>
      <c r="D1185" s="1" t="s">
        <v>31</v>
      </c>
      <c r="E1185" s="1">
        <v>15.6</v>
      </c>
      <c r="F1185" s="1" t="s">
        <v>48</v>
      </c>
      <c r="G1185" s="1" t="s">
        <v>1105</v>
      </c>
      <c r="H1185" s="1" t="s">
        <v>50</v>
      </c>
      <c r="I1185" s="1" t="s">
        <v>51</v>
      </c>
      <c r="J1185" s="1" t="s">
        <v>144</v>
      </c>
      <c r="K1185" s="1" t="s">
        <v>53</v>
      </c>
      <c r="L1185" s="1" t="s">
        <v>54</v>
      </c>
      <c r="M1185" s="1">
        <v>333</v>
      </c>
    </row>
    <row r="1186" spans="1:13" ht="15.75" customHeight="1">
      <c r="A1186" s="1">
        <v>1202</v>
      </c>
      <c r="B1186" s="1" t="s">
        <v>29</v>
      </c>
      <c r="C1186" s="1" t="s">
        <v>1106</v>
      </c>
      <c r="D1186" s="1" t="s">
        <v>31</v>
      </c>
      <c r="E1186" s="1">
        <v>15.6</v>
      </c>
      <c r="F1186" s="1" t="s">
        <v>66</v>
      </c>
      <c r="G1186" s="1" t="s">
        <v>624</v>
      </c>
      <c r="H1186" s="1" t="s">
        <v>246</v>
      </c>
      <c r="I1186" s="1" t="s">
        <v>89</v>
      </c>
      <c r="J1186" s="1" t="s">
        <v>665</v>
      </c>
      <c r="K1186" s="1" t="s">
        <v>53</v>
      </c>
      <c r="L1186" s="1" t="s">
        <v>433</v>
      </c>
      <c r="M1186" s="1">
        <v>799</v>
      </c>
    </row>
    <row r="1187" spans="1:13" ht="15.75" customHeight="1">
      <c r="A1187" s="1">
        <v>1203</v>
      </c>
      <c r="B1187" s="1" t="s">
        <v>60</v>
      </c>
      <c r="C1187" s="1" t="s">
        <v>1107</v>
      </c>
      <c r="D1187" s="1" t="s">
        <v>102</v>
      </c>
      <c r="E1187" s="1">
        <v>15.6</v>
      </c>
      <c r="F1187" s="1" t="s">
        <v>66</v>
      </c>
      <c r="G1187" s="1" t="s">
        <v>624</v>
      </c>
      <c r="H1187" s="1" t="s">
        <v>18</v>
      </c>
      <c r="I1187" s="1" t="s">
        <v>156</v>
      </c>
      <c r="J1187" s="1" t="s">
        <v>665</v>
      </c>
      <c r="K1187" s="1" t="s">
        <v>53</v>
      </c>
      <c r="L1187" s="1" t="s">
        <v>1108</v>
      </c>
      <c r="M1187" s="1">
        <v>909</v>
      </c>
    </row>
    <row r="1188" spans="1:13" ht="15.75" customHeight="1">
      <c r="A1188" s="1">
        <v>1204</v>
      </c>
      <c r="B1188" s="1" t="s">
        <v>74</v>
      </c>
      <c r="C1188" s="1" t="s">
        <v>1026</v>
      </c>
      <c r="D1188" s="1" t="s">
        <v>111</v>
      </c>
      <c r="E1188" s="1">
        <v>15.6</v>
      </c>
      <c r="F1188" s="1" t="s">
        <v>112</v>
      </c>
      <c r="G1188" s="1" t="s">
        <v>83</v>
      </c>
      <c r="H1188" s="1" t="s">
        <v>40</v>
      </c>
      <c r="I1188" s="1" t="s">
        <v>41</v>
      </c>
      <c r="J1188" s="1" t="s">
        <v>35</v>
      </c>
      <c r="K1188" s="1" t="s">
        <v>53</v>
      </c>
      <c r="L1188" s="1" t="s">
        <v>1015</v>
      </c>
      <c r="M1188" s="1">
        <v>1179</v>
      </c>
    </row>
    <row r="1189" spans="1:13" ht="15.75" customHeight="1">
      <c r="A1189" s="1">
        <v>1205</v>
      </c>
      <c r="B1189" s="1" t="s">
        <v>46</v>
      </c>
      <c r="C1189" s="1" t="s">
        <v>374</v>
      </c>
      <c r="D1189" s="1" t="s">
        <v>31</v>
      </c>
      <c r="E1189" s="1">
        <v>15.6</v>
      </c>
      <c r="F1189" s="1" t="s">
        <v>32</v>
      </c>
      <c r="G1189" s="1" t="s">
        <v>33</v>
      </c>
      <c r="H1189" s="1" t="s">
        <v>50</v>
      </c>
      <c r="I1189" s="1" t="s">
        <v>34</v>
      </c>
      <c r="J1189" s="1" t="s">
        <v>90</v>
      </c>
      <c r="K1189" s="1" t="s">
        <v>53</v>
      </c>
      <c r="L1189" s="1" t="s">
        <v>375</v>
      </c>
      <c r="M1189" s="1">
        <v>691</v>
      </c>
    </row>
    <row r="1190" spans="1:13" ht="15.75" customHeight="1">
      <c r="A1190" s="1">
        <v>1206</v>
      </c>
      <c r="B1190" s="1" t="s">
        <v>74</v>
      </c>
      <c r="C1190" s="1" t="s">
        <v>91</v>
      </c>
      <c r="D1190" s="1" t="s">
        <v>15</v>
      </c>
      <c r="E1190" s="1">
        <v>13.3</v>
      </c>
      <c r="F1190" s="1" t="s">
        <v>262</v>
      </c>
      <c r="G1190" s="1" t="s">
        <v>765</v>
      </c>
      <c r="H1190" s="1" t="s">
        <v>18</v>
      </c>
      <c r="I1190" s="1" t="s">
        <v>34</v>
      </c>
      <c r="J1190" s="1" t="s">
        <v>71</v>
      </c>
      <c r="K1190" s="1" t="s">
        <v>147</v>
      </c>
      <c r="L1190" s="1" t="s">
        <v>264</v>
      </c>
      <c r="M1190" s="1">
        <v>1099</v>
      </c>
    </row>
    <row r="1191" spans="1:13" ht="15.75" customHeight="1">
      <c r="A1191" s="1">
        <v>1207</v>
      </c>
      <c r="B1191" s="1" t="s">
        <v>46</v>
      </c>
      <c r="C1191" s="1" t="s">
        <v>876</v>
      </c>
      <c r="D1191" s="1" t="s">
        <v>102</v>
      </c>
      <c r="E1191" s="1">
        <v>17.3</v>
      </c>
      <c r="F1191" s="1" t="s">
        <v>66</v>
      </c>
      <c r="G1191" s="1" t="s">
        <v>155</v>
      </c>
      <c r="H1191" s="1" t="s">
        <v>40</v>
      </c>
      <c r="I1191" s="1" t="s">
        <v>156</v>
      </c>
      <c r="J1191" s="1" t="s">
        <v>192</v>
      </c>
      <c r="K1191" s="1" t="s">
        <v>53</v>
      </c>
      <c r="L1191" s="1" t="s">
        <v>829</v>
      </c>
      <c r="M1191" s="1">
        <v>2599</v>
      </c>
    </row>
    <row r="1192" spans="1:13" ht="15.75" customHeight="1">
      <c r="A1192" s="1">
        <v>1208</v>
      </c>
      <c r="B1192" s="1" t="s">
        <v>86</v>
      </c>
      <c r="C1192" s="1" t="s">
        <v>101</v>
      </c>
      <c r="D1192" s="1" t="s">
        <v>102</v>
      </c>
      <c r="E1192" s="1">
        <v>15.6</v>
      </c>
      <c r="F1192" s="1" t="s">
        <v>66</v>
      </c>
      <c r="G1192" s="1" t="s">
        <v>103</v>
      </c>
      <c r="H1192" s="1" t="s">
        <v>18</v>
      </c>
      <c r="I1192" s="1" t="s">
        <v>89</v>
      </c>
      <c r="J1192" s="1" t="s">
        <v>105</v>
      </c>
      <c r="K1192" s="1" t="s">
        <v>53</v>
      </c>
      <c r="L1192" s="1" t="s">
        <v>183</v>
      </c>
      <c r="M1192" s="1">
        <v>819</v>
      </c>
    </row>
    <row r="1193" spans="1:13" ht="15.75" customHeight="1">
      <c r="A1193" s="1">
        <v>1209</v>
      </c>
      <c r="B1193" s="1" t="s">
        <v>580</v>
      </c>
      <c r="C1193" s="1" t="s">
        <v>1109</v>
      </c>
      <c r="D1193" s="1" t="s">
        <v>111</v>
      </c>
      <c r="E1193" s="1">
        <v>12.3</v>
      </c>
      <c r="F1193" s="1" t="s">
        <v>1110</v>
      </c>
      <c r="G1193" s="1" t="s">
        <v>1111</v>
      </c>
      <c r="H1193" s="1" t="s">
        <v>50</v>
      </c>
      <c r="I1193" s="1" t="s">
        <v>98</v>
      </c>
      <c r="J1193" s="1" t="s">
        <v>1112</v>
      </c>
      <c r="K1193" s="1" t="s">
        <v>456</v>
      </c>
      <c r="L1193" s="1" t="s">
        <v>561</v>
      </c>
      <c r="M1193" s="1">
        <v>659</v>
      </c>
    </row>
    <row r="1194" spans="1:13" ht="15.75" customHeight="1">
      <c r="A1194" s="1">
        <v>1210</v>
      </c>
      <c r="B1194" s="1" t="s">
        <v>29</v>
      </c>
      <c r="C1194" s="1" t="s">
        <v>30</v>
      </c>
      <c r="D1194" s="1" t="s">
        <v>31</v>
      </c>
      <c r="E1194" s="1">
        <v>15.6</v>
      </c>
      <c r="F1194" s="1" t="s">
        <v>48</v>
      </c>
      <c r="G1194" s="1" t="s">
        <v>33</v>
      </c>
      <c r="H1194" s="1" t="s">
        <v>50</v>
      </c>
      <c r="I1194" s="1" t="s">
        <v>51</v>
      </c>
      <c r="J1194" s="1" t="s">
        <v>35</v>
      </c>
      <c r="K1194" s="1" t="s">
        <v>53</v>
      </c>
      <c r="L1194" s="1" t="s">
        <v>37</v>
      </c>
      <c r="M1194" s="1">
        <v>485</v>
      </c>
    </row>
    <row r="1195" spans="1:13" ht="15.75" customHeight="1">
      <c r="A1195" s="1">
        <v>1211</v>
      </c>
      <c r="B1195" s="1" t="s">
        <v>13</v>
      </c>
      <c r="C1195" s="1" t="s">
        <v>78</v>
      </c>
      <c r="D1195" s="1" t="s">
        <v>15</v>
      </c>
      <c r="E1195" s="1">
        <v>12</v>
      </c>
      <c r="F1195" s="1" t="s">
        <v>79</v>
      </c>
      <c r="G1195" s="1" t="s">
        <v>1038</v>
      </c>
      <c r="H1195" s="1" t="s">
        <v>18</v>
      </c>
      <c r="I1195" s="1" t="s">
        <v>56</v>
      </c>
      <c r="J1195" s="1" t="s">
        <v>883</v>
      </c>
      <c r="K1195" s="1" t="s">
        <v>58</v>
      </c>
      <c r="L1195" s="1" t="s">
        <v>884</v>
      </c>
      <c r="M1195" s="1">
        <v>1163</v>
      </c>
    </row>
    <row r="1196" spans="1:13" ht="15.75" customHeight="1">
      <c r="A1196" s="1">
        <v>1212</v>
      </c>
      <c r="B1196" s="1" t="s">
        <v>74</v>
      </c>
      <c r="C1196" s="1" t="s">
        <v>1030</v>
      </c>
      <c r="D1196" s="1" t="s">
        <v>111</v>
      </c>
      <c r="E1196" s="1">
        <v>13.3</v>
      </c>
      <c r="F1196" s="1" t="s">
        <v>92</v>
      </c>
      <c r="G1196" s="1" t="s">
        <v>33</v>
      </c>
      <c r="H1196" s="1" t="s">
        <v>18</v>
      </c>
      <c r="I1196" s="1" t="s">
        <v>34</v>
      </c>
      <c r="J1196" s="1" t="s">
        <v>35</v>
      </c>
      <c r="K1196" s="1" t="s">
        <v>53</v>
      </c>
      <c r="L1196" s="1" t="s">
        <v>69</v>
      </c>
      <c r="M1196" s="1">
        <v>1199</v>
      </c>
    </row>
    <row r="1197" spans="1:13" ht="15.75" customHeight="1">
      <c r="A1197" s="1">
        <v>1213</v>
      </c>
      <c r="B1197" s="1" t="s">
        <v>29</v>
      </c>
      <c r="C1197" s="1" t="s">
        <v>1113</v>
      </c>
      <c r="D1197" s="1" t="s">
        <v>31</v>
      </c>
      <c r="E1197" s="1">
        <v>15.6</v>
      </c>
      <c r="F1197" s="1" t="s">
        <v>66</v>
      </c>
      <c r="G1197" s="1" t="s">
        <v>155</v>
      </c>
      <c r="H1197" s="1" t="s">
        <v>162</v>
      </c>
      <c r="I1197" s="1" t="s">
        <v>104</v>
      </c>
      <c r="J1197" s="1" t="s">
        <v>105</v>
      </c>
      <c r="K1197" s="1" t="s">
        <v>53</v>
      </c>
      <c r="L1197" s="1" t="s">
        <v>1114</v>
      </c>
      <c r="M1197" s="1">
        <v>1327</v>
      </c>
    </row>
    <row r="1198" spans="1:13" ht="15.75" customHeight="1">
      <c r="A1198" s="1">
        <v>1214</v>
      </c>
      <c r="B1198" s="1" t="s">
        <v>86</v>
      </c>
      <c r="C1198" s="1" t="s">
        <v>1115</v>
      </c>
      <c r="D1198" s="1" t="s">
        <v>31</v>
      </c>
      <c r="E1198" s="1">
        <v>15.6</v>
      </c>
      <c r="F1198" s="1" t="s">
        <v>48</v>
      </c>
      <c r="G1198" s="1" t="s">
        <v>70</v>
      </c>
      <c r="H1198" s="1" t="s">
        <v>50</v>
      </c>
      <c r="I1198" s="1" t="s">
        <v>89</v>
      </c>
      <c r="J1198" s="1" t="s">
        <v>76</v>
      </c>
      <c r="K1198" s="1" t="s">
        <v>36</v>
      </c>
      <c r="L1198" s="1" t="s">
        <v>207</v>
      </c>
      <c r="M1198" s="1">
        <v>368</v>
      </c>
    </row>
    <row r="1199" spans="1:13" ht="15.75" customHeight="1">
      <c r="A1199" s="1">
        <v>1215</v>
      </c>
      <c r="B1199" s="1" t="s">
        <v>60</v>
      </c>
      <c r="C1199" s="1" t="s">
        <v>1116</v>
      </c>
      <c r="D1199" s="1" t="s">
        <v>102</v>
      </c>
      <c r="E1199" s="1">
        <v>17.3</v>
      </c>
      <c r="F1199" s="1" t="s">
        <v>66</v>
      </c>
      <c r="G1199" s="1" t="s">
        <v>624</v>
      </c>
      <c r="H1199" s="1" t="s">
        <v>40</v>
      </c>
      <c r="I1199" s="1" t="s">
        <v>339</v>
      </c>
      <c r="J1199" s="1" t="s">
        <v>420</v>
      </c>
      <c r="K1199" s="1" t="s">
        <v>53</v>
      </c>
      <c r="L1199" s="1" t="s">
        <v>421</v>
      </c>
      <c r="M1199" s="1">
        <v>2150</v>
      </c>
    </row>
    <row r="1200" spans="1:13" ht="15.75" customHeight="1">
      <c r="A1200" s="1">
        <v>1216</v>
      </c>
      <c r="B1200" s="1" t="s">
        <v>46</v>
      </c>
      <c r="C1200" s="1" t="s">
        <v>47</v>
      </c>
      <c r="D1200" s="1" t="s">
        <v>31</v>
      </c>
      <c r="E1200" s="1">
        <v>15.6</v>
      </c>
      <c r="F1200" s="1" t="s">
        <v>48</v>
      </c>
      <c r="G1200" s="1" t="s">
        <v>1105</v>
      </c>
      <c r="H1200" s="1" t="s">
        <v>50</v>
      </c>
      <c r="I1200" s="1" t="s">
        <v>89</v>
      </c>
      <c r="J1200" s="1" t="s">
        <v>144</v>
      </c>
      <c r="K1200" s="1" t="s">
        <v>147</v>
      </c>
      <c r="L1200" s="1" t="s">
        <v>54</v>
      </c>
      <c r="M1200" s="1">
        <v>272</v>
      </c>
    </row>
    <row r="1201" spans="1:13" ht="15.75" customHeight="1">
      <c r="A1201" s="1">
        <v>1217</v>
      </c>
      <c r="B1201" s="1" t="s">
        <v>189</v>
      </c>
      <c r="C1201" s="1" t="s">
        <v>1117</v>
      </c>
      <c r="D1201" s="1" t="s">
        <v>102</v>
      </c>
      <c r="E1201" s="1">
        <v>17.3</v>
      </c>
      <c r="F1201" s="1" t="s">
        <v>32</v>
      </c>
      <c r="G1201" s="1" t="s">
        <v>155</v>
      </c>
      <c r="H1201" s="1" t="s">
        <v>40</v>
      </c>
      <c r="I1201" s="1" t="s">
        <v>156</v>
      </c>
      <c r="J1201" s="1" t="s">
        <v>157</v>
      </c>
      <c r="K1201" s="1" t="s">
        <v>53</v>
      </c>
      <c r="L1201" s="1" t="s">
        <v>193</v>
      </c>
      <c r="M1201" s="1">
        <v>2048.9</v>
      </c>
    </row>
    <row r="1202" spans="1:13" ht="15.75" customHeight="1">
      <c r="A1202" s="1">
        <v>1218</v>
      </c>
      <c r="B1202" s="1" t="s">
        <v>74</v>
      </c>
      <c r="C1202" s="1" t="s">
        <v>279</v>
      </c>
      <c r="D1202" s="1" t="s">
        <v>31</v>
      </c>
      <c r="E1202" s="1">
        <v>15.6</v>
      </c>
      <c r="F1202" s="1" t="s">
        <v>48</v>
      </c>
      <c r="G1202" s="1" t="s">
        <v>446</v>
      </c>
      <c r="H1202" s="1" t="s">
        <v>50</v>
      </c>
      <c r="I1202" s="1" t="s">
        <v>19</v>
      </c>
      <c r="J1202" s="1" t="s">
        <v>793</v>
      </c>
      <c r="K1202" s="1" t="s">
        <v>53</v>
      </c>
      <c r="L1202" s="1" t="s">
        <v>116</v>
      </c>
      <c r="M1202" s="1">
        <v>499</v>
      </c>
    </row>
    <row r="1203" spans="1:13" ht="15.75" customHeight="1">
      <c r="A1203" s="1">
        <v>1219</v>
      </c>
      <c r="B1203" s="1" t="s">
        <v>86</v>
      </c>
      <c r="C1203" s="1" t="s">
        <v>1095</v>
      </c>
      <c r="D1203" s="1" t="s">
        <v>31</v>
      </c>
      <c r="E1203" s="1">
        <v>15.6</v>
      </c>
      <c r="F1203" s="1" t="s">
        <v>48</v>
      </c>
      <c r="G1203" s="1" t="s">
        <v>389</v>
      </c>
      <c r="H1203" s="1" t="s">
        <v>18</v>
      </c>
      <c r="I1203" s="1" t="s">
        <v>51</v>
      </c>
      <c r="J1203" s="1" t="s">
        <v>174</v>
      </c>
      <c r="K1203" s="1" t="s">
        <v>36</v>
      </c>
      <c r="L1203" s="1" t="s">
        <v>77</v>
      </c>
      <c r="M1203" s="1">
        <v>629</v>
      </c>
    </row>
    <row r="1204" spans="1:13" ht="15.75" customHeight="1">
      <c r="A1204" s="1">
        <v>1220</v>
      </c>
      <c r="B1204" s="1" t="s">
        <v>74</v>
      </c>
      <c r="C1204" s="1" t="s">
        <v>320</v>
      </c>
      <c r="D1204" s="1" t="s">
        <v>111</v>
      </c>
      <c r="E1204" s="1">
        <v>15.6</v>
      </c>
      <c r="F1204" s="1" t="s">
        <v>112</v>
      </c>
      <c r="G1204" s="1" t="s">
        <v>62</v>
      </c>
      <c r="H1204" s="1" t="s">
        <v>40</v>
      </c>
      <c r="I1204" s="1" t="s">
        <v>41</v>
      </c>
      <c r="J1204" s="1" t="s">
        <v>68</v>
      </c>
      <c r="K1204" s="1" t="s">
        <v>53</v>
      </c>
      <c r="L1204" s="1" t="s">
        <v>153</v>
      </c>
      <c r="M1204" s="1">
        <v>1285</v>
      </c>
    </row>
    <row r="1205" spans="1:13" ht="15.75" customHeight="1">
      <c r="A1205" s="1">
        <v>1221</v>
      </c>
      <c r="B1205" s="1" t="s">
        <v>74</v>
      </c>
      <c r="C1205" s="1" t="s">
        <v>91</v>
      </c>
      <c r="D1205" s="1" t="s">
        <v>15</v>
      </c>
      <c r="E1205" s="1">
        <v>13.3</v>
      </c>
      <c r="F1205" s="1" t="s">
        <v>262</v>
      </c>
      <c r="G1205" s="1" t="s">
        <v>83</v>
      </c>
      <c r="H1205" s="1" t="s">
        <v>40</v>
      </c>
      <c r="I1205" s="1" t="s">
        <v>41</v>
      </c>
      <c r="J1205" s="1" t="s">
        <v>35</v>
      </c>
      <c r="K1205" s="1" t="s">
        <v>53</v>
      </c>
      <c r="L1205" s="1" t="s">
        <v>141</v>
      </c>
      <c r="M1205" s="1">
        <v>2680</v>
      </c>
    </row>
    <row r="1206" spans="1:13" ht="15.75" customHeight="1">
      <c r="A1206" s="1">
        <v>1222</v>
      </c>
      <c r="B1206" s="1" t="s">
        <v>60</v>
      </c>
      <c r="C1206" s="1" t="s">
        <v>1118</v>
      </c>
      <c r="D1206" s="1" t="s">
        <v>102</v>
      </c>
      <c r="E1206" s="1">
        <v>15.6</v>
      </c>
      <c r="F1206" s="1" t="s">
        <v>32</v>
      </c>
      <c r="G1206" s="1" t="s">
        <v>624</v>
      </c>
      <c r="H1206" s="1" t="s">
        <v>18</v>
      </c>
      <c r="I1206" s="1" t="s">
        <v>89</v>
      </c>
      <c r="J1206" s="1" t="s">
        <v>157</v>
      </c>
      <c r="K1206" s="1" t="s">
        <v>53</v>
      </c>
      <c r="L1206" s="1" t="s">
        <v>77</v>
      </c>
      <c r="M1206" s="1">
        <v>1169</v>
      </c>
    </row>
    <row r="1207" spans="1:13" ht="15.75" customHeight="1">
      <c r="A1207" s="1">
        <v>1223</v>
      </c>
      <c r="B1207" s="1" t="s">
        <v>74</v>
      </c>
      <c r="C1207" s="1" t="s">
        <v>279</v>
      </c>
      <c r="D1207" s="1" t="s">
        <v>31</v>
      </c>
      <c r="E1207" s="1">
        <v>15.6</v>
      </c>
      <c r="F1207" s="1" t="s">
        <v>32</v>
      </c>
      <c r="G1207" s="1" t="s">
        <v>33</v>
      </c>
      <c r="H1207" s="1" t="s">
        <v>18</v>
      </c>
      <c r="I1207" s="1" t="s">
        <v>34</v>
      </c>
      <c r="J1207" s="1" t="s">
        <v>280</v>
      </c>
      <c r="K1207" s="1" t="s">
        <v>53</v>
      </c>
      <c r="L1207" s="1" t="s">
        <v>281</v>
      </c>
      <c r="M1207" s="1">
        <v>889</v>
      </c>
    </row>
    <row r="1208" spans="1:13" ht="15.75" customHeight="1">
      <c r="A1208" s="1">
        <v>1224</v>
      </c>
      <c r="B1208" s="1" t="s">
        <v>29</v>
      </c>
      <c r="C1208" s="1" t="s">
        <v>1119</v>
      </c>
      <c r="D1208" s="1" t="s">
        <v>31</v>
      </c>
      <c r="E1208" s="1">
        <v>15.6</v>
      </c>
      <c r="F1208" s="1" t="s">
        <v>48</v>
      </c>
      <c r="G1208" s="1" t="s">
        <v>33</v>
      </c>
      <c r="H1208" s="1" t="s">
        <v>18</v>
      </c>
      <c r="I1208" s="1" t="s">
        <v>34</v>
      </c>
      <c r="J1208" s="1" t="s">
        <v>35</v>
      </c>
      <c r="K1208" s="1" t="s">
        <v>53</v>
      </c>
      <c r="L1208" s="1" t="s">
        <v>115</v>
      </c>
      <c r="M1208" s="1">
        <v>579</v>
      </c>
    </row>
    <row r="1209" spans="1:13" ht="15.75" customHeight="1">
      <c r="A1209" s="1">
        <v>1225</v>
      </c>
      <c r="B1209" s="1" t="s">
        <v>86</v>
      </c>
      <c r="C1209" s="1" t="s">
        <v>228</v>
      </c>
      <c r="D1209" s="1" t="s">
        <v>31</v>
      </c>
      <c r="E1209" s="1">
        <v>15.6</v>
      </c>
      <c r="F1209" s="1" t="s">
        <v>48</v>
      </c>
      <c r="G1209" s="1" t="s">
        <v>1120</v>
      </c>
      <c r="H1209" s="1" t="s">
        <v>50</v>
      </c>
      <c r="I1209" s="1" t="s">
        <v>51</v>
      </c>
      <c r="J1209" s="1" t="s">
        <v>675</v>
      </c>
      <c r="K1209" s="1" t="s">
        <v>53</v>
      </c>
      <c r="L1209" s="1" t="s">
        <v>77</v>
      </c>
      <c r="M1209" s="1">
        <v>299</v>
      </c>
    </row>
    <row r="1210" spans="1:13" ht="15.75" customHeight="1">
      <c r="A1210" s="1">
        <v>1226</v>
      </c>
      <c r="B1210" s="1" t="s">
        <v>46</v>
      </c>
      <c r="C1210" s="1" t="s">
        <v>1121</v>
      </c>
      <c r="D1210" s="1" t="s">
        <v>31</v>
      </c>
      <c r="E1210" s="1">
        <v>17.3</v>
      </c>
      <c r="F1210" s="1" t="s">
        <v>364</v>
      </c>
      <c r="G1210" s="1" t="s">
        <v>446</v>
      </c>
      <c r="H1210" s="1" t="s">
        <v>18</v>
      </c>
      <c r="I1210" s="1" t="s">
        <v>89</v>
      </c>
      <c r="J1210" s="1" t="s">
        <v>90</v>
      </c>
      <c r="K1210" s="1" t="s">
        <v>53</v>
      </c>
      <c r="L1210" s="1" t="s">
        <v>1122</v>
      </c>
      <c r="M1210" s="1">
        <v>629</v>
      </c>
    </row>
    <row r="1211" spans="1:13" ht="15.75" customHeight="1">
      <c r="A1211" s="1">
        <v>1227</v>
      </c>
      <c r="B1211" s="1" t="s">
        <v>60</v>
      </c>
      <c r="C1211" s="1" t="s">
        <v>168</v>
      </c>
      <c r="D1211" s="1" t="s">
        <v>102</v>
      </c>
      <c r="E1211" s="1">
        <v>15.6</v>
      </c>
      <c r="F1211" s="1" t="s">
        <v>32</v>
      </c>
      <c r="G1211" s="1" t="s">
        <v>155</v>
      </c>
      <c r="H1211" s="1" t="s">
        <v>40</v>
      </c>
      <c r="I1211" s="1" t="s">
        <v>156</v>
      </c>
      <c r="J1211" s="1" t="s">
        <v>192</v>
      </c>
      <c r="K1211" s="1" t="s">
        <v>53</v>
      </c>
      <c r="L1211" s="1" t="s">
        <v>77</v>
      </c>
      <c r="M1211" s="1">
        <v>2449</v>
      </c>
    </row>
    <row r="1212" spans="1:13" ht="15.75" customHeight="1">
      <c r="A1212" s="1">
        <v>1228</v>
      </c>
      <c r="B1212" s="1" t="s">
        <v>13</v>
      </c>
      <c r="C1212" s="1" t="s">
        <v>78</v>
      </c>
      <c r="D1212" s="1" t="s">
        <v>15</v>
      </c>
      <c r="E1212" s="1">
        <v>12</v>
      </c>
      <c r="F1212" s="1" t="s">
        <v>79</v>
      </c>
      <c r="G1212" s="1" t="s">
        <v>881</v>
      </c>
      <c r="H1212" s="1" t="s">
        <v>18</v>
      </c>
      <c r="I1212" s="1" t="s">
        <v>882</v>
      </c>
      <c r="J1212" s="1" t="s">
        <v>300</v>
      </c>
      <c r="K1212" s="1" t="s">
        <v>58</v>
      </c>
      <c r="L1212" s="1" t="s">
        <v>884</v>
      </c>
      <c r="M1212" s="1">
        <v>1279</v>
      </c>
    </row>
    <row r="1213" spans="1:13" ht="15.75" customHeight="1">
      <c r="A1213" s="1">
        <v>1229</v>
      </c>
      <c r="B1213" s="1" t="s">
        <v>60</v>
      </c>
      <c r="C1213" s="1" t="s">
        <v>1123</v>
      </c>
      <c r="D1213" s="1" t="s">
        <v>31</v>
      </c>
      <c r="E1213" s="1">
        <v>15.6</v>
      </c>
      <c r="F1213" s="1" t="s">
        <v>32</v>
      </c>
      <c r="G1213" s="1" t="s">
        <v>155</v>
      </c>
      <c r="H1213" s="1" t="s">
        <v>40</v>
      </c>
      <c r="I1213" s="1" t="s">
        <v>104</v>
      </c>
      <c r="J1213" s="1" t="s">
        <v>157</v>
      </c>
      <c r="K1213" s="1" t="s">
        <v>53</v>
      </c>
      <c r="L1213" s="1" t="s">
        <v>77</v>
      </c>
      <c r="M1213" s="1">
        <v>1749</v>
      </c>
    </row>
    <row r="1214" spans="1:13" ht="15.75" customHeight="1">
      <c r="A1214" s="1">
        <v>1230</v>
      </c>
      <c r="B1214" s="1" t="s">
        <v>189</v>
      </c>
      <c r="C1214" s="1" t="s">
        <v>939</v>
      </c>
      <c r="D1214" s="1" t="s">
        <v>102</v>
      </c>
      <c r="E1214" s="1">
        <v>17.3</v>
      </c>
      <c r="F1214" s="1" t="s">
        <v>66</v>
      </c>
      <c r="G1214" s="1" t="s">
        <v>624</v>
      </c>
      <c r="H1214" s="1" t="s">
        <v>40</v>
      </c>
      <c r="I1214" s="1" t="s">
        <v>156</v>
      </c>
      <c r="J1214" s="1" t="s">
        <v>157</v>
      </c>
      <c r="K1214" s="1" t="s">
        <v>53</v>
      </c>
      <c r="L1214" s="1" t="s">
        <v>193</v>
      </c>
      <c r="M1214" s="1">
        <v>1948.99</v>
      </c>
    </row>
    <row r="1215" spans="1:13" ht="15.75" customHeight="1">
      <c r="A1215" s="1">
        <v>1231</v>
      </c>
      <c r="B1215" s="1" t="s">
        <v>74</v>
      </c>
      <c r="C1215" s="1" t="s">
        <v>991</v>
      </c>
      <c r="D1215" s="1" t="s">
        <v>111</v>
      </c>
      <c r="E1215" s="1">
        <v>15.6</v>
      </c>
      <c r="F1215" s="1" t="s">
        <v>92</v>
      </c>
      <c r="G1215" s="1" t="s">
        <v>33</v>
      </c>
      <c r="H1215" s="1" t="s">
        <v>18</v>
      </c>
      <c r="I1215" s="1" t="s">
        <v>34</v>
      </c>
      <c r="J1215" s="1" t="s">
        <v>35</v>
      </c>
      <c r="K1215" s="1" t="s">
        <v>53</v>
      </c>
      <c r="L1215" s="1" t="s">
        <v>1124</v>
      </c>
      <c r="M1215" s="1">
        <v>999</v>
      </c>
    </row>
    <row r="1216" spans="1:13" ht="15.75" customHeight="1">
      <c r="A1216" s="1">
        <v>1232</v>
      </c>
      <c r="B1216" s="1" t="s">
        <v>60</v>
      </c>
      <c r="C1216" s="1" t="s">
        <v>535</v>
      </c>
      <c r="D1216" s="1" t="s">
        <v>102</v>
      </c>
      <c r="E1216" s="1">
        <v>17.3</v>
      </c>
      <c r="F1216" s="1" t="s">
        <v>32</v>
      </c>
      <c r="G1216" s="1" t="s">
        <v>155</v>
      </c>
      <c r="H1216" s="1" t="s">
        <v>40</v>
      </c>
      <c r="I1216" s="1" t="s">
        <v>156</v>
      </c>
      <c r="J1216" s="1" t="s">
        <v>157</v>
      </c>
      <c r="K1216" s="1" t="s">
        <v>53</v>
      </c>
      <c r="L1216" s="1" t="s">
        <v>304</v>
      </c>
      <c r="M1216" s="1">
        <v>1949</v>
      </c>
    </row>
    <row r="1217" spans="1:13" ht="15.75" customHeight="1">
      <c r="A1217" s="1">
        <v>1233</v>
      </c>
      <c r="B1217" s="1" t="s">
        <v>46</v>
      </c>
      <c r="C1217" s="1" t="s">
        <v>1125</v>
      </c>
      <c r="D1217" s="1" t="s">
        <v>95</v>
      </c>
      <c r="E1217" s="1">
        <v>11.6</v>
      </c>
      <c r="F1217" s="1" t="s">
        <v>48</v>
      </c>
      <c r="G1217" s="1" t="s">
        <v>454</v>
      </c>
      <c r="H1217" s="1" t="s">
        <v>97</v>
      </c>
      <c r="I1217" s="1" t="s">
        <v>205</v>
      </c>
      <c r="J1217" s="1" t="s">
        <v>132</v>
      </c>
      <c r="K1217" s="1" t="s">
        <v>456</v>
      </c>
      <c r="L1217" s="1" t="s">
        <v>64</v>
      </c>
      <c r="M1217" s="1">
        <v>174</v>
      </c>
    </row>
    <row r="1218" spans="1:13" ht="15.75" customHeight="1">
      <c r="A1218" s="1">
        <v>1234</v>
      </c>
      <c r="B1218" s="1" t="s">
        <v>46</v>
      </c>
      <c r="C1218" s="1" t="s">
        <v>1126</v>
      </c>
      <c r="D1218" s="1" t="s">
        <v>31</v>
      </c>
      <c r="E1218" s="1">
        <v>17.3</v>
      </c>
      <c r="F1218" s="1" t="s">
        <v>364</v>
      </c>
      <c r="G1218" s="1" t="s">
        <v>70</v>
      </c>
      <c r="H1218" s="1" t="s">
        <v>50</v>
      </c>
      <c r="I1218" s="1" t="s">
        <v>89</v>
      </c>
      <c r="J1218" s="1" t="s">
        <v>90</v>
      </c>
      <c r="K1218" s="1" t="s">
        <v>53</v>
      </c>
      <c r="L1218" s="1" t="s">
        <v>1122</v>
      </c>
      <c r="M1218" s="1">
        <v>598</v>
      </c>
    </row>
    <row r="1219" spans="1:13" ht="15.75" customHeight="1">
      <c r="A1219" s="1">
        <v>1235</v>
      </c>
      <c r="B1219" s="1" t="s">
        <v>86</v>
      </c>
      <c r="C1219" s="1" t="s">
        <v>386</v>
      </c>
      <c r="D1219" s="1" t="s">
        <v>31</v>
      </c>
      <c r="E1219" s="1">
        <v>17.3</v>
      </c>
      <c r="F1219" s="1" t="s">
        <v>364</v>
      </c>
      <c r="G1219" s="1" t="s">
        <v>33</v>
      </c>
      <c r="H1219" s="1" t="s">
        <v>18</v>
      </c>
      <c r="I1219" s="1" t="s">
        <v>89</v>
      </c>
      <c r="J1219" s="1" t="s">
        <v>35</v>
      </c>
      <c r="K1219" s="1" t="s">
        <v>36</v>
      </c>
      <c r="L1219" s="1" t="s">
        <v>149</v>
      </c>
      <c r="M1219" s="1">
        <v>539</v>
      </c>
    </row>
    <row r="1220" spans="1:13" ht="15.75" customHeight="1">
      <c r="A1220" s="1">
        <v>1236</v>
      </c>
      <c r="B1220" s="1" t="s">
        <v>86</v>
      </c>
      <c r="C1220" s="1" t="s">
        <v>761</v>
      </c>
      <c r="D1220" s="1" t="s">
        <v>102</v>
      </c>
      <c r="E1220" s="1">
        <v>15.6</v>
      </c>
      <c r="F1220" s="1" t="s">
        <v>66</v>
      </c>
      <c r="G1220" s="1" t="s">
        <v>624</v>
      </c>
      <c r="H1220" s="1" t="s">
        <v>18</v>
      </c>
      <c r="I1220" s="1" t="s">
        <v>104</v>
      </c>
      <c r="J1220" s="1" t="s">
        <v>734</v>
      </c>
      <c r="K1220" s="1" t="s">
        <v>53</v>
      </c>
      <c r="L1220" s="1" t="s">
        <v>516</v>
      </c>
      <c r="M1220" s="1">
        <v>1272</v>
      </c>
    </row>
    <row r="1221" spans="1:13" ht="15.75" customHeight="1">
      <c r="A1221" s="1">
        <v>1237</v>
      </c>
      <c r="B1221" s="1" t="s">
        <v>46</v>
      </c>
      <c r="C1221" s="1" t="s">
        <v>1127</v>
      </c>
      <c r="D1221" s="1" t="s">
        <v>111</v>
      </c>
      <c r="E1221" s="1">
        <v>14</v>
      </c>
      <c r="F1221" s="1" t="s">
        <v>92</v>
      </c>
      <c r="G1221" s="1" t="s">
        <v>591</v>
      </c>
      <c r="H1221" s="1" t="s">
        <v>18</v>
      </c>
      <c r="I1221" s="1" t="s">
        <v>34</v>
      </c>
      <c r="J1221" s="1" t="s">
        <v>81</v>
      </c>
      <c r="K1221" s="1" t="s">
        <v>53</v>
      </c>
      <c r="L1221" s="1" t="s">
        <v>141</v>
      </c>
      <c r="M1221" s="1">
        <v>1149</v>
      </c>
    </row>
    <row r="1222" spans="1:13" ht="15.75" customHeight="1">
      <c r="A1222" s="1">
        <v>1238</v>
      </c>
      <c r="B1222" s="1" t="s">
        <v>86</v>
      </c>
      <c r="C1222" s="1" t="s">
        <v>1128</v>
      </c>
      <c r="D1222" s="1" t="s">
        <v>31</v>
      </c>
      <c r="E1222" s="1">
        <v>15.6</v>
      </c>
      <c r="F1222" s="1" t="s">
        <v>66</v>
      </c>
      <c r="G1222" s="1" t="s">
        <v>442</v>
      </c>
      <c r="H1222" s="1" t="s">
        <v>18</v>
      </c>
      <c r="I1222" s="1" t="s">
        <v>34</v>
      </c>
      <c r="J1222" s="1" t="s">
        <v>71</v>
      </c>
      <c r="K1222" s="1" t="s">
        <v>53</v>
      </c>
      <c r="L1222" s="1" t="s">
        <v>116</v>
      </c>
      <c r="M1222" s="1">
        <v>1529</v>
      </c>
    </row>
    <row r="1223" spans="1:13" ht="15.75" customHeight="1">
      <c r="A1223" s="1">
        <v>1239</v>
      </c>
      <c r="B1223" s="1" t="s">
        <v>189</v>
      </c>
      <c r="C1223" s="1" t="s">
        <v>1129</v>
      </c>
      <c r="D1223" s="1" t="s">
        <v>102</v>
      </c>
      <c r="E1223" s="1">
        <v>15.6</v>
      </c>
      <c r="F1223" s="1" t="s">
        <v>32</v>
      </c>
      <c r="G1223" s="1" t="s">
        <v>624</v>
      </c>
      <c r="H1223" s="1" t="s">
        <v>18</v>
      </c>
      <c r="I1223" s="1" t="s">
        <v>104</v>
      </c>
      <c r="J1223" s="1" t="s">
        <v>157</v>
      </c>
      <c r="K1223" s="1" t="s">
        <v>53</v>
      </c>
      <c r="L1223" s="1" t="s">
        <v>77</v>
      </c>
      <c r="M1223" s="1">
        <v>1476.11</v>
      </c>
    </row>
    <row r="1224" spans="1:13" ht="15.75" customHeight="1">
      <c r="A1224" s="1">
        <v>1240</v>
      </c>
      <c r="B1224" s="1" t="s">
        <v>29</v>
      </c>
      <c r="C1224" s="1" t="s">
        <v>1130</v>
      </c>
      <c r="D1224" s="1" t="s">
        <v>31</v>
      </c>
      <c r="E1224" s="1">
        <v>15.6</v>
      </c>
      <c r="F1224" s="1" t="s">
        <v>32</v>
      </c>
      <c r="G1224" s="1" t="s">
        <v>497</v>
      </c>
      <c r="H1224" s="1" t="s">
        <v>246</v>
      </c>
      <c r="I1224" s="1" t="s">
        <v>89</v>
      </c>
      <c r="J1224" s="1" t="s">
        <v>121</v>
      </c>
      <c r="K1224" s="1" t="s">
        <v>53</v>
      </c>
      <c r="L1224" s="1" t="s">
        <v>54</v>
      </c>
      <c r="M1224" s="1">
        <v>529</v>
      </c>
    </row>
    <row r="1225" spans="1:13" ht="15.75" customHeight="1">
      <c r="A1225" s="1">
        <v>1241</v>
      </c>
      <c r="B1225" s="1" t="s">
        <v>74</v>
      </c>
      <c r="C1225" s="1" t="s">
        <v>1131</v>
      </c>
      <c r="D1225" s="1" t="s">
        <v>15</v>
      </c>
      <c r="E1225" s="1">
        <v>12.5</v>
      </c>
      <c r="F1225" s="1" t="s">
        <v>112</v>
      </c>
      <c r="G1225" s="1" t="s">
        <v>765</v>
      </c>
      <c r="H1225" s="1" t="s">
        <v>18</v>
      </c>
      <c r="I1225" s="1" t="s">
        <v>34</v>
      </c>
      <c r="J1225" s="1" t="s">
        <v>71</v>
      </c>
      <c r="K1225" s="1" t="s">
        <v>662</v>
      </c>
      <c r="L1225" s="1" t="s">
        <v>269</v>
      </c>
      <c r="M1225" s="1">
        <v>1713.37</v>
      </c>
    </row>
    <row r="1226" spans="1:13" ht="15.75" customHeight="1">
      <c r="A1226" s="1">
        <v>1242</v>
      </c>
      <c r="B1226" s="1" t="s">
        <v>74</v>
      </c>
      <c r="C1226" s="1" t="s">
        <v>1026</v>
      </c>
      <c r="D1226" s="1" t="s">
        <v>111</v>
      </c>
      <c r="E1226" s="1">
        <v>15</v>
      </c>
      <c r="F1226" s="1" t="s">
        <v>112</v>
      </c>
      <c r="G1226" s="1" t="s">
        <v>88</v>
      </c>
      <c r="H1226" s="1" t="s">
        <v>50</v>
      </c>
      <c r="I1226" s="1" t="s">
        <v>51</v>
      </c>
      <c r="J1226" s="1" t="s">
        <v>35</v>
      </c>
      <c r="K1226" s="1" t="s">
        <v>53</v>
      </c>
      <c r="L1226" s="1" t="s">
        <v>418</v>
      </c>
      <c r="M1226" s="1">
        <v>509</v>
      </c>
    </row>
    <row r="1227" spans="1:13" ht="15.75" customHeight="1">
      <c r="A1227" s="1">
        <v>1243</v>
      </c>
      <c r="B1227" s="1" t="s">
        <v>60</v>
      </c>
      <c r="C1227" s="1" t="s">
        <v>1132</v>
      </c>
      <c r="D1227" s="1" t="s">
        <v>31</v>
      </c>
      <c r="E1227" s="1">
        <v>15.6</v>
      </c>
      <c r="F1227" s="1" t="s">
        <v>48</v>
      </c>
      <c r="G1227" s="1" t="s">
        <v>491</v>
      </c>
      <c r="H1227" s="1" t="s">
        <v>50</v>
      </c>
      <c r="I1227" s="1" t="s">
        <v>89</v>
      </c>
      <c r="J1227" s="1" t="s">
        <v>492</v>
      </c>
      <c r="K1227" s="1" t="s">
        <v>53</v>
      </c>
      <c r="L1227" s="1" t="s">
        <v>158</v>
      </c>
      <c r="M1227" s="1">
        <v>309</v>
      </c>
    </row>
    <row r="1228" spans="1:13" ht="15.75" customHeight="1">
      <c r="A1228" s="1">
        <v>1244</v>
      </c>
      <c r="B1228" s="1" t="s">
        <v>74</v>
      </c>
      <c r="C1228" s="1" t="s">
        <v>91</v>
      </c>
      <c r="D1228" s="1" t="s">
        <v>15</v>
      </c>
      <c r="E1228" s="1">
        <v>13.3</v>
      </c>
      <c r="F1228" s="1" t="s">
        <v>262</v>
      </c>
      <c r="G1228" s="1" t="s">
        <v>83</v>
      </c>
      <c r="H1228" s="1" t="s">
        <v>18</v>
      </c>
      <c r="I1228" s="1" t="s">
        <v>34</v>
      </c>
      <c r="J1228" s="1" t="s">
        <v>35</v>
      </c>
      <c r="K1228" s="1" t="s">
        <v>53</v>
      </c>
      <c r="L1228" s="1" t="s">
        <v>345</v>
      </c>
      <c r="M1228" s="1">
        <v>1477</v>
      </c>
    </row>
    <row r="1229" spans="1:13" ht="15.75" customHeight="1">
      <c r="A1229" s="1">
        <v>1245</v>
      </c>
      <c r="B1229" s="1" t="s">
        <v>74</v>
      </c>
      <c r="C1229" s="1" t="s">
        <v>432</v>
      </c>
      <c r="D1229" s="1" t="s">
        <v>31</v>
      </c>
      <c r="E1229" s="1">
        <v>15.6</v>
      </c>
      <c r="F1229" s="1" t="s">
        <v>48</v>
      </c>
      <c r="G1229" s="1" t="s">
        <v>33</v>
      </c>
      <c r="H1229" s="1" t="s">
        <v>50</v>
      </c>
      <c r="I1229" s="1" t="s">
        <v>89</v>
      </c>
      <c r="J1229" s="1" t="s">
        <v>71</v>
      </c>
      <c r="K1229" s="1" t="s">
        <v>147</v>
      </c>
      <c r="L1229" s="1" t="s">
        <v>433</v>
      </c>
      <c r="M1229" s="1">
        <v>521.86</v>
      </c>
    </row>
    <row r="1230" spans="1:13" ht="15.75" customHeight="1">
      <c r="A1230" s="1">
        <v>1246</v>
      </c>
      <c r="B1230" s="1" t="s">
        <v>86</v>
      </c>
      <c r="C1230" s="1" t="s">
        <v>761</v>
      </c>
      <c r="D1230" s="1" t="s">
        <v>102</v>
      </c>
      <c r="E1230" s="1">
        <v>15.6</v>
      </c>
      <c r="F1230" s="1" t="s">
        <v>92</v>
      </c>
      <c r="G1230" s="1" t="s">
        <v>624</v>
      </c>
      <c r="H1230" s="1" t="s">
        <v>40</v>
      </c>
      <c r="I1230" s="1" t="s">
        <v>104</v>
      </c>
      <c r="J1230" s="1" t="s">
        <v>665</v>
      </c>
      <c r="K1230" s="1" t="s">
        <v>53</v>
      </c>
      <c r="L1230" s="1" t="s">
        <v>516</v>
      </c>
      <c r="M1230" s="1">
        <v>1029</v>
      </c>
    </row>
    <row r="1231" spans="1:13" ht="15.75" customHeight="1">
      <c r="A1231" s="1">
        <v>1247</v>
      </c>
      <c r="B1231" s="1" t="s">
        <v>189</v>
      </c>
      <c r="C1231" s="1" t="s">
        <v>1133</v>
      </c>
      <c r="D1231" s="1" t="s">
        <v>102</v>
      </c>
      <c r="E1231" s="1">
        <v>15.6</v>
      </c>
      <c r="F1231" s="1" t="s">
        <v>32</v>
      </c>
      <c r="G1231" s="1" t="s">
        <v>155</v>
      </c>
      <c r="H1231" s="1" t="s">
        <v>18</v>
      </c>
      <c r="I1231" s="1" t="s">
        <v>104</v>
      </c>
      <c r="J1231" s="1" t="s">
        <v>105</v>
      </c>
      <c r="K1231" s="1" t="s">
        <v>53</v>
      </c>
      <c r="L1231" s="1" t="s">
        <v>77</v>
      </c>
      <c r="M1231" s="1">
        <v>1149</v>
      </c>
    </row>
    <row r="1232" spans="1:13" ht="15.75" customHeight="1">
      <c r="A1232" s="1">
        <v>1248</v>
      </c>
      <c r="B1232" s="1" t="s">
        <v>86</v>
      </c>
      <c r="C1232" s="1" t="s">
        <v>265</v>
      </c>
      <c r="D1232" s="1" t="s">
        <v>95</v>
      </c>
      <c r="E1232" s="1">
        <v>12.5</v>
      </c>
      <c r="F1232" s="1" t="s">
        <v>92</v>
      </c>
      <c r="G1232" s="1" t="s">
        <v>1084</v>
      </c>
      <c r="H1232" s="1" t="s">
        <v>40</v>
      </c>
      <c r="I1232" s="1" t="s">
        <v>41</v>
      </c>
      <c r="J1232" s="1" t="s">
        <v>71</v>
      </c>
      <c r="K1232" s="1" t="s">
        <v>53</v>
      </c>
      <c r="L1232" s="1" t="s">
        <v>64</v>
      </c>
      <c r="M1232" s="1">
        <v>1650</v>
      </c>
    </row>
    <row r="1233" spans="1:13" ht="15.75" customHeight="1">
      <c r="A1233" s="1">
        <v>1249</v>
      </c>
      <c r="B1233" s="1" t="s">
        <v>365</v>
      </c>
      <c r="C1233" s="1" t="s">
        <v>366</v>
      </c>
      <c r="D1233" s="1" t="s">
        <v>102</v>
      </c>
      <c r="E1233" s="1">
        <v>14</v>
      </c>
      <c r="F1233" s="1" t="s">
        <v>32</v>
      </c>
      <c r="G1233" s="1" t="s">
        <v>155</v>
      </c>
      <c r="H1233" s="1" t="s">
        <v>40</v>
      </c>
      <c r="I1233" s="1" t="s">
        <v>359</v>
      </c>
      <c r="J1233" s="1" t="s">
        <v>157</v>
      </c>
      <c r="K1233" s="1" t="s">
        <v>53</v>
      </c>
      <c r="L1233" s="1" t="s">
        <v>350</v>
      </c>
      <c r="M1233" s="1">
        <v>3499</v>
      </c>
    </row>
    <row r="1234" spans="1:13" ht="15.75" customHeight="1">
      <c r="A1234" s="1">
        <v>1250</v>
      </c>
      <c r="B1234" s="1" t="s">
        <v>74</v>
      </c>
      <c r="C1234" s="1" t="s">
        <v>75</v>
      </c>
      <c r="D1234" s="1" t="s">
        <v>31</v>
      </c>
      <c r="E1234" s="1">
        <v>15.6</v>
      </c>
      <c r="F1234" s="1" t="s">
        <v>382</v>
      </c>
      <c r="G1234" s="1" t="s">
        <v>88</v>
      </c>
      <c r="H1234" s="1" t="s">
        <v>18</v>
      </c>
      <c r="I1234" s="1" t="s">
        <v>89</v>
      </c>
      <c r="J1234" s="1" t="s">
        <v>35</v>
      </c>
      <c r="K1234" s="1" t="s">
        <v>53</v>
      </c>
      <c r="L1234" s="1" t="s">
        <v>116</v>
      </c>
      <c r="M1234" s="1">
        <v>469.01</v>
      </c>
    </row>
    <row r="1235" spans="1:13" ht="15.75" customHeight="1">
      <c r="A1235" s="1">
        <v>1251</v>
      </c>
      <c r="B1235" s="1" t="s">
        <v>189</v>
      </c>
      <c r="C1235" s="1" t="s">
        <v>1134</v>
      </c>
      <c r="D1235" s="1" t="s">
        <v>102</v>
      </c>
      <c r="E1235" s="1">
        <v>17.3</v>
      </c>
      <c r="F1235" s="1" t="s">
        <v>32</v>
      </c>
      <c r="G1235" s="1" t="s">
        <v>155</v>
      </c>
      <c r="H1235" s="1" t="s">
        <v>40</v>
      </c>
      <c r="I1235" s="1" t="s">
        <v>156</v>
      </c>
      <c r="J1235" s="1" t="s">
        <v>157</v>
      </c>
      <c r="K1235" s="1" t="s">
        <v>53</v>
      </c>
      <c r="L1235" s="1" t="s">
        <v>217</v>
      </c>
      <c r="M1235" s="1">
        <v>1598</v>
      </c>
    </row>
    <row r="1236" spans="1:13" ht="15.75" customHeight="1">
      <c r="A1236" s="1">
        <v>1252</v>
      </c>
      <c r="B1236" s="1" t="s">
        <v>13</v>
      </c>
      <c r="C1236" s="1" t="s">
        <v>117</v>
      </c>
      <c r="D1236" s="1" t="s">
        <v>15</v>
      </c>
      <c r="E1236" s="1">
        <v>11.6</v>
      </c>
      <c r="F1236" s="1" t="s">
        <v>48</v>
      </c>
      <c r="G1236" s="1" t="s">
        <v>118</v>
      </c>
      <c r="H1236" s="1" t="s">
        <v>50</v>
      </c>
      <c r="I1236" s="1" t="s">
        <v>56</v>
      </c>
      <c r="J1236" s="1" t="s">
        <v>27</v>
      </c>
      <c r="K1236" s="1" t="s">
        <v>58</v>
      </c>
      <c r="L1236" s="1" t="s">
        <v>945</v>
      </c>
      <c r="M1236" s="1">
        <v>959</v>
      </c>
    </row>
    <row r="1237" spans="1:13" ht="15.75" customHeight="1">
      <c r="A1237" s="1">
        <v>1253</v>
      </c>
      <c r="B1237" s="1" t="s">
        <v>29</v>
      </c>
      <c r="C1237" s="1" t="s">
        <v>1135</v>
      </c>
      <c r="D1237" s="1" t="s">
        <v>31</v>
      </c>
      <c r="E1237" s="1">
        <v>15.6</v>
      </c>
      <c r="F1237" s="1" t="s">
        <v>32</v>
      </c>
      <c r="G1237" s="1" t="s">
        <v>70</v>
      </c>
      <c r="H1237" s="1" t="s">
        <v>50</v>
      </c>
      <c r="I1237" s="1" t="s">
        <v>89</v>
      </c>
      <c r="J1237" s="1" t="s">
        <v>71</v>
      </c>
      <c r="K1237" s="1" t="s">
        <v>53</v>
      </c>
      <c r="L1237" s="1" t="s">
        <v>54</v>
      </c>
      <c r="M1237" s="1">
        <v>478</v>
      </c>
    </row>
    <row r="1238" spans="1:13" ht="15.75" customHeight="1">
      <c r="A1238" s="1">
        <v>1254</v>
      </c>
      <c r="B1238" s="1" t="s">
        <v>29</v>
      </c>
      <c r="C1238" s="1" t="s">
        <v>312</v>
      </c>
      <c r="D1238" s="1" t="s">
        <v>15</v>
      </c>
      <c r="E1238" s="1">
        <v>14</v>
      </c>
      <c r="F1238" s="1" t="s">
        <v>593</v>
      </c>
      <c r="G1238" s="1" t="s">
        <v>389</v>
      </c>
      <c r="H1238" s="1" t="s">
        <v>18</v>
      </c>
      <c r="I1238" s="1" t="s">
        <v>34</v>
      </c>
      <c r="J1238" s="1" t="s">
        <v>71</v>
      </c>
      <c r="K1238" s="1" t="s">
        <v>662</v>
      </c>
      <c r="L1238" s="1" t="s">
        <v>911</v>
      </c>
      <c r="M1238" s="1">
        <v>2198.19</v>
      </c>
    </row>
    <row r="1239" spans="1:13" ht="15.75" customHeight="1">
      <c r="A1239" s="1">
        <v>1255</v>
      </c>
      <c r="B1239" s="1" t="s">
        <v>74</v>
      </c>
      <c r="C1239" s="1" t="s">
        <v>1065</v>
      </c>
      <c r="D1239" s="1" t="s">
        <v>31</v>
      </c>
      <c r="E1239" s="1">
        <v>15.6</v>
      </c>
      <c r="F1239" s="1" t="s">
        <v>48</v>
      </c>
      <c r="G1239" s="1" t="s">
        <v>295</v>
      </c>
      <c r="H1239" s="1" t="s">
        <v>50</v>
      </c>
      <c r="I1239" s="1" t="s">
        <v>51</v>
      </c>
      <c r="J1239" s="1" t="s">
        <v>71</v>
      </c>
      <c r="K1239" s="1" t="s">
        <v>662</v>
      </c>
      <c r="L1239" s="1" t="s">
        <v>434</v>
      </c>
      <c r="M1239" s="1">
        <v>737</v>
      </c>
    </row>
    <row r="1240" spans="1:13" ht="15.75" customHeight="1">
      <c r="A1240" s="1">
        <v>1256</v>
      </c>
      <c r="B1240" s="1" t="s">
        <v>189</v>
      </c>
      <c r="C1240" s="1" t="s">
        <v>1136</v>
      </c>
      <c r="D1240" s="1" t="s">
        <v>102</v>
      </c>
      <c r="E1240" s="1">
        <v>15.6</v>
      </c>
      <c r="F1240" s="1" t="s">
        <v>32</v>
      </c>
      <c r="G1240" s="1" t="s">
        <v>624</v>
      </c>
      <c r="H1240" s="1" t="s">
        <v>18</v>
      </c>
      <c r="I1240" s="1" t="s">
        <v>104</v>
      </c>
      <c r="J1240" s="1" t="s">
        <v>665</v>
      </c>
      <c r="K1240" s="1" t="s">
        <v>53</v>
      </c>
      <c r="L1240" s="1" t="s">
        <v>116</v>
      </c>
      <c r="M1240" s="1">
        <v>1169</v>
      </c>
    </row>
    <row r="1241" spans="1:13" ht="15.75" customHeight="1">
      <c r="A1241" s="1">
        <v>1257</v>
      </c>
      <c r="B1241" s="1" t="s">
        <v>86</v>
      </c>
      <c r="C1241" s="1" t="s">
        <v>484</v>
      </c>
      <c r="D1241" s="1" t="s">
        <v>31</v>
      </c>
      <c r="E1241" s="1">
        <v>13.3</v>
      </c>
      <c r="F1241" s="1" t="s">
        <v>66</v>
      </c>
      <c r="G1241" s="1" t="s">
        <v>83</v>
      </c>
      <c r="H1241" s="1" t="s">
        <v>40</v>
      </c>
      <c r="I1241" s="1" t="s">
        <v>41</v>
      </c>
      <c r="J1241" s="1" t="s">
        <v>35</v>
      </c>
      <c r="K1241" s="1" t="s">
        <v>53</v>
      </c>
      <c r="L1241" s="1" t="s">
        <v>199</v>
      </c>
      <c r="M1241" s="1">
        <v>1499</v>
      </c>
    </row>
    <row r="1242" spans="1:13" ht="15.75" customHeight="1">
      <c r="A1242" s="1">
        <v>1258</v>
      </c>
      <c r="B1242" s="1" t="s">
        <v>86</v>
      </c>
      <c r="C1242" s="1" t="s">
        <v>510</v>
      </c>
      <c r="D1242" s="1" t="s">
        <v>31</v>
      </c>
      <c r="E1242" s="1">
        <v>15.6</v>
      </c>
      <c r="F1242" s="1" t="s">
        <v>32</v>
      </c>
      <c r="G1242" s="1" t="s">
        <v>511</v>
      </c>
      <c r="H1242" s="1" t="s">
        <v>246</v>
      </c>
      <c r="I1242" s="1" t="s">
        <v>34</v>
      </c>
      <c r="J1242" s="1" t="s">
        <v>121</v>
      </c>
      <c r="K1242" s="1" t="s">
        <v>53</v>
      </c>
      <c r="L1242" s="1" t="s">
        <v>77</v>
      </c>
      <c r="M1242" s="1">
        <v>597.57000000000005</v>
      </c>
    </row>
    <row r="1243" spans="1:13" ht="15.75" customHeight="1">
      <c r="A1243" s="1">
        <v>1259</v>
      </c>
      <c r="B1243" s="1" t="s">
        <v>60</v>
      </c>
      <c r="C1243" s="1" t="s">
        <v>1137</v>
      </c>
      <c r="D1243" s="1" t="s">
        <v>15</v>
      </c>
      <c r="E1243" s="1">
        <v>13.3</v>
      </c>
      <c r="F1243" s="1" t="s">
        <v>32</v>
      </c>
      <c r="G1243" s="1" t="s">
        <v>389</v>
      </c>
      <c r="H1243" s="1" t="s">
        <v>18</v>
      </c>
      <c r="I1243" s="1" t="s">
        <v>34</v>
      </c>
      <c r="J1243" s="1" t="s">
        <v>71</v>
      </c>
      <c r="K1243" s="1" t="s">
        <v>53</v>
      </c>
      <c r="L1243" s="1" t="s">
        <v>488</v>
      </c>
      <c r="M1243" s="1">
        <v>1280</v>
      </c>
    </row>
    <row r="1244" spans="1:13" ht="15.75" customHeight="1">
      <c r="A1244" s="1">
        <v>1260</v>
      </c>
      <c r="B1244" s="1" t="s">
        <v>46</v>
      </c>
      <c r="C1244" s="1" t="s">
        <v>600</v>
      </c>
      <c r="D1244" s="1" t="s">
        <v>31</v>
      </c>
      <c r="E1244" s="1">
        <v>15.6</v>
      </c>
      <c r="F1244" s="1" t="s">
        <v>48</v>
      </c>
      <c r="G1244" s="1" t="s">
        <v>446</v>
      </c>
      <c r="H1244" s="1" t="s">
        <v>50</v>
      </c>
      <c r="I1244" s="1" t="s">
        <v>51</v>
      </c>
      <c r="J1244" s="1" t="s">
        <v>71</v>
      </c>
      <c r="K1244" s="1" t="s">
        <v>147</v>
      </c>
      <c r="L1244" s="1" t="s">
        <v>183</v>
      </c>
      <c r="M1244" s="1">
        <v>361.8</v>
      </c>
    </row>
    <row r="1245" spans="1:13" ht="15.75" customHeight="1">
      <c r="A1245" s="1">
        <v>1261</v>
      </c>
      <c r="B1245" s="1" t="s">
        <v>74</v>
      </c>
      <c r="C1245" s="1" t="s">
        <v>1138</v>
      </c>
      <c r="D1245" s="1" t="s">
        <v>111</v>
      </c>
      <c r="E1245" s="1">
        <v>17.3</v>
      </c>
      <c r="F1245" s="1" t="s">
        <v>112</v>
      </c>
      <c r="G1245" s="1" t="s">
        <v>83</v>
      </c>
      <c r="H1245" s="1" t="s">
        <v>40</v>
      </c>
      <c r="I1245" s="1" t="s">
        <v>41</v>
      </c>
      <c r="J1245" s="1" t="s">
        <v>90</v>
      </c>
      <c r="K1245" s="1" t="s">
        <v>53</v>
      </c>
      <c r="L1245" s="1" t="s">
        <v>164</v>
      </c>
      <c r="M1245" s="1">
        <v>1799</v>
      </c>
    </row>
    <row r="1246" spans="1:13" ht="15.75" customHeight="1">
      <c r="A1246" s="1">
        <v>1262</v>
      </c>
      <c r="B1246" s="1" t="s">
        <v>29</v>
      </c>
      <c r="C1246" s="1" t="s">
        <v>312</v>
      </c>
      <c r="D1246" s="1" t="s">
        <v>31</v>
      </c>
      <c r="E1246" s="1">
        <v>14</v>
      </c>
      <c r="F1246" s="1" t="s">
        <v>32</v>
      </c>
      <c r="G1246" s="1" t="s">
        <v>295</v>
      </c>
      <c r="H1246" s="1" t="s">
        <v>50</v>
      </c>
      <c r="I1246" s="1" t="s">
        <v>34</v>
      </c>
      <c r="J1246" s="1" t="s">
        <v>71</v>
      </c>
      <c r="K1246" s="1" t="s">
        <v>662</v>
      </c>
      <c r="L1246" s="1" t="s">
        <v>911</v>
      </c>
      <c r="M1246" s="1">
        <v>1099.99</v>
      </c>
    </row>
    <row r="1247" spans="1:13" ht="15.75" customHeight="1">
      <c r="A1247" s="1">
        <v>1263</v>
      </c>
      <c r="B1247" s="1" t="s">
        <v>60</v>
      </c>
      <c r="C1247" s="1" t="s">
        <v>1139</v>
      </c>
      <c r="D1247" s="1" t="s">
        <v>102</v>
      </c>
      <c r="E1247" s="1">
        <v>15.6</v>
      </c>
      <c r="F1247" s="1" t="s">
        <v>66</v>
      </c>
      <c r="G1247" s="1" t="s">
        <v>155</v>
      </c>
      <c r="H1247" s="1" t="s">
        <v>40</v>
      </c>
      <c r="I1247" s="1" t="s">
        <v>156</v>
      </c>
      <c r="J1247" s="1" t="s">
        <v>201</v>
      </c>
      <c r="K1247" s="1" t="s">
        <v>53</v>
      </c>
      <c r="L1247" s="1" t="s">
        <v>106</v>
      </c>
      <c r="M1247" s="1">
        <v>1600</v>
      </c>
    </row>
    <row r="1248" spans="1:13" ht="15.75" customHeight="1">
      <c r="A1248" s="1">
        <v>1264</v>
      </c>
      <c r="B1248" s="1" t="s">
        <v>74</v>
      </c>
      <c r="C1248" s="1" t="s">
        <v>575</v>
      </c>
      <c r="D1248" s="1" t="s">
        <v>31</v>
      </c>
      <c r="E1248" s="1">
        <v>14</v>
      </c>
      <c r="F1248" s="1" t="s">
        <v>48</v>
      </c>
      <c r="G1248" s="1" t="s">
        <v>33</v>
      </c>
      <c r="H1248" s="1" t="s">
        <v>50</v>
      </c>
      <c r="I1248" s="1" t="s">
        <v>51</v>
      </c>
      <c r="J1248" s="1" t="s">
        <v>35</v>
      </c>
      <c r="K1248" s="1" t="s">
        <v>53</v>
      </c>
      <c r="L1248" s="1" t="s">
        <v>69</v>
      </c>
      <c r="M1248" s="1">
        <v>875</v>
      </c>
    </row>
    <row r="1249" spans="1:13" ht="15.75" customHeight="1">
      <c r="A1249" s="1">
        <v>1265</v>
      </c>
      <c r="B1249" s="1" t="s">
        <v>60</v>
      </c>
      <c r="C1249" s="1" t="s">
        <v>1140</v>
      </c>
      <c r="D1249" s="1" t="s">
        <v>102</v>
      </c>
      <c r="E1249" s="1">
        <v>15.6</v>
      </c>
      <c r="F1249" s="1" t="s">
        <v>66</v>
      </c>
      <c r="G1249" s="1" t="s">
        <v>624</v>
      </c>
      <c r="H1249" s="1" t="s">
        <v>40</v>
      </c>
      <c r="I1249" s="1" t="s">
        <v>156</v>
      </c>
      <c r="J1249" s="1" t="s">
        <v>192</v>
      </c>
      <c r="K1249" s="1" t="s">
        <v>53</v>
      </c>
      <c r="L1249" s="1" t="s">
        <v>1141</v>
      </c>
      <c r="M1249" s="1">
        <v>2325</v>
      </c>
    </row>
    <row r="1250" spans="1:13" ht="15.75" customHeight="1">
      <c r="A1250" s="1">
        <v>1266</v>
      </c>
      <c r="B1250" s="1" t="s">
        <v>86</v>
      </c>
      <c r="C1250" s="1" t="s">
        <v>1142</v>
      </c>
      <c r="D1250" s="1" t="s">
        <v>31</v>
      </c>
      <c r="E1250" s="1">
        <v>15.6</v>
      </c>
      <c r="F1250" s="1" t="s">
        <v>66</v>
      </c>
      <c r="G1250" s="1" t="s">
        <v>33</v>
      </c>
      <c r="H1250" s="1" t="s">
        <v>18</v>
      </c>
      <c r="I1250" s="1" t="s">
        <v>34</v>
      </c>
      <c r="J1250" s="1" t="s">
        <v>35</v>
      </c>
      <c r="K1250" s="1" t="s">
        <v>36</v>
      </c>
      <c r="L1250" s="1" t="s">
        <v>116</v>
      </c>
      <c r="M1250" s="1">
        <v>573</v>
      </c>
    </row>
    <row r="1251" spans="1:13" ht="15.75" customHeight="1">
      <c r="A1251" s="1">
        <v>1267</v>
      </c>
      <c r="B1251" s="1" t="s">
        <v>74</v>
      </c>
      <c r="C1251" s="1" t="s">
        <v>91</v>
      </c>
      <c r="D1251" s="1" t="s">
        <v>111</v>
      </c>
      <c r="E1251" s="1">
        <v>13.3</v>
      </c>
      <c r="F1251" s="1" t="s">
        <v>262</v>
      </c>
      <c r="G1251" s="1" t="s">
        <v>355</v>
      </c>
      <c r="H1251" s="1" t="s">
        <v>18</v>
      </c>
      <c r="I1251" s="1" t="s">
        <v>34</v>
      </c>
      <c r="J1251" s="1" t="s">
        <v>81</v>
      </c>
      <c r="K1251" s="1" t="s">
        <v>53</v>
      </c>
      <c r="L1251" s="1" t="s">
        <v>704</v>
      </c>
      <c r="M1251" s="1">
        <v>1813</v>
      </c>
    </row>
    <row r="1252" spans="1:13" ht="15.75" customHeight="1">
      <c r="A1252" s="1">
        <v>1268</v>
      </c>
      <c r="B1252" s="1" t="s">
        <v>74</v>
      </c>
      <c r="C1252" s="1" t="s">
        <v>509</v>
      </c>
      <c r="D1252" s="1" t="s">
        <v>31</v>
      </c>
      <c r="E1252" s="1">
        <v>15.6</v>
      </c>
      <c r="F1252" s="1" t="s">
        <v>48</v>
      </c>
      <c r="G1252" s="1" t="s">
        <v>491</v>
      </c>
      <c r="H1252" s="1" t="s">
        <v>50</v>
      </c>
      <c r="I1252" s="1" t="s">
        <v>51</v>
      </c>
      <c r="J1252" s="1" t="s">
        <v>132</v>
      </c>
      <c r="K1252" s="1" t="s">
        <v>147</v>
      </c>
      <c r="L1252" s="1" t="s">
        <v>77</v>
      </c>
      <c r="M1252" s="1">
        <v>324</v>
      </c>
    </row>
    <row r="1253" spans="1:13" ht="15.75" customHeight="1">
      <c r="A1253" s="1">
        <v>1269</v>
      </c>
      <c r="B1253" s="1" t="s">
        <v>29</v>
      </c>
      <c r="C1253" s="1" t="s">
        <v>107</v>
      </c>
      <c r="D1253" s="1" t="s">
        <v>31</v>
      </c>
      <c r="E1253" s="1">
        <v>15.6</v>
      </c>
      <c r="F1253" s="1" t="s">
        <v>48</v>
      </c>
      <c r="G1253" s="1" t="s">
        <v>138</v>
      </c>
      <c r="H1253" s="1" t="s">
        <v>50</v>
      </c>
      <c r="I1253" s="1" t="s">
        <v>51</v>
      </c>
      <c r="J1253" s="1" t="s">
        <v>180</v>
      </c>
      <c r="K1253" s="1" t="s">
        <v>53</v>
      </c>
      <c r="L1253" s="1" t="s">
        <v>37</v>
      </c>
      <c r="M1253" s="1">
        <v>399</v>
      </c>
    </row>
    <row r="1254" spans="1:13" ht="15.75" customHeight="1">
      <c r="A1254" s="1">
        <v>1270</v>
      </c>
      <c r="B1254" s="1" t="s">
        <v>86</v>
      </c>
      <c r="C1254" s="1" t="s">
        <v>1095</v>
      </c>
      <c r="D1254" s="1" t="s">
        <v>31</v>
      </c>
      <c r="E1254" s="1">
        <v>15.6</v>
      </c>
      <c r="F1254" s="1" t="s">
        <v>32</v>
      </c>
      <c r="G1254" s="1" t="s">
        <v>627</v>
      </c>
      <c r="H1254" s="1" t="s">
        <v>246</v>
      </c>
      <c r="I1254" s="1" t="s">
        <v>19</v>
      </c>
      <c r="J1254" s="1" t="s">
        <v>174</v>
      </c>
      <c r="K1254" s="1" t="s">
        <v>53</v>
      </c>
      <c r="L1254" s="1" t="s">
        <v>183</v>
      </c>
      <c r="M1254" s="1">
        <v>569</v>
      </c>
    </row>
    <row r="1255" spans="1:13" ht="15.75" customHeight="1">
      <c r="A1255" s="1">
        <v>1271</v>
      </c>
      <c r="B1255" s="1" t="s">
        <v>86</v>
      </c>
      <c r="C1255" s="1" t="s">
        <v>1143</v>
      </c>
      <c r="D1255" s="1" t="s">
        <v>31</v>
      </c>
      <c r="E1255" s="1">
        <v>14</v>
      </c>
      <c r="F1255" s="1" t="s">
        <v>66</v>
      </c>
      <c r="G1255" s="1" t="s">
        <v>295</v>
      </c>
      <c r="H1255" s="1" t="s">
        <v>18</v>
      </c>
      <c r="I1255" s="1" t="s">
        <v>34</v>
      </c>
      <c r="J1255" s="1" t="s">
        <v>71</v>
      </c>
      <c r="K1255" s="1" t="s">
        <v>53</v>
      </c>
      <c r="L1255" s="1" t="s">
        <v>207</v>
      </c>
      <c r="M1255" s="1">
        <v>1072</v>
      </c>
    </row>
    <row r="1256" spans="1:13" ht="15.75" customHeight="1">
      <c r="A1256" s="1">
        <v>1272</v>
      </c>
      <c r="B1256" s="1" t="s">
        <v>74</v>
      </c>
      <c r="C1256" s="1" t="s">
        <v>509</v>
      </c>
      <c r="D1256" s="1" t="s">
        <v>31</v>
      </c>
      <c r="E1256" s="1">
        <v>15.6</v>
      </c>
      <c r="F1256" s="1" t="s">
        <v>48</v>
      </c>
      <c r="G1256" s="1" t="s">
        <v>1053</v>
      </c>
      <c r="H1256" s="1" t="s">
        <v>50</v>
      </c>
      <c r="I1256" s="1" t="s">
        <v>51</v>
      </c>
      <c r="J1256" s="1" t="s">
        <v>132</v>
      </c>
      <c r="K1256" s="1" t="s">
        <v>53</v>
      </c>
      <c r="L1256" s="1" t="s">
        <v>77</v>
      </c>
      <c r="M1256" s="1">
        <v>443.99</v>
      </c>
    </row>
    <row r="1257" spans="1:13" ht="15.75" customHeight="1">
      <c r="A1257" s="1">
        <v>1273</v>
      </c>
      <c r="B1257" s="1" t="s">
        <v>60</v>
      </c>
      <c r="C1257" s="1" t="s">
        <v>1144</v>
      </c>
      <c r="D1257" s="1" t="s">
        <v>31</v>
      </c>
      <c r="E1257" s="1">
        <v>15.6</v>
      </c>
      <c r="F1257" s="1" t="s">
        <v>48</v>
      </c>
      <c r="G1257" s="1" t="s">
        <v>143</v>
      </c>
      <c r="H1257" s="1" t="s">
        <v>50</v>
      </c>
      <c r="I1257" s="1" t="s">
        <v>89</v>
      </c>
      <c r="J1257" s="1" t="s">
        <v>144</v>
      </c>
      <c r="K1257" s="1" t="s">
        <v>53</v>
      </c>
      <c r="L1257" s="1" t="s">
        <v>153</v>
      </c>
      <c r="M1257" s="1">
        <v>339</v>
      </c>
    </row>
    <row r="1258" spans="1:13" ht="15.75" customHeight="1">
      <c r="A1258" s="1">
        <v>1274</v>
      </c>
      <c r="B1258" s="1" t="s">
        <v>60</v>
      </c>
      <c r="C1258" s="1" t="s">
        <v>1145</v>
      </c>
      <c r="D1258" s="1" t="s">
        <v>102</v>
      </c>
      <c r="E1258" s="1">
        <v>17.3</v>
      </c>
      <c r="F1258" s="1" t="s">
        <v>66</v>
      </c>
      <c r="G1258" s="1" t="s">
        <v>624</v>
      </c>
      <c r="H1258" s="1" t="s">
        <v>40</v>
      </c>
      <c r="I1258" s="1" t="s">
        <v>104</v>
      </c>
      <c r="J1258" s="1" t="s">
        <v>727</v>
      </c>
      <c r="K1258" s="1" t="s">
        <v>53</v>
      </c>
      <c r="L1258" s="1" t="s">
        <v>1146</v>
      </c>
      <c r="M1258" s="1">
        <v>1900</v>
      </c>
    </row>
    <row r="1259" spans="1:13" ht="15.75" customHeight="1">
      <c r="A1259" s="1">
        <v>1275</v>
      </c>
      <c r="B1259" s="1" t="s">
        <v>74</v>
      </c>
      <c r="C1259" s="1" t="s">
        <v>432</v>
      </c>
      <c r="D1259" s="1" t="s">
        <v>31</v>
      </c>
      <c r="E1259" s="1">
        <v>15.6</v>
      </c>
      <c r="F1259" s="1" t="s">
        <v>48</v>
      </c>
      <c r="G1259" s="1" t="s">
        <v>70</v>
      </c>
      <c r="H1259" s="1" t="s">
        <v>50</v>
      </c>
      <c r="I1259" s="1" t="s">
        <v>51</v>
      </c>
      <c r="J1259" s="1" t="s">
        <v>71</v>
      </c>
      <c r="K1259" s="1" t="s">
        <v>53</v>
      </c>
      <c r="L1259" s="1" t="s">
        <v>722</v>
      </c>
      <c r="M1259" s="1">
        <v>490</v>
      </c>
    </row>
    <row r="1260" spans="1:13" ht="15.75" customHeight="1">
      <c r="A1260" s="1">
        <v>1276</v>
      </c>
      <c r="B1260" s="1" t="s">
        <v>86</v>
      </c>
      <c r="C1260" s="1" t="s">
        <v>1147</v>
      </c>
      <c r="D1260" s="1" t="s">
        <v>31</v>
      </c>
      <c r="E1260" s="1">
        <v>15.6</v>
      </c>
      <c r="F1260" s="1" t="s">
        <v>32</v>
      </c>
      <c r="G1260" s="1" t="s">
        <v>389</v>
      </c>
      <c r="H1260" s="1" t="s">
        <v>18</v>
      </c>
      <c r="I1260" s="1" t="s">
        <v>309</v>
      </c>
      <c r="J1260" s="1" t="s">
        <v>1042</v>
      </c>
      <c r="K1260" s="1" t="s">
        <v>662</v>
      </c>
      <c r="L1260" s="1" t="s">
        <v>826</v>
      </c>
      <c r="M1260" s="1">
        <v>895</v>
      </c>
    </row>
    <row r="1261" spans="1:13" ht="15.75" customHeight="1">
      <c r="A1261" s="1">
        <v>1277</v>
      </c>
      <c r="B1261" s="1" t="s">
        <v>189</v>
      </c>
      <c r="C1261" s="1" t="s">
        <v>1148</v>
      </c>
      <c r="D1261" s="1" t="s">
        <v>102</v>
      </c>
      <c r="E1261" s="1">
        <v>15.6</v>
      </c>
      <c r="F1261" s="1" t="s">
        <v>32</v>
      </c>
      <c r="G1261" s="1" t="s">
        <v>624</v>
      </c>
      <c r="H1261" s="1" t="s">
        <v>18</v>
      </c>
      <c r="I1261" s="1" t="s">
        <v>104</v>
      </c>
      <c r="J1261" s="1" t="s">
        <v>665</v>
      </c>
      <c r="K1261" s="1" t="s">
        <v>53</v>
      </c>
      <c r="L1261" s="1" t="s">
        <v>183</v>
      </c>
      <c r="M1261" s="1">
        <v>1229</v>
      </c>
    </row>
    <row r="1262" spans="1:13" ht="15.75" customHeight="1">
      <c r="A1262" s="1">
        <v>1278</v>
      </c>
      <c r="B1262" s="1" t="s">
        <v>86</v>
      </c>
      <c r="C1262" s="1" t="s">
        <v>1149</v>
      </c>
      <c r="D1262" s="1" t="s">
        <v>111</v>
      </c>
      <c r="E1262" s="1">
        <v>14</v>
      </c>
      <c r="F1262" s="1" t="s">
        <v>112</v>
      </c>
      <c r="G1262" s="1" t="s">
        <v>295</v>
      </c>
      <c r="H1262" s="1" t="s">
        <v>50</v>
      </c>
      <c r="I1262" s="1" t="s">
        <v>19</v>
      </c>
      <c r="J1262" s="1" t="s">
        <v>71</v>
      </c>
      <c r="K1262" s="1" t="s">
        <v>53</v>
      </c>
      <c r="L1262" s="1" t="s">
        <v>202</v>
      </c>
      <c r="M1262" s="1">
        <v>833.01</v>
      </c>
    </row>
    <row r="1263" spans="1:13" ht="15.75" customHeight="1">
      <c r="A1263" s="1">
        <v>1279</v>
      </c>
      <c r="B1263" s="1" t="s">
        <v>60</v>
      </c>
      <c r="C1263" s="1" t="s">
        <v>1150</v>
      </c>
      <c r="D1263" s="1" t="s">
        <v>15</v>
      </c>
      <c r="E1263" s="1">
        <v>13.3</v>
      </c>
      <c r="F1263" s="1" t="s">
        <v>66</v>
      </c>
      <c r="G1263" s="1" t="s">
        <v>1151</v>
      </c>
      <c r="H1263" s="1" t="s">
        <v>18</v>
      </c>
      <c r="I1263" s="1" t="s">
        <v>41</v>
      </c>
      <c r="J1263" s="1" t="s">
        <v>300</v>
      </c>
      <c r="K1263" s="1" t="s">
        <v>53</v>
      </c>
      <c r="L1263" s="1" t="s">
        <v>141</v>
      </c>
      <c r="M1263" s="1">
        <v>729</v>
      </c>
    </row>
    <row r="1264" spans="1:13" ht="15.75" customHeight="1">
      <c r="A1264" s="1">
        <v>1280</v>
      </c>
      <c r="B1264" s="1" t="s">
        <v>74</v>
      </c>
      <c r="C1264" s="1" t="s">
        <v>75</v>
      </c>
      <c r="D1264" s="1" t="s">
        <v>31</v>
      </c>
      <c r="E1264" s="1">
        <v>15.6</v>
      </c>
      <c r="F1264" s="1" t="s">
        <v>48</v>
      </c>
      <c r="G1264" s="1" t="s">
        <v>88</v>
      </c>
      <c r="H1264" s="1" t="s">
        <v>246</v>
      </c>
      <c r="I1264" s="1" t="s">
        <v>89</v>
      </c>
      <c r="J1264" s="1" t="s">
        <v>35</v>
      </c>
      <c r="K1264" s="1" t="s">
        <v>53</v>
      </c>
      <c r="L1264" s="1" t="s">
        <v>116</v>
      </c>
      <c r="M1264" s="1">
        <v>459</v>
      </c>
    </row>
    <row r="1265" spans="1:13" ht="15.75" customHeight="1">
      <c r="A1265" s="1">
        <v>1281</v>
      </c>
      <c r="B1265" s="1" t="s">
        <v>46</v>
      </c>
      <c r="C1265" s="1" t="s">
        <v>1152</v>
      </c>
      <c r="D1265" s="1" t="s">
        <v>31</v>
      </c>
      <c r="E1265" s="1">
        <v>15.6</v>
      </c>
      <c r="F1265" s="1" t="s">
        <v>48</v>
      </c>
      <c r="G1265" s="1" t="s">
        <v>204</v>
      </c>
      <c r="H1265" s="1" t="s">
        <v>50</v>
      </c>
      <c r="I1265" s="1" t="s">
        <v>51</v>
      </c>
      <c r="J1265" s="1" t="s">
        <v>99</v>
      </c>
      <c r="K1265" s="1" t="s">
        <v>147</v>
      </c>
      <c r="L1265" s="1" t="s">
        <v>183</v>
      </c>
      <c r="M1265" s="1">
        <v>289</v>
      </c>
    </row>
    <row r="1266" spans="1:13" ht="15.75" customHeight="1">
      <c r="A1266" s="1">
        <v>1282</v>
      </c>
      <c r="B1266" s="1" t="s">
        <v>74</v>
      </c>
      <c r="C1266" s="1" t="s">
        <v>509</v>
      </c>
      <c r="D1266" s="1" t="s">
        <v>31</v>
      </c>
      <c r="E1266" s="1">
        <v>15.6</v>
      </c>
      <c r="F1266" s="1" t="s">
        <v>48</v>
      </c>
      <c r="G1266" s="1" t="s">
        <v>798</v>
      </c>
      <c r="H1266" s="1" t="s">
        <v>97</v>
      </c>
      <c r="I1266" s="1" t="s">
        <v>51</v>
      </c>
      <c r="J1266" s="1" t="s">
        <v>132</v>
      </c>
      <c r="K1266" s="1" t="s">
        <v>53</v>
      </c>
      <c r="L1266" s="1" t="s">
        <v>947</v>
      </c>
      <c r="M1266" s="1">
        <v>379</v>
      </c>
    </row>
    <row r="1267" spans="1:13" ht="15.75" customHeight="1">
      <c r="A1267" s="1">
        <v>1283</v>
      </c>
      <c r="B1267" s="1" t="s">
        <v>86</v>
      </c>
      <c r="C1267" s="1" t="s">
        <v>761</v>
      </c>
      <c r="D1267" s="1" t="s">
        <v>31</v>
      </c>
      <c r="E1267" s="1">
        <v>15.6</v>
      </c>
      <c r="F1267" s="1" t="s">
        <v>66</v>
      </c>
      <c r="G1267" s="1" t="s">
        <v>624</v>
      </c>
      <c r="H1267" s="1" t="s">
        <v>18</v>
      </c>
      <c r="I1267" s="1" t="s">
        <v>89</v>
      </c>
      <c r="J1267" s="1" t="s">
        <v>665</v>
      </c>
      <c r="K1267" s="1" t="s">
        <v>53</v>
      </c>
      <c r="L1267" s="1" t="s">
        <v>516</v>
      </c>
      <c r="M1267" s="1">
        <v>899</v>
      </c>
    </row>
    <row r="1268" spans="1:13" ht="15.75" customHeight="1">
      <c r="A1268" s="1">
        <v>1284</v>
      </c>
      <c r="B1268" s="1" t="s">
        <v>29</v>
      </c>
      <c r="C1268" s="1" t="s">
        <v>1153</v>
      </c>
      <c r="D1268" s="1" t="s">
        <v>31</v>
      </c>
      <c r="E1268" s="1">
        <v>15.6</v>
      </c>
      <c r="F1268" s="1" t="s">
        <v>32</v>
      </c>
      <c r="G1268" s="1" t="s">
        <v>1154</v>
      </c>
      <c r="H1268" s="1" t="s">
        <v>246</v>
      </c>
      <c r="I1268" s="1" t="s">
        <v>309</v>
      </c>
      <c r="J1268" s="1" t="s">
        <v>793</v>
      </c>
      <c r="K1268" s="1" t="s">
        <v>53</v>
      </c>
      <c r="L1268" s="1" t="s">
        <v>59</v>
      </c>
      <c r="M1268" s="1">
        <v>549.99</v>
      </c>
    </row>
    <row r="1269" spans="1:13" ht="15.75" customHeight="1">
      <c r="A1269" s="1">
        <v>1285</v>
      </c>
      <c r="B1269" s="1" t="s">
        <v>74</v>
      </c>
      <c r="C1269" s="1" t="s">
        <v>75</v>
      </c>
      <c r="D1269" s="1" t="s">
        <v>31</v>
      </c>
      <c r="E1269" s="1">
        <v>15.6</v>
      </c>
      <c r="F1269" s="1" t="s">
        <v>48</v>
      </c>
      <c r="G1269" s="1" t="s">
        <v>83</v>
      </c>
      <c r="H1269" s="1" t="s">
        <v>18</v>
      </c>
      <c r="I1269" s="1" t="s">
        <v>89</v>
      </c>
      <c r="J1269" s="1" t="s">
        <v>76</v>
      </c>
      <c r="K1269" s="1" t="s">
        <v>147</v>
      </c>
      <c r="L1269" s="1" t="s">
        <v>116</v>
      </c>
      <c r="M1269" s="1">
        <v>805.99</v>
      </c>
    </row>
    <row r="1270" spans="1:13" ht="15.75" customHeight="1">
      <c r="A1270" s="1">
        <v>1286</v>
      </c>
      <c r="B1270" s="1" t="s">
        <v>29</v>
      </c>
      <c r="C1270" s="1" t="s">
        <v>1155</v>
      </c>
      <c r="D1270" s="1" t="s">
        <v>95</v>
      </c>
      <c r="E1270" s="1">
        <v>11.6</v>
      </c>
      <c r="F1270" s="1" t="s">
        <v>48</v>
      </c>
      <c r="G1270" s="1" t="s">
        <v>204</v>
      </c>
      <c r="H1270" s="1" t="s">
        <v>97</v>
      </c>
      <c r="I1270" s="1" t="s">
        <v>98</v>
      </c>
      <c r="J1270" s="1" t="s">
        <v>99</v>
      </c>
      <c r="K1270" s="1" t="s">
        <v>53</v>
      </c>
      <c r="L1270" s="1" t="s">
        <v>820</v>
      </c>
      <c r="M1270" s="1">
        <v>209</v>
      </c>
    </row>
    <row r="1271" spans="1:13" ht="15.75" customHeight="1">
      <c r="A1271" s="1">
        <v>1287</v>
      </c>
      <c r="B1271" s="1" t="s">
        <v>60</v>
      </c>
      <c r="C1271" s="1" t="s">
        <v>1156</v>
      </c>
      <c r="D1271" s="1" t="s">
        <v>31</v>
      </c>
      <c r="E1271" s="1">
        <v>15.6</v>
      </c>
      <c r="F1271" s="1" t="s">
        <v>48</v>
      </c>
      <c r="G1271" s="1" t="s">
        <v>389</v>
      </c>
      <c r="H1271" s="1" t="s">
        <v>50</v>
      </c>
      <c r="I1271" s="1" t="s">
        <v>51</v>
      </c>
      <c r="J1271" s="1" t="s">
        <v>247</v>
      </c>
      <c r="K1271" s="1" t="s">
        <v>53</v>
      </c>
      <c r="L1271" s="1" t="s">
        <v>77</v>
      </c>
      <c r="M1271" s="1">
        <v>720.32</v>
      </c>
    </row>
    <row r="1272" spans="1:13" ht="15.75" customHeight="1">
      <c r="A1272" s="1">
        <v>1288</v>
      </c>
      <c r="B1272" s="1" t="s">
        <v>86</v>
      </c>
      <c r="C1272" s="1" t="s">
        <v>1157</v>
      </c>
      <c r="D1272" s="1" t="s">
        <v>111</v>
      </c>
      <c r="E1272" s="1">
        <v>14</v>
      </c>
      <c r="F1272" s="1" t="s">
        <v>92</v>
      </c>
      <c r="G1272" s="1" t="s">
        <v>389</v>
      </c>
      <c r="H1272" s="1" t="s">
        <v>50</v>
      </c>
      <c r="I1272" s="1" t="s">
        <v>19</v>
      </c>
      <c r="J1272" s="1" t="s">
        <v>71</v>
      </c>
      <c r="K1272" s="1" t="s">
        <v>53</v>
      </c>
      <c r="L1272" s="1" t="s">
        <v>202</v>
      </c>
      <c r="M1272" s="1">
        <v>638</v>
      </c>
    </row>
    <row r="1273" spans="1:13" ht="15.75" customHeight="1">
      <c r="A1273" s="1">
        <v>1289</v>
      </c>
      <c r="B1273" s="1" t="s">
        <v>86</v>
      </c>
      <c r="C1273" s="1" t="s">
        <v>849</v>
      </c>
      <c r="D1273" s="1" t="s">
        <v>111</v>
      </c>
      <c r="E1273" s="1">
        <v>13.3</v>
      </c>
      <c r="F1273" s="1" t="s">
        <v>688</v>
      </c>
      <c r="G1273" s="1" t="s">
        <v>389</v>
      </c>
      <c r="H1273" s="1" t="s">
        <v>40</v>
      </c>
      <c r="I1273" s="1" t="s">
        <v>41</v>
      </c>
      <c r="J1273" s="1" t="s">
        <v>71</v>
      </c>
      <c r="K1273" s="1" t="s">
        <v>53</v>
      </c>
      <c r="L1273" s="1" t="s">
        <v>64</v>
      </c>
      <c r="M1273" s="1">
        <v>1499</v>
      </c>
    </row>
    <row r="1274" spans="1:13" ht="15.75" customHeight="1">
      <c r="A1274" s="1">
        <v>1290</v>
      </c>
      <c r="B1274" s="1" t="s">
        <v>86</v>
      </c>
      <c r="C1274" s="1" t="s">
        <v>749</v>
      </c>
      <c r="D1274" s="1" t="s">
        <v>31</v>
      </c>
      <c r="E1274" s="1">
        <v>14</v>
      </c>
      <c r="F1274" s="1" t="s">
        <v>48</v>
      </c>
      <c r="G1274" s="1" t="s">
        <v>798</v>
      </c>
      <c r="H1274" s="1" t="s">
        <v>97</v>
      </c>
      <c r="I1274" s="1" t="s">
        <v>131</v>
      </c>
      <c r="J1274" s="1" t="s">
        <v>132</v>
      </c>
      <c r="K1274" s="1" t="s">
        <v>53</v>
      </c>
      <c r="L1274" s="1" t="s">
        <v>244</v>
      </c>
      <c r="M1274" s="1">
        <v>229</v>
      </c>
    </row>
    <row r="1275" spans="1:13" ht="15.75" customHeight="1">
      <c r="A1275" s="1">
        <v>1291</v>
      </c>
      <c r="B1275" s="1" t="s">
        <v>29</v>
      </c>
      <c r="C1275" s="1" t="s">
        <v>1158</v>
      </c>
      <c r="D1275" s="1" t="s">
        <v>31</v>
      </c>
      <c r="E1275" s="1">
        <v>15.6</v>
      </c>
      <c r="F1275" s="1" t="s">
        <v>48</v>
      </c>
      <c r="G1275" s="1" t="s">
        <v>389</v>
      </c>
      <c r="H1275" s="1" t="s">
        <v>246</v>
      </c>
      <c r="I1275" s="1" t="s">
        <v>89</v>
      </c>
      <c r="J1275" s="1" t="s">
        <v>1042</v>
      </c>
      <c r="K1275" s="1" t="s">
        <v>53</v>
      </c>
      <c r="L1275" s="1" t="s">
        <v>457</v>
      </c>
      <c r="M1275" s="1">
        <v>764</v>
      </c>
    </row>
    <row r="1276" spans="1:13" ht="15.75" customHeight="1">
      <c r="A1276" s="1">
        <v>1292</v>
      </c>
      <c r="B1276" s="1" t="s">
        <v>60</v>
      </c>
      <c r="C1276" s="1" t="s">
        <v>1159</v>
      </c>
      <c r="D1276" s="1" t="s">
        <v>31</v>
      </c>
      <c r="E1276" s="1">
        <v>15.6</v>
      </c>
      <c r="F1276" s="1" t="s">
        <v>48</v>
      </c>
      <c r="G1276" s="1" t="s">
        <v>798</v>
      </c>
      <c r="H1276" s="1" t="s">
        <v>50</v>
      </c>
      <c r="I1276" s="1" t="s">
        <v>51</v>
      </c>
      <c r="J1276" s="1" t="s">
        <v>132</v>
      </c>
      <c r="K1276" s="1" t="s">
        <v>53</v>
      </c>
      <c r="L1276" s="1" t="s">
        <v>77</v>
      </c>
      <c r="M1276" s="1">
        <v>369</v>
      </c>
    </row>
    <row r="1277" spans="1:13" ht="15.75" customHeight="1">
      <c r="A1277" s="1">
        <v>1293</v>
      </c>
      <c r="B1277" s="1" t="s">
        <v>60</v>
      </c>
      <c r="C1277" s="1" t="s">
        <v>1150</v>
      </c>
      <c r="D1277" s="1" t="s">
        <v>15</v>
      </c>
      <c r="E1277" s="1">
        <v>13.3</v>
      </c>
      <c r="F1277" s="1" t="s">
        <v>66</v>
      </c>
      <c r="G1277" s="1" t="s">
        <v>1151</v>
      </c>
      <c r="H1277" s="1" t="s">
        <v>18</v>
      </c>
      <c r="I1277" s="1" t="s">
        <v>41</v>
      </c>
      <c r="J1277" s="1" t="s">
        <v>300</v>
      </c>
      <c r="K1277" s="1" t="s">
        <v>53</v>
      </c>
      <c r="L1277" s="1" t="s">
        <v>141</v>
      </c>
      <c r="M1277" s="1">
        <v>729</v>
      </c>
    </row>
    <row r="1278" spans="1:13" ht="15.75" customHeight="1">
      <c r="A1278" s="1">
        <v>1294</v>
      </c>
      <c r="B1278" s="1" t="s">
        <v>74</v>
      </c>
      <c r="C1278" s="1" t="s">
        <v>75</v>
      </c>
      <c r="D1278" s="1" t="s">
        <v>31</v>
      </c>
      <c r="E1278" s="1">
        <v>15.6</v>
      </c>
      <c r="F1278" s="1" t="s">
        <v>48</v>
      </c>
      <c r="G1278" s="1" t="s">
        <v>88</v>
      </c>
      <c r="H1278" s="1" t="s">
        <v>246</v>
      </c>
      <c r="I1278" s="1" t="s">
        <v>89</v>
      </c>
      <c r="J1278" s="1" t="s">
        <v>35</v>
      </c>
      <c r="K1278" s="1" t="s">
        <v>53</v>
      </c>
      <c r="L1278" s="1" t="s">
        <v>116</v>
      </c>
      <c r="M1278" s="1">
        <v>459</v>
      </c>
    </row>
    <row r="1279" spans="1:13" ht="15.75" customHeight="1">
      <c r="A1279" s="1">
        <v>1295</v>
      </c>
      <c r="B1279" s="1" t="s">
        <v>46</v>
      </c>
      <c r="C1279" s="1" t="s">
        <v>1152</v>
      </c>
      <c r="D1279" s="1" t="s">
        <v>31</v>
      </c>
      <c r="E1279" s="1">
        <v>15.6</v>
      </c>
      <c r="F1279" s="1" t="s">
        <v>48</v>
      </c>
      <c r="G1279" s="1" t="s">
        <v>204</v>
      </c>
      <c r="H1279" s="1" t="s">
        <v>50</v>
      </c>
      <c r="I1279" s="1" t="s">
        <v>51</v>
      </c>
      <c r="J1279" s="1" t="s">
        <v>99</v>
      </c>
      <c r="K1279" s="1" t="s">
        <v>147</v>
      </c>
      <c r="L1279" s="1" t="s">
        <v>183</v>
      </c>
      <c r="M1279" s="1">
        <v>289</v>
      </c>
    </row>
    <row r="1280" spans="1:13" ht="15.75" customHeight="1">
      <c r="A1280" s="1">
        <v>1296</v>
      </c>
      <c r="B1280" s="1" t="s">
        <v>74</v>
      </c>
      <c r="C1280" s="1" t="s">
        <v>509</v>
      </c>
      <c r="D1280" s="1" t="s">
        <v>31</v>
      </c>
      <c r="E1280" s="1">
        <v>15.6</v>
      </c>
      <c r="F1280" s="1" t="s">
        <v>48</v>
      </c>
      <c r="G1280" s="1" t="s">
        <v>798</v>
      </c>
      <c r="H1280" s="1" t="s">
        <v>97</v>
      </c>
      <c r="I1280" s="1" t="s">
        <v>51</v>
      </c>
      <c r="J1280" s="1" t="s">
        <v>132</v>
      </c>
      <c r="K1280" s="1" t="s">
        <v>53</v>
      </c>
      <c r="L1280" s="1" t="s">
        <v>947</v>
      </c>
      <c r="M1280" s="1">
        <v>379</v>
      </c>
    </row>
    <row r="1281" spans="1:13" ht="15.75" customHeight="1">
      <c r="A1281" s="1">
        <v>1297</v>
      </c>
      <c r="B1281" s="1" t="s">
        <v>86</v>
      </c>
      <c r="C1281" s="1" t="s">
        <v>761</v>
      </c>
      <c r="D1281" s="1" t="s">
        <v>31</v>
      </c>
      <c r="E1281" s="1">
        <v>15.6</v>
      </c>
      <c r="F1281" s="1" t="s">
        <v>66</v>
      </c>
      <c r="G1281" s="1" t="s">
        <v>624</v>
      </c>
      <c r="H1281" s="1" t="s">
        <v>18</v>
      </c>
      <c r="I1281" s="1" t="s">
        <v>89</v>
      </c>
      <c r="J1281" s="1" t="s">
        <v>665</v>
      </c>
      <c r="K1281" s="1" t="s">
        <v>53</v>
      </c>
      <c r="L1281" s="1" t="s">
        <v>516</v>
      </c>
      <c r="M1281" s="1">
        <v>899</v>
      </c>
    </row>
    <row r="1282" spans="1:13" ht="15.75" customHeight="1">
      <c r="A1282" s="1">
        <v>1298</v>
      </c>
      <c r="B1282" s="1" t="s">
        <v>29</v>
      </c>
      <c r="C1282" s="1" t="s">
        <v>1153</v>
      </c>
      <c r="D1282" s="1" t="s">
        <v>31</v>
      </c>
      <c r="E1282" s="1">
        <v>15.6</v>
      </c>
      <c r="F1282" s="1" t="s">
        <v>32</v>
      </c>
      <c r="G1282" s="1" t="s">
        <v>1154</v>
      </c>
      <c r="H1282" s="1" t="s">
        <v>246</v>
      </c>
      <c r="I1282" s="1" t="s">
        <v>309</v>
      </c>
      <c r="J1282" s="1" t="s">
        <v>793</v>
      </c>
      <c r="K1282" s="1" t="s">
        <v>53</v>
      </c>
      <c r="L1282" s="1" t="s">
        <v>59</v>
      </c>
      <c r="M1282" s="1">
        <v>549.99</v>
      </c>
    </row>
    <row r="1283" spans="1:13" ht="15.75" customHeight="1">
      <c r="A1283" s="1">
        <v>1299</v>
      </c>
      <c r="B1283" s="1" t="s">
        <v>74</v>
      </c>
      <c r="C1283" s="1" t="s">
        <v>75</v>
      </c>
      <c r="D1283" s="1" t="s">
        <v>31</v>
      </c>
      <c r="E1283" s="1">
        <v>15.6</v>
      </c>
      <c r="F1283" s="1" t="s">
        <v>48</v>
      </c>
      <c r="G1283" s="1" t="s">
        <v>83</v>
      </c>
      <c r="H1283" s="1" t="s">
        <v>18</v>
      </c>
      <c r="I1283" s="1" t="s">
        <v>89</v>
      </c>
      <c r="J1283" s="1" t="s">
        <v>76</v>
      </c>
      <c r="K1283" s="1" t="s">
        <v>147</v>
      </c>
      <c r="L1283" s="1" t="s">
        <v>116</v>
      </c>
      <c r="M1283" s="1">
        <v>805.99</v>
      </c>
    </row>
    <row r="1284" spans="1:13" ht="15.75" customHeight="1">
      <c r="A1284" s="1">
        <v>1300</v>
      </c>
      <c r="B1284" s="1" t="s">
        <v>29</v>
      </c>
      <c r="C1284" s="1" t="s">
        <v>1155</v>
      </c>
      <c r="D1284" s="1" t="s">
        <v>95</v>
      </c>
      <c r="E1284" s="1">
        <v>11.6</v>
      </c>
      <c r="F1284" s="1" t="s">
        <v>48</v>
      </c>
      <c r="G1284" s="1" t="s">
        <v>204</v>
      </c>
      <c r="H1284" s="1" t="s">
        <v>97</v>
      </c>
      <c r="I1284" s="1" t="s">
        <v>98</v>
      </c>
      <c r="J1284" s="1" t="s">
        <v>99</v>
      </c>
      <c r="K1284" s="1" t="s">
        <v>53</v>
      </c>
      <c r="L1284" s="1" t="s">
        <v>820</v>
      </c>
      <c r="M1284" s="1">
        <v>209</v>
      </c>
    </row>
    <row r="1285" spans="1:13" ht="15.75" customHeight="1">
      <c r="A1285" s="1">
        <v>1301</v>
      </c>
      <c r="B1285" s="1" t="s">
        <v>60</v>
      </c>
      <c r="C1285" s="1" t="s">
        <v>1156</v>
      </c>
      <c r="D1285" s="1" t="s">
        <v>31</v>
      </c>
      <c r="E1285" s="1">
        <v>15.6</v>
      </c>
      <c r="F1285" s="1" t="s">
        <v>48</v>
      </c>
      <c r="G1285" s="1" t="s">
        <v>389</v>
      </c>
      <c r="H1285" s="1" t="s">
        <v>50</v>
      </c>
      <c r="I1285" s="1" t="s">
        <v>51</v>
      </c>
      <c r="J1285" s="1" t="s">
        <v>247</v>
      </c>
      <c r="K1285" s="1" t="s">
        <v>53</v>
      </c>
      <c r="L1285" s="1" t="s">
        <v>77</v>
      </c>
      <c r="M1285" s="1">
        <v>720.32</v>
      </c>
    </row>
    <row r="1286" spans="1:13" ht="15.75" customHeight="1">
      <c r="A1286" s="1">
        <v>1302</v>
      </c>
      <c r="B1286" s="1" t="s">
        <v>86</v>
      </c>
      <c r="C1286" s="1" t="s">
        <v>1157</v>
      </c>
      <c r="D1286" s="1" t="s">
        <v>111</v>
      </c>
      <c r="E1286" s="1">
        <v>14</v>
      </c>
      <c r="F1286" s="1" t="s">
        <v>92</v>
      </c>
      <c r="G1286" s="1" t="s">
        <v>389</v>
      </c>
      <c r="H1286" s="1" t="s">
        <v>50</v>
      </c>
      <c r="I1286" s="1" t="s">
        <v>19</v>
      </c>
      <c r="J1286" s="1" t="s">
        <v>71</v>
      </c>
      <c r="K1286" s="1" t="s">
        <v>53</v>
      </c>
      <c r="L1286" s="1" t="s">
        <v>202</v>
      </c>
      <c r="M1286" s="1">
        <v>638</v>
      </c>
    </row>
    <row r="1287" spans="1:13" ht="15.75" customHeight="1">
      <c r="A1287" s="1">
        <v>1303</v>
      </c>
      <c r="B1287" s="1" t="s">
        <v>86</v>
      </c>
      <c r="C1287" s="1" t="s">
        <v>849</v>
      </c>
      <c r="D1287" s="1" t="s">
        <v>111</v>
      </c>
      <c r="E1287" s="1">
        <v>13.3</v>
      </c>
      <c r="F1287" s="1" t="s">
        <v>688</v>
      </c>
      <c r="G1287" s="1" t="s">
        <v>389</v>
      </c>
      <c r="H1287" s="1" t="s">
        <v>40</v>
      </c>
      <c r="I1287" s="1" t="s">
        <v>41</v>
      </c>
      <c r="J1287" s="1" t="s">
        <v>71</v>
      </c>
      <c r="K1287" s="1" t="s">
        <v>53</v>
      </c>
      <c r="L1287" s="1" t="s">
        <v>64</v>
      </c>
      <c r="M1287" s="1">
        <v>1499</v>
      </c>
    </row>
    <row r="1288" spans="1:13" ht="15.75" customHeight="1">
      <c r="A1288" s="1">
        <v>1304</v>
      </c>
      <c r="B1288" s="1" t="s">
        <v>86</v>
      </c>
      <c r="C1288" s="1" t="s">
        <v>749</v>
      </c>
      <c r="D1288" s="1" t="s">
        <v>31</v>
      </c>
      <c r="E1288" s="1">
        <v>14</v>
      </c>
      <c r="F1288" s="1" t="s">
        <v>48</v>
      </c>
      <c r="G1288" s="1" t="s">
        <v>798</v>
      </c>
      <c r="H1288" s="1" t="s">
        <v>97</v>
      </c>
      <c r="I1288" s="1" t="s">
        <v>131</v>
      </c>
      <c r="J1288" s="1" t="s">
        <v>132</v>
      </c>
      <c r="K1288" s="1" t="s">
        <v>53</v>
      </c>
      <c r="L1288" s="1" t="s">
        <v>244</v>
      </c>
      <c r="M1288" s="1">
        <v>229</v>
      </c>
    </row>
    <row r="1289" spans="1:13" ht="15.75" customHeight="1">
      <c r="A1289" s="1">
        <v>1305</v>
      </c>
      <c r="B1289" s="1" t="s">
        <v>29</v>
      </c>
      <c r="C1289" s="1" t="s">
        <v>1158</v>
      </c>
      <c r="D1289" s="1" t="s">
        <v>31</v>
      </c>
      <c r="E1289" s="1">
        <v>15.6</v>
      </c>
      <c r="F1289" s="1" t="s">
        <v>48</v>
      </c>
      <c r="G1289" s="1" t="s">
        <v>389</v>
      </c>
      <c r="H1289" s="1" t="s">
        <v>246</v>
      </c>
      <c r="I1289" s="1" t="s">
        <v>89</v>
      </c>
      <c r="J1289" s="1" t="s">
        <v>1042</v>
      </c>
      <c r="K1289" s="1" t="s">
        <v>53</v>
      </c>
      <c r="L1289" s="1" t="s">
        <v>457</v>
      </c>
      <c r="M1289" s="1">
        <v>764</v>
      </c>
    </row>
    <row r="1290" spans="1:13" ht="15.75" customHeight="1">
      <c r="A1290" s="1">
        <v>1306</v>
      </c>
      <c r="B1290" s="1" t="s">
        <v>60</v>
      </c>
      <c r="C1290" s="1" t="s">
        <v>1159</v>
      </c>
      <c r="D1290" s="1" t="s">
        <v>31</v>
      </c>
      <c r="E1290" s="1">
        <v>15.6</v>
      </c>
      <c r="F1290" s="1" t="s">
        <v>48</v>
      </c>
      <c r="G1290" s="1" t="s">
        <v>798</v>
      </c>
      <c r="H1290" s="1" t="s">
        <v>50</v>
      </c>
      <c r="I1290" s="1" t="s">
        <v>51</v>
      </c>
      <c r="J1290" s="1" t="s">
        <v>132</v>
      </c>
      <c r="K1290" s="1" t="s">
        <v>53</v>
      </c>
      <c r="L1290" s="1" t="s">
        <v>77</v>
      </c>
      <c r="M1290" s="1">
        <v>369</v>
      </c>
    </row>
    <row r="1291" spans="1:13" ht="15.75" customHeight="1">
      <c r="A1291" s="1">
        <v>1307</v>
      </c>
      <c r="B1291" s="1" t="s">
        <v>60</v>
      </c>
      <c r="C1291" s="1" t="s">
        <v>1150</v>
      </c>
      <c r="D1291" s="1" t="s">
        <v>15</v>
      </c>
      <c r="E1291" s="1">
        <v>13.3</v>
      </c>
      <c r="F1291" s="1" t="s">
        <v>66</v>
      </c>
      <c r="G1291" s="1" t="s">
        <v>1151</v>
      </c>
      <c r="H1291" s="1" t="s">
        <v>18</v>
      </c>
      <c r="I1291" s="1" t="s">
        <v>41</v>
      </c>
      <c r="J1291" s="1" t="s">
        <v>300</v>
      </c>
      <c r="K1291" s="1" t="s">
        <v>53</v>
      </c>
      <c r="L1291" s="1" t="s">
        <v>141</v>
      </c>
      <c r="M1291" s="1">
        <v>729</v>
      </c>
    </row>
    <row r="1292" spans="1:13" ht="15.75" customHeight="1">
      <c r="A1292" s="1">
        <v>1308</v>
      </c>
      <c r="B1292" s="1" t="s">
        <v>74</v>
      </c>
      <c r="C1292" s="1" t="s">
        <v>75</v>
      </c>
      <c r="D1292" s="1" t="s">
        <v>31</v>
      </c>
      <c r="E1292" s="1">
        <v>15.6</v>
      </c>
      <c r="F1292" s="1" t="s">
        <v>48</v>
      </c>
      <c r="G1292" s="1" t="s">
        <v>88</v>
      </c>
      <c r="H1292" s="1" t="s">
        <v>246</v>
      </c>
      <c r="I1292" s="1" t="s">
        <v>89</v>
      </c>
      <c r="J1292" s="1" t="s">
        <v>35</v>
      </c>
      <c r="K1292" s="1" t="s">
        <v>53</v>
      </c>
      <c r="L1292" s="1" t="s">
        <v>116</v>
      </c>
      <c r="M1292" s="1">
        <v>459</v>
      </c>
    </row>
    <row r="1293" spans="1:13" ht="15.75" customHeight="1">
      <c r="A1293" s="1">
        <v>1309</v>
      </c>
      <c r="B1293" s="1" t="s">
        <v>46</v>
      </c>
      <c r="C1293" s="1" t="s">
        <v>1152</v>
      </c>
      <c r="D1293" s="1" t="s">
        <v>31</v>
      </c>
      <c r="E1293" s="1">
        <v>15.6</v>
      </c>
      <c r="F1293" s="1" t="s">
        <v>48</v>
      </c>
      <c r="G1293" s="1" t="s">
        <v>204</v>
      </c>
      <c r="H1293" s="1" t="s">
        <v>50</v>
      </c>
      <c r="I1293" s="1" t="s">
        <v>51</v>
      </c>
      <c r="J1293" s="1" t="s">
        <v>99</v>
      </c>
      <c r="K1293" s="1" t="s">
        <v>147</v>
      </c>
      <c r="L1293" s="1" t="s">
        <v>183</v>
      </c>
      <c r="M1293" s="1">
        <v>289</v>
      </c>
    </row>
    <row r="1294" spans="1:13" ht="15.75" customHeight="1">
      <c r="A1294" s="1">
        <v>1310</v>
      </c>
      <c r="B1294" s="1" t="s">
        <v>74</v>
      </c>
      <c r="C1294" s="1" t="s">
        <v>509</v>
      </c>
      <c r="D1294" s="1" t="s">
        <v>31</v>
      </c>
      <c r="E1294" s="1">
        <v>15.6</v>
      </c>
      <c r="F1294" s="1" t="s">
        <v>48</v>
      </c>
      <c r="G1294" s="1" t="s">
        <v>798</v>
      </c>
      <c r="H1294" s="1" t="s">
        <v>97</v>
      </c>
      <c r="I1294" s="1" t="s">
        <v>51</v>
      </c>
      <c r="J1294" s="1" t="s">
        <v>132</v>
      </c>
      <c r="K1294" s="1" t="s">
        <v>53</v>
      </c>
      <c r="L1294" s="1" t="s">
        <v>947</v>
      </c>
      <c r="M1294" s="1">
        <v>379</v>
      </c>
    </row>
    <row r="1295" spans="1:13" ht="15.75" customHeight="1">
      <c r="A1295" s="1">
        <v>1311</v>
      </c>
      <c r="B1295" s="1" t="s">
        <v>86</v>
      </c>
      <c r="C1295" s="1" t="s">
        <v>761</v>
      </c>
      <c r="D1295" s="1" t="s">
        <v>31</v>
      </c>
      <c r="E1295" s="1">
        <v>15.6</v>
      </c>
      <c r="F1295" s="1" t="s">
        <v>66</v>
      </c>
      <c r="G1295" s="1" t="s">
        <v>624</v>
      </c>
      <c r="H1295" s="1" t="s">
        <v>18</v>
      </c>
      <c r="I1295" s="1" t="s">
        <v>89</v>
      </c>
      <c r="J1295" s="1" t="s">
        <v>665</v>
      </c>
      <c r="K1295" s="1" t="s">
        <v>53</v>
      </c>
      <c r="L1295" s="1" t="s">
        <v>516</v>
      </c>
      <c r="M1295" s="1">
        <v>899</v>
      </c>
    </row>
    <row r="1296" spans="1:13" ht="15.75" customHeight="1">
      <c r="A1296" s="1">
        <v>1312</v>
      </c>
      <c r="B1296" s="1" t="s">
        <v>29</v>
      </c>
      <c r="C1296" s="1" t="s">
        <v>1153</v>
      </c>
      <c r="D1296" s="1" t="s">
        <v>31</v>
      </c>
      <c r="E1296" s="1">
        <v>15.6</v>
      </c>
      <c r="F1296" s="1" t="s">
        <v>32</v>
      </c>
      <c r="G1296" s="1" t="s">
        <v>1154</v>
      </c>
      <c r="H1296" s="1" t="s">
        <v>246</v>
      </c>
      <c r="I1296" s="1" t="s">
        <v>309</v>
      </c>
      <c r="J1296" s="1" t="s">
        <v>793</v>
      </c>
      <c r="K1296" s="1" t="s">
        <v>53</v>
      </c>
      <c r="L1296" s="1" t="s">
        <v>59</v>
      </c>
      <c r="M1296" s="1">
        <v>549.99</v>
      </c>
    </row>
    <row r="1297" spans="1:13" ht="15.75" customHeight="1">
      <c r="A1297" s="1">
        <v>1313</v>
      </c>
      <c r="B1297" s="1" t="s">
        <v>74</v>
      </c>
      <c r="C1297" s="1" t="s">
        <v>75</v>
      </c>
      <c r="D1297" s="1" t="s">
        <v>31</v>
      </c>
      <c r="E1297" s="1">
        <v>15.6</v>
      </c>
      <c r="F1297" s="1" t="s">
        <v>48</v>
      </c>
      <c r="G1297" s="1" t="s">
        <v>83</v>
      </c>
      <c r="H1297" s="1" t="s">
        <v>18</v>
      </c>
      <c r="I1297" s="1" t="s">
        <v>89</v>
      </c>
      <c r="J1297" s="1" t="s">
        <v>76</v>
      </c>
      <c r="K1297" s="1" t="s">
        <v>147</v>
      </c>
      <c r="L1297" s="1" t="s">
        <v>116</v>
      </c>
      <c r="M1297" s="1">
        <v>805.99</v>
      </c>
    </row>
    <row r="1298" spans="1:13" ht="15.75" customHeight="1">
      <c r="A1298" s="1">
        <v>1314</v>
      </c>
      <c r="B1298" s="1" t="s">
        <v>29</v>
      </c>
      <c r="C1298" s="1" t="s">
        <v>1155</v>
      </c>
      <c r="D1298" s="1" t="s">
        <v>95</v>
      </c>
      <c r="E1298" s="1">
        <v>11.6</v>
      </c>
      <c r="F1298" s="1" t="s">
        <v>48</v>
      </c>
      <c r="G1298" s="1" t="s">
        <v>204</v>
      </c>
      <c r="H1298" s="1" t="s">
        <v>97</v>
      </c>
      <c r="I1298" s="1" t="s">
        <v>98</v>
      </c>
      <c r="J1298" s="1" t="s">
        <v>99</v>
      </c>
      <c r="K1298" s="1" t="s">
        <v>53</v>
      </c>
      <c r="L1298" s="1" t="s">
        <v>820</v>
      </c>
      <c r="M1298" s="1">
        <v>209</v>
      </c>
    </row>
    <row r="1299" spans="1:13" ht="15.75" customHeight="1">
      <c r="A1299" s="1">
        <v>1315</v>
      </c>
      <c r="B1299" s="1" t="s">
        <v>60</v>
      </c>
      <c r="C1299" s="1" t="s">
        <v>1156</v>
      </c>
      <c r="D1299" s="1" t="s">
        <v>31</v>
      </c>
      <c r="E1299" s="1">
        <v>15.6</v>
      </c>
      <c r="F1299" s="1" t="s">
        <v>48</v>
      </c>
      <c r="G1299" s="1" t="s">
        <v>389</v>
      </c>
      <c r="H1299" s="1" t="s">
        <v>50</v>
      </c>
      <c r="I1299" s="1" t="s">
        <v>51</v>
      </c>
      <c r="J1299" s="1" t="s">
        <v>247</v>
      </c>
      <c r="K1299" s="1" t="s">
        <v>53</v>
      </c>
      <c r="L1299" s="1" t="s">
        <v>77</v>
      </c>
      <c r="M1299" s="1">
        <v>720.32</v>
      </c>
    </row>
    <row r="1300" spans="1:13" ht="15.75" customHeight="1">
      <c r="A1300" s="1">
        <v>1316</v>
      </c>
      <c r="B1300" s="1" t="s">
        <v>86</v>
      </c>
      <c r="C1300" s="1" t="s">
        <v>1157</v>
      </c>
      <c r="D1300" s="1" t="s">
        <v>111</v>
      </c>
      <c r="E1300" s="1">
        <v>14</v>
      </c>
      <c r="F1300" s="1" t="s">
        <v>92</v>
      </c>
      <c r="G1300" s="1" t="s">
        <v>389</v>
      </c>
      <c r="H1300" s="1" t="s">
        <v>50</v>
      </c>
      <c r="I1300" s="1" t="s">
        <v>19</v>
      </c>
      <c r="J1300" s="1" t="s">
        <v>71</v>
      </c>
      <c r="K1300" s="1" t="s">
        <v>53</v>
      </c>
      <c r="L1300" s="1" t="s">
        <v>202</v>
      </c>
      <c r="M1300" s="1">
        <v>638</v>
      </c>
    </row>
    <row r="1301" spans="1:13" ht="15.75" customHeight="1">
      <c r="A1301" s="1">
        <v>1317</v>
      </c>
      <c r="B1301" s="1" t="s">
        <v>86</v>
      </c>
      <c r="C1301" s="1" t="s">
        <v>849</v>
      </c>
      <c r="D1301" s="1" t="s">
        <v>111</v>
      </c>
      <c r="E1301" s="1">
        <v>13.3</v>
      </c>
      <c r="F1301" s="1" t="s">
        <v>688</v>
      </c>
      <c r="G1301" s="1" t="s">
        <v>389</v>
      </c>
      <c r="H1301" s="1" t="s">
        <v>40</v>
      </c>
      <c r="I1301" s="1" t="s">
        <v>41</v>
      </c>
      <c r="J1301" s="1" t="s">
        <v>71</v>
      </c>
      <c r="K1301" s="1" t="s">
        <v>53</v>
      </c>
      <c r="L1301" s="1" t="s">
        <v>64</v>
      </c>
      <c r="M1301" s="1">
        <v>1499</v>
      </c>
    </row>
    <row r="1302" spans="1:13" ht="15.75" customHeight="1">
      <c r="A1302" s="1">
        <v>1318</v>
      </c>
      <c r="B1302" s="1" t="s">
        <v>86</v>
      </c>
      <c r="C1302" s="1" t="s">
        <v>749</v>
      </c>
      <c r="D1302" s="1" t="s">
        <v>31</v>
      </c>
      <c r="E1302" s="1">
        <v>14</v>
      </c>
      <c r="F1302" s="1" t="s">
        <v>48</v>
      </c>
      <c r="G1302" s="1" t="s">
        <v>798</v>
      </c>
      <c r="H1302" s="1" t="s">
        <v>97</v>
      </c>
      <c r="I1302" s="1" t="s">
        <v>131</v>
      </c>
      <c r="J1302" s="1" t="s">
        <v>132</v>
      </c>
      <c r="K1302" s="1" t="s">
        <v>53</v>
      </c>
      <c r="L1302" s="1" t="s">
        <v>244</v>
      </c>
      <c r="M1302" s="1">
        <v>229</v>
      </c>
    </row>
    <row r="1303" spans="1:13" ht="15.75" customHeight="1">
      <c r="A1303" s="1">
        <v>1319</v>
      </c>
      <c r="B1303" s="1" t="s">
        <v>29</v>
      </c>
      <c r="C1303" s="1" t="s">
        <v>1158</v>
      </c>
      <c r="D1303" s="1" t="s">
        <v>31</v>
      </c>
      <c r="E1303" s="1">
        <v>15.6</v>
      </c>
      <c r="F1303" s="1" t="s">
        <v>48</v>
      </c>
      <c r="G1303" s="1" t="s">
        <v>389</v>
      </c>
      <c r="H1303" s="1" t="s">
        <v>246</v>
      </c>
      <c r="I1303" s="1" t="s">
        <v>89</v>
      </c>
      <c r="J1303" s="1" t="s">
        <v>1042</v>
      </c>
      <c r="K1303" s="1" t="s">
        <v>53</v>
      </c>
      <c r="L1303" s="1" t="s">
        <v>457</v>
      </c>
      <c r="M1303" s="1">
        <v>764</v>
      </c>
    </row>
    <row r="1304" spans="1:13" ht="15.75" customHeight="1">
      <c r="A1304" s="1">
        <v>1320</v>
      </c>
      <c r="B1304" s="1" t="s">
        <v>60</v>
      </c>
      <c r="C1304" s="1" t="s">
        <v>1159</v>
      </c>
      <c r="D1304" s="1" t="s">
        <v>31</v>
      </c>
      <c r="E1304" s="1">
        <v>15.6</v>
      </c>
      <c r="F1304" s="1" t="s">
        <v>48</v>
      </c>
      <c r="G1304" s="1" t="s">
        <v>798</v>
      </c>
      <c r="H1304" s="1" t="s">
        <v>50</v>
      </c>
      <c r="I1304" s="1" t="s">
        <v>51</v>
      </c>
      <c r="J1304" s="1" t="s">
        <v>132</v>
      </c>
      <c r="K1304" s="1" t="s">
        <v>53</v>
      </c>
      <c r="L1304" s="1" t="s">
        <v>77</v>
      </c>
      <c r="M1304" s="1">
        <v>369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304"/>
  <sheetViews>
    <sheetView workbookViewId="0"/>
  </sheetViews>
  <sheetFormatPr defaultColWidth="11.25" defaultRowHeight="15" customHeight="1"/>
  <sheetData>
    <row r="1" spans="1:13">
      <c r="A1" s="2" t="str">
        <f ca="1">IFERROR(__xludf.DUMMYFUNCTION("query(laptop_price!A1:M1304, ""select *"")"),"laptop_ID")</f>
        <v>laptop_ID</v>
      </c>
      <c r="B1" s="2" t="str">
        <f ca="1">IFERROR(__xludf.DUMMYFUNCTION("""COMPUTED_VALUE"""),"Company")</f>
        <v>Company</v>
      </c>
      <c r="C1" s="2" t="str">
        <f ca="1">IFERROR(__xludf.DUMMYFUNCTION("""COMPUTED_VALUE"""),"Product")</f>
        <v>Product</v>
      </c>
      <c r="D1" s="2" t="str">
        <f ca="1">IFERROR(__xludf.DUMMYFUNCTION("""COMPUTED_VALUE"""),"TypeName")</f>
        <v>TypeName</v>
      </c>
      <c r="E1" s="2" t="str">
        <f ca="1">IFERROR(__xludf.DUMMYFUNCTION("""COMPUTED_VALUE"""),"Inches")</f>
        <v>Inches</v>
      </c>
      <c r="F1" s="2" t="str">
        <f ca="1">IFERROR(__xludf.DUMMYFUNCTION("""COMPUTED_VALUE"""),"ScreenResolution")</f>
        <v>ScreenResolution</v>
      </c>
      <c r="G1" s="2" t="str">
        <f ca="1">IFERROR(__xludf.DUMMYFUNCTION("""COMPUTED_VALUE"""),"Cpu")</f>
        <v>Cpu</v>
      </c>
      <c r="H1" s="2" t="str">
        <f ca="1">IFERROR(__xludf.DUMMYFUNCTION("""COMPUTED_VALUE"""),"Ram")</f>
        <v>Ram</v>
      </c>
      <c r="I1" s="2" t="str">
        <f ca="1">IFERROR(__xludf.DUMMYFUNCTION("""COMPUTED_VALUE"""),"Memory")</f>
        <v>Memory</v>
      </c>
      <c r="J1" s="2" t="str">
        <f ca="1">IFERROR(__xludf.DUMMYFUNCTION("""COMPUTED_VALUE"""),"Gpu")</f>
        <v>Gpu</v>
      </c>
      <c r="K1" s="2" t="str">
        <f ca="1">IFERROR(__xludf.DUMMYFUNCTION("""COMPUTED_VALUE"""),"OpSys")</f>
        <v>OpSys</v>
      </c>
      <c r="L1" s="2" t="str">
        <f ca="1">IFERROR(__xludf.DUMMYFUNCTION("""COMPUTED_VALUE"""),"Weight")</f>
        <v>Weight</v>
      </c>
      <c r="M1" s="2" t="str">
        <f ca="1">IFERROR(__xludf.DUMMYFUNCTION("""COMPUTED_VALUE"""),"Price_euros")</f>
        <v>Price_euros</v>
      </c>
    </row>
    <row r="2" spans="1:13">
      <c r="A2" s="2">
        <f ca="1">IFERROR(__xludf.DUMMYFUNCTION("""COMPUTED_VALUE"""),1)</f>
        <v>1</v>
      </c>
      <c r="B2" s="2" t="str">
        <f ca="1">IFERROR(__xludf.DUMMYFUNCTION("""COMPUTED_VALUE"""),"Apple")</f>
        <v>Apple</v>
      </c>
      <c r="C2" s="2" t="str">
        <f ca="1">IFERROR(__xludf.DUMMYFUNCTION("""COMPUTED_VALUE"""),"MacBook Pro")</f>
        <v>MacBook Pro</v>
      </c>
      <c r="D2" s="2" t="str">
        <f ca="1">IFERROR(__xludf.DUMMYFUNCTION("""COMPUTED_VALUE"""),"Ultrabook")</f>
        <v>Ultrabook</v>
      </c>
      <c r="E2" s="2">
        <f ca="1">IFERROR(__xludf.DUMMYFUNCTION("""COMPUTED_VALUE"""),13.3)</f>
        <v>13.3</v>
      </c>
      <c r="F2" s="2" t="str">
        <f ca="1">IFERROR(__xludf.DUMMYFUNCTION("""COMPUTED_VALUE"""),"IPS Panel Retina Display 2560x1600")</f>
        <v>IPS Panel Retina Display 2560x1600</v>
      </c>
      <c r="G2" s="2" t="str">
        <f ca="1">IFERROR(__xludf.DUMMYFUNCTION("""COMPUTED_VALUE"""),"Intel Core i5 2.3GHz")</f>
        <v>Intel Core i5 2.3GHz</v>
      </c>
      <c r="H2" s="2" t="str">
        <f ca="1">IFERROR(__xludf.DUMMYFUNCTION("""COMPUTED_VALUE"""),"8GB")</f>
        <v>8GB</v>
      </c>
      <c r="I2" s="2" t="str">
        <f ca="1">IFERROR(__xludf.DUMMYFUNCTION("""COMPUTED_VALUE"""),"128GB SSD")</f>
        <v>128GB SSD</v>
      </c>
      <c r="J2" s="2" t="str">
        <f ca="1">IFERROR(__xludf.DUMMYFUNCTION("""COMPUTED_VALUE"""),"Intel Iris Plus Graphics 640")</f>
        <v>Intel Iris Plus Graphics 640</v>
      </c>
      <c r="K2" s="2" t="str">
        <f ca="1">IFERROR(__xludf.DUMMYFUNCTION("""COMPUTED_VALUE"""),"macOS")</f>
        <v>macOS</v>
      </c>
      <c r="L2" s="2" t="str">
        <f ca="1">IFERROR(__xludf.DUMMYFUNCTION("""COMPUTED_VALUE"""),"1.37kg")</f>
        <v>1.37kg</v>
      </c>
      <c r="M2" s="2">
        <f ca="1">IFERROR(__xludf.DUMMYFUNCTION("""COMPUTED_VALUE"""),1339.69)</f>
        <v>1339.69</v>
      </c>
    </row>
    <row r="3" spans="1:13">
      <c r="A3" s="2">
        <f ca="1">IFERROR(__xludf.DUMMYFUNCTION("""COMPUTED_VALUE"""),2)</f>
        <v>2</v>
      </c>
      <c r="B3" s="2" t="str">
        <f ca="1">IFERROR(__xludf.DUMMYFUNCTION("""COMPUTED_VALUE"""),"Apple")</f>
        <v>Apple</v>
      </c>
      <c r="C3" s="2" t="str">
        <f ca="1">IFERROR(__xludf.DUMMYFUNCTION("""COMPUTED_VALUE"""),"Macbook Air")</f>
        <v>Macbook Air</v>
      </c>
      <c r="D3" s="2" t="str">
        <f ca="1">IFERROR(__xludf.DUMMYFUNCTION("""COMPUTED_VALUE"""),"Ultrabook")</f>
        <v>Ultrabook</v>
      </c>
      <c r="E3" s="2">
        <f ca="1">IFERROR(__xludf.DUMMYFUNCTION("""COMPUTED_VALUE"""),13.3)</f>
        <v>13.3</v>
      </c>
      <c r="F3" s="2" t="str">
        <f ca="1">IFERROR(__xludf.DUMMYFUNCTION("""COMPUTED_VALUE"""),"1440x900")</f>
        <v>1440x900</v>
      </c>
      <c r="G3" s="2" t="str">
        <f ca="1">IFERROR(__xludf.DUMMYFUNCTION("""COMPUTED_VALUE"""),"Intel Core i5 1.8GHz")</f>
        <v>Intel Core i5 1.8GHz</v>
      </c>
      <c r="H3" s="2" t="str">
        <f ca="1">IFERROR(__xludf.DUMMYFUNCTION("""COMPUTED_VALUE"""),"8GB")</f>
        <v>8GB</v>
      </c>
      <c r="I3" s="2" t="str">
        <f ca="1">IFERROR(__xludf.DUMMYFUNCTION("""COMPUTED_VALUE"""),"128GB Flash Storage")</f>
        <v>128GB Flash Storage</v>
      </c>
      <c r="J3" s="2" t="str">
        <f ca="1">IFERROR(__xludf.DUMMYFUNCTION("""COMPUTED_VALUE"""),"Intel HD Graphics 6000")</f>
        <v>Intel HD Graphics 6000</v>
      </c>
      <c r="K3" s="2" t="str">
        <f ca="1">IFERROR(__xludf.DUMMYFUNCTION("""COMPUTED_VALUE"""),"macOS")</f>
        <v>macOS</v>
      </c>
      <c r="L3" s="2" t="str">
        <f ca="1">IFERROR(__xludf.DUMMYFUNCTION("""COMPUTED_VALUE"""),"1.34kg")</f>
        <v>1.34kg</v>
      </c>
      <c r="M3" s="2">
        <f ca="1">IFERROR(__xludf.DUMMYFUNCTION("""COMPUTED_VALUE"""),898.94)</f>
        <v>898.94</v>
      </c>
    </row>
    <row r="4" spans="1:13">
      <c r="A4" s="2">
        <f ca="1">IFERROR(__xludf.DUMMYFUNCTION("""COMPUTED_VALUE"""),3)</f>
        <v>3</v>
      </c>
      <c r="B4" s="2" t="str">
        <f ca="1">IFERROR(__xludf.DUMMYFUNCTION("""COMPUTED_VALUE"""),"HP")</f>
        <v>HP</v>
      </c>
      <c r="C4" s="2" t="str">
        <f ca="1">IFERROR(__xludf.DUMMYFUNCTION("""COMPUTED_VALUE"""),"250 G6")</f>
        <v>250 G6</v>
      </c>
      <c r="D4" s="2" t="str">
        <f ca="1">IFERROR(__xludf.DUMMYFUNCTION("""COMPUTED_VALUE"""),"Notebook")</f>
        <v>Notebook</v>
      </c>
      <c r="E4" s="2">
        <f ca="1">IFERROR(__xludf.DUMMYFUNCTION("""COMPUTED_VALUE"""),15.6)</f>
        <v>15.6</v>
      </c>
      <c r="F4" s="2" t="str">
        <f ca="1">IFERROR(__xludf.DUMMYFUNCTION("""COMPUTED_VALUE"""),"Full HD 1920x1080")</f>
        <v>Full HD 1920x1080</v>
      </c>
      <c r="G4" s="2" t="str">
        <f ca="1">IFERROR(__xludf.DUMMYFUNCTION("""COMPUTED_VALUE"""),"Intel Core i5 7200U 2.5GHz")</f>
        <v>Intel Core i5 7200U 2.5GHz</v>
      </c>
      <c r="H4" s="2" t="str">
        <f ca="1">IFERROR(__xludf.DUMMYFUNCTION("""COMPUTED_VALUE"""),"8GB")</f>
        <v>8GB</v>
      </c>
      <c r="I4" s="2" t="str">
        <f ca="1">IFERROR(__xludf.DUMMYFUNCTION("""COMPUTED_VALUE"""),"256GB SSD")</f>
        <v>256GB SSD</v>
      </c>
      <c r="J4" s="2" t="str">
        <f ca="1">IFERROR(__xludf.DUMMYFUNCTION("""COMPUTED_VALUE"""),"Intel HD Graphics 620")</f>
        <v>Intel HD Graphics 620</v>
      </c>
      <c r="K4" s="2" t="str">
        <f ca="1">IFERROR(__xludf.DUMMYFUNCTION("""COMPUTED_VALUE"""),"No OS")</f>
        <v>No OS</v>
      </c>
      <c r="L4" s="2" t="str">
        <f ca="1">IFERROR(__xludf.DUMMYFUNCTION("""COMPUTED_VALUE"""),"1.86kg")</f>
        <v>1.86kg</v>
      </c>
      <c r="M4" s="2">
        <f ca="1">IFERROR(__xludf.DUMMYFUNCTION("""COMPUTED_VALUE"""),575)</f>
        <v>575</v>
      </c>
    </row>
    <row r="5" spans="1:13">
      <c r="A5" s="2">
        <f ca="1">IFERROR(__xludf.DUMMYFUNCTION("""COMPUTED_VALUE"""),4)</f>
        <v>4</v>
      </c>
      <c r="B5" s="2" t="str">
        <f ca="1">IFERROR(__xludf.DUMMYFUNCTION("""COMPUTED_VALUE"""),"Apple")</f>
        <v>Apple</v>
      </c>
      <c r="C5" s="2" t="str">
        <f ca="1">IFERROR(__xludf.DUMMYFUNCTION("""COMPUTED_VALUE"""),"MacBook Pro")</f>
        <v>MacBook Pro</v>
      </c>
      <c r="D5" s="2" t="str">
        <f ca="1">IFERROR(__xludf.DUMMYFUNCTION("""COMPUTED_VALUE"""),"Ultrabook")</f>
        <v>Ultrabook</v>
      </c>
      <c r="E5" s="2">
        <f ca="1">IFERROR(__xludf.DUMMYFUNCTION("""COMPUTED_VALUE"""),15.4)</f>
        <v>15.4</v>
      </c>
      <c r="F5" s="2" t="str">
        <f ca="1">IFERROR(__xludf.DUMMYFUNCTION("""COMPUTED_VALUE"""),"IPS Panel Retina Display 2880x1800")</f>
        <v>IPS Panel Retina Display 2880x1800</v>
      </c>
      <c r="G5" s="2" t="str">
        <f ca="1">IFERROR(__xludf.DUMMYFUNCTION("""COMPUTED_VALUE"""),"Intel Core i7 2.7GHz")</f>
        <v>Intel Core i7 2.7GHz</v>
      </c>
      <c r="H5" s="2" t="str">
        <f ca="1">IFERROR(__xludf.DUMMYFUNCTION("""COMPUTED_VALUE"""),"16GB")</f>
        <v>16GB</v>
      </c>
      <c r="I5" s="2" t="str">
        <f ca="1">IFERROR(__xludf.DUMMYFUNCTION("""COMPUTED_VALUE"""),"512GB SSD")</f>
        <v>512GB SSD</v>
      </c>
      <c r="J5" s="2" t="str">
        <f ca="1">IFERROR(__xludf.DUMMYFUNCTION("""COMPUTED_VALUE"""),"AMD Radeon Pro 455")</f>
        <v>AMD Radeon Pro 455</v>
      </c>
      <c r="K5" s="2" t="str">
        <f ca="1">IFERROR(__xludf.DUMMYFUNCTION("""COMPUTED_VALUE"""),"macOS")</f>
        <v>macOS</v>
      </c>
      <c r="L5" s="2" t="str">
        <f ca="1">IFERROR(__xludf.DUMMYFUNCTION("""COMPUTED_VALUE"""),"1.83kg")</f>
        <v>1.83kg</v>
      </c>
      <c r="M5" s="2">
        <f ca="1">IFERROR(__xludf.DUMMYFUNCTION("""COMPUTED_VALUE"""),2537.45)</f>
        <v>2537.4499999999998</v>
      </c>
    </row>
    <row r="6" spans="1:13">
      <c r="A6" s="2">
        <f ca="1">IFERROR(__xludf.DUMMYFUNCTION("""COMPUTED_VALUE"""),5)</f>
        <v>5</v>
      </c>
      <c r="B6" s="2" t="str">
        <f ca="1">IFERROR(__xludf.DUMMYFUNCTION("""COMPUTED_VALUE"""),"Apple")</f>
        <v>Apple</v>
      </c>
      <c r="C6" s="2" t="str">
        <f ca="1">IFERROR(__xludf.DUMMYFUNCTION("""COMPUTED_VALUE"""),"MacBook Pro")</f>
        <v>MacBook Pro</v>
      </c>
      <c r="D6" s="2" t="str">
        <f ca="1">IFERROR(__xludf.DUMMYFUNCTION("""COMPUTED_VALUE"""),"Ultrabook")</f>
        <v>Ultrabook</v>
      </c>
      <c r="E6" s="2">
        <f ca="1">IFERROR(__xludf.DUMMYFUNCTION("""COMPUTED_VALUE"""),13.3)</f>
        <v>13.3</v>
      </c>
      <c r="F6" s="2" t="str">
        <f ca="1">IFERROR(__xludf.DUMMYFUNCTION("""COMPUTED_VALUE"""),"IPS Panel Retina Display 2560x1600")</f>
        <v>IPS Panel Retina Display 2560x1600</v>
      </c>
      <c r="G6" s="2" t="str">
        <f ca="1">IFERROR(__xludf.DUMMYFUNCTION("""COMPUTED_VALUE"""),"Intel Core i5 3.1GHz")</f>
        <v>Intel Core i5 3.1GHz</v>
      </c>
      <c r="H6" s="2" t="str">
        <f ca="1">IFERROR(__xludf.DUMMYFUNCTION("""COMPUTED_VALUE"""),"8GB")</f>
        <v>8GB</v>
      </c>
      <c r="I6" s="2" t="str">
        <f ca="1">IFERROR(__xludf.DUMMYFUNCTION("""COMPUTED_VALUE"""),"256GB SSD")</f>
        <v>256GB SSD</v>
      </c>
      <c r="J6" s="2" t="str">
        <f ca="1">IFERROR(__xludf.DUMMYFUNCTION("""COMPUTED_VALUE"""),"Intel Iris Plus Graphics 650")</f>
        <v>Intel Iris Plus Graphics 650</v>
      </c>
      <c r="K6" s="2" t="str">
        <f ca="1">IFERROR(__xludf.DUMMYFUNCTION("""COMPUTED_VALUE"""),"macOS")</f>
        <v>macOS</v>
      </c>
      <c r="L6" s="2" t="str">
        <f ca="1">IFERROR(__xludf.DUMMYFUNCTION("""COMPUTED_VALUE"""),"1.37kg")</f>
        <v>1.37kg</v>
      </c>
      <c r="M6" s="2">
        <f ca="1">IFERROR(__xludf.DUMMYFUNCTION("""COMPUTED_VALUE"""),1803.6)</f>
        <v>1803.6</v>
      </c>
    </row>
    <row r="7" spans="1:13">
      <c r="A7" s="2">
        <f ca="1">IFERROR(__xludf.DUMMYFUNCTION("""COMPUTED_VALUE"""),6)</f>
        <v>6</v>
      </c>
      <c r="B7" s="2" t="str">
        <f ca="1">IFERROR(__xludf.DUMMYFUNCTION("""COMPUTED_VALUE"""),"Acer")</f>
        <v>Acer</v>
      </c>
      <c r="C7" s="2" t="str">
        <f ca="1">IFERROR(__xludf.DUMMYFUNCTION("""COMPUTED_VALUE"""),"Aspire 3")</f>
        <v>Aspire 3</v>
      </c>
      <c r="D7" s="2" t="str">
        <f ca="1">IFERROR(__xludf.DUMMYFUNCTION("""COMPUTED_VALUE"""),"Notebook")</f>
        <v>Notebook</v>
      </c>
      <c r="E7" s="2">
        <f ca="1">IFERROR(__xludf.DUMMYFUNCTION("""COMPUTED_VALUE"""),15.6)</f>
        <v>15.6</v>
      </c>
      <c r="F7" s="2" t="str">
        <f ca="1">IFERROR(__xludf.DUMMYFUNCTION("""COMPUTED_VALUE"""),"1366x768")</f>
        <v>1366x768</v>
      </c>
      <c r="G7" s="2" t="str">
        <f ca="1">IFERROR(__xludf.DUMMYFUNCTION("""COMPUTED_VALUE"""),"AMD A9-Series 9420 3GHz")</f>
        <v>AMD A9-Series 9420 3GHz</v>
      </c>
      <c r="H7" s="2" t="str">
        <f ca="1">IFERROR(__xludf.DUMMYFUNCTION("""COMPUTED_VALUE"""),"4GB")</f>
        <v>4GB</v>
      </c>
      <c r="I7" s="2" t="str">
        <f ca="1">IFERROR(__xludf.DUMMYFUNCTION("""COMPUTED_VALUE"""),"500GB HDD")</f>
        <v>500GB HDD</v>
      </c>
      <c r="J7" s="2" t="str">
        <f ca="1">IFERROR(__xludf.DUMMYFUNCTION("""COMPUTED_VALUE"""),"AMD Radeon R5")</f>
        <v>AMD Radeon R5</v>
      </c>
      <c r="K7" s="2" t="str">
        <f ca="1">IFERROR(__xludf.DUMMYFUNCTION("""COMPUTED_VALUE"""),"Windows 10")</f>
        <v>Windows 10</v>
      </c>
      <c r="L7" s="2" t="str">
        <f ca="1">IFERROR(__xludf.DUMMYFUNCTION("""COMPUTED_VALUE"""),"2.1kg")</f>
        <v>2.1kg</v>
      </c>
      <c r="M7" s="2">
        <f ca="1">IFERROR(__xludf.DUMMYFUNCTION("""COMPUTED_VALUE"""),400)</f>
        <v>400</v>
      </c>
    </row>
    <row r="8" spans="1:13">
      <c r="A8" s="2">
        <f ca="1">IFERROR(__xludf.DUMMYFUNCTION("""COMPUTED_VALUE"""),7)</f>
        <v>7</v>
      </c>
      <c r="B8" s="2" t="str">
        <f ca="1">IFERROR(__xludf.DUMMYFUNCTION("""COMPUTED_VALUE"""),"Apple")</f>
        <v>Apple</v>
      </c>
      <c r="C8" s="2" t="str">
        <f ca="1">IFERROR(__xludf.DUMMYFUNCTION("""COMPUTED_VALUE"""),"MacBook Pro")</f>
        <v>MacBook Pro</v>
      </c>
      <c r="D8" s="2" t="str">
        <f ca="1">IFERROR(__xludf.DUMMYFUNCTION("""COMPUTED_VALUE"""),"Ultrabook")</f>
        <v>Ultrabook</v>
      </c>
      <c r="E8" s="2">
        <f ca="1">IFERROR(__xludf.DUMMYFUNCTION("""COMPUTED_VALUE"""),15.4)</f>
        <v>15.4</v>
      </c>
      <c r="F8" s="2" t="str">
        <f ca="1">IFERROR(__xludf.DUMMYFUNCTION("""COMPUTED_VALUE"""),"IPS Panel Retina Display 2880x1800")</f>
        <v>IPS Panel Retina Display 2880x1800</v>
      </c>
      <c r="G8" s="2" t="str">
        <f ca="1">IFERROR(__xludf.DUMMYFUNCTION("""COMPUTED_VALUE"""),"Intel Core i7 2.2GHz")</f>
        <v>Intel Core i7 2.2GHz</v>
      </c>
      <c r="H8" s="2" t="str">
        <f ca="1">IFERROR(__xludf.DUMMYFUNCTION("""COMPUTED_VALUE"""),"16GB")</f>
        <v>16GB</v>
      </c>
      <c r="I8" s="2" t="str">
        <f ca="1">IFERROR(__xludf.DUMMYFUNCTION("""COMPUTED_VALUE"""),"256GB Flash Storage")</f>
        <v>256GB Flash Storage</v>
      </c>
      <c r="J8" s="2" t="str">
        <f ca="1">IFERROR(__xludf.DUMMYFUNCTION("""COMPUTED_VALUE"""),"Intel Iris Pro Graphics")</f>
        <v>Intel Iris Pro Graphics</v>
      </c>
      <c r="K8" s="2" t="str">
        <f ca="1">IFERROR(__xludf.DUMMYFUNCTION("""COMPUTED_VALUE"""),"Mac OS X")</f>
        <v>Mac OS X</v>
      </c>
      <c r="L8" s="2" t="str">
        <f ca="1">IFERROR(__xludf.DUMMYFUNCTION("""COMPUTED_VALUE"""),"2.04kg")</f>
        <v>2.04kg</v>
      </c>
      <c r="M8" s="2">
        <f ca="1">IFERROR(__xludf.DUMMYFUNCTION("""COMPUTED_VALUE"""),2139.97)</f>
        <v>2139.9699999999998</v>
      </c>
    </row>
    <row r="9" spans="1:13">
      <c r="A9" s="2">
        <f ca="1">IFERROR(__xludf.DUMMYFUNCTION("""COMPUTED_VALUE"""),8)</f>
        <v>8</v>
      </c>
      <c r="B9" s="2" t="str">
        <f ca="1">IFERROR(__xludf.DUMMYFUNCTION("""COMPUTED_VALUE"""),"Apple")</f>
        <v>Apple</v>
      </c>
      <c r="C9" s="2" t="str">
        <f ca="1">IFERROR(__xludf.DUMMYFUNCTION("""COMPUTED_VALUE"""),"Macbook Air")</f>
        <v>Macbook Air</v>
      </c>
      <c r="D9" s="2" t="str">
        <f ca="1">IFERROR(__xludf.DUMMYFUNCTION("""COMPUTED_VALUE"""),"Ultrabook")</f>
        <v>Ultrabook</v>
      </c>
      <c r="E9" s="2">
        <f ca="1">IFERROR(__xludf.DUMMYFUNCTION("""COMPUTED_VALUE"""),13.3)</f>
        <v>13.3</v>
      </c>
      <c r="F9" s="2" t="str">
        <f ca="1">IFERROR(__xludf.DUMMYFUNCTION("""COMPUTED_VALUE"""),"1440x900")</f>
        <v>1440x900</v>
      </c>
      <c r="G9" s="2" t="str">
        <f ca="1">IFERROR(__xludf.DUMMYFUNCTION("""COMPUTED_VALUE"""),"Intel Core i5 1.8GHz")</f>
        <v>Intel Core i5 1.8GHz</v>
      </c>
      <c r="H9" s="2" t="str">
        <f ca="1">IFERROR(__xludf.DUMMYFUNCTION("""COMPUTED_VALUE"""),"8GB")</f>
        <v>8GB</v>
      </c>
      <c r="I9" s="2" t="str">
        <f ca="1">IFERROR(__xludf.DUMMYFUNCTION("""COMPUTED_VALUE"""),"256GB Flash Storage")</f>
        <v>256GB Flash Storage</v>
      </c>
      <c r="J9" s="2" t="str">
        <f ca="1">IFERROR(__xludf.DUMMYFUNCTION("""COMPUTED_VALUE"""),"Intel HD Graphics 6000")</f>
        <v>Intel HD Graphics 6000</v>
      </c>
      <c r="K9" s="2" t="str">
        <f ca="1">IFERROR(__xludf.DUMMYFUNCTION("""COMPUTED_VALUE"""),"macOS")</f>
        <v>macOS</v>
      </c>
      <c r="L9" s="2" t="str">
        <f ca="1">IFERROR(__xludf.DUMMYFUNCTION("""COMPUTED_VALUE"""),"1.34kg")</f>
        <v>1.34kg</v>
      </c>
      <c r="M9" s="2">
        <f ca="1">IFERROR(__xludf.DUMMYFUNCTION("""COMPUTED_VALUE"""),1158.7)</f>
        <v>1158.7</v>
      </c>
    </row>
    <row r="10" spans="1:13">
      <c r="A10" s="2">
        <f ca="1">IFERROR(__xludf.DUMMYFUNCTION("""COMPUTED_VALUE"""),9)</f>
        <v>9</v>
      </c>
      <c r="B10" s="2" t="str">
        <f ca="1">IFERROR(__xludf.DUMMYFUNCTION("""COMPUTED_VALUE"""),"Asus")</f>
        <v>Asus</v>
      </c>
      <c r="C10" s="2" t="str">
        <f ca="1">IFERROR(__xludf.DUMMYFUNCTION("""COMPUTED_VALUE"""),"ZenBook UX430UN")</f>
        <v>ZenBook UX430UN</v>
      </c>
      <c r="D10" s="2" t="str">
        <f ca="1">IFERROR(__xludf.DUMMYFUNCTION("""COMPUTED_VALUE"""),"Ultrabook")</f>
        <v>Ultrabook</v>
      </c>
      <c r="E10" s="2">
        <f ca="1">IFERROR(__xludf.DUMMYFUNCTION("""COMPUTED_VALUE"""),14)</f>
        <v>14</v>
      </c>
      <c r="F10" s="2" t="str">
        <f ca="1">IFERROR(__xludf.DUMMYFUNCTION("""COMPUTED_VALUE"""),"Full HD 1920x1080")</f>
        <v>Full HD 1920x1080</v>
      </c>
      <c r="G10" s="2" t="str">
        <f ca="1">IFERROR(__xludf.DUMMYFUNCTION("""COMPUTED_VALUE"""),"Intel Core i7 8550U 1.8GHz")</f>
        <v>Intel Core i7 8550U 1.8GHz</v>
      </c>
      <c r="H10" s="2" t="str">
        <f ca="1">IFERROR(__xludf.DUMMYFUNCTION("""COMPUTED_VALUE"""),"16GB")</f>
        <v>16GB</v>
      </c>
      <c r="I10" s="2" t="str">
        <f ca="1">IFERROR(__xludf.DUMMYFUNCTION("""COMPUTED_VALUE"""),"512GB SSD")</f>
        <v>512GB SSD</v>
      </c>
      <c r="J10" s="2" t="str">
        <f ca="1">IFERROR(__xludf.DUMMYFUNCTION("""COMPUTED_VALUE"""),"Nvidia GeForce MX150")</f>
        <v>Nvidia GeForce MX150</v>
      </c>
      <c r="K10" s="2" t="str">
        <f ca="1">IFERROR(__xludf.DUMMYFUNCTION("""COMPUTED_VALUE"""),"Windows 10")</f>
        <v>Windows 10</v>
      </c>
      <c r="L10" s="2" t="str">
        <f ca="1">IFERROR(__xludf.DUMMYFUNCTION("""COMPUTED_VALUE"""),"1.3kg")</f>
        <v>1.3kg</v>
      </c>
      <c r="M10" s="2">
        <f ca="1">IFERROR(__xludf.DUMMYFUNCTION("""COMPUTED_VALUE"""),1495)</f>
        <v>1495</v>
      </c>
    </row>
    <row r="11" spans="1:13">
      <c r="A11" s="2">
        <f ca="1">IFERROR(__xludf.DUMMYFUNCTION("""COMPUTED_VALUE"""),10)</f>
        <v>10</v>
      </c>
      <c r="B11" s="2" t="str">
        <f ca="1">IFERROR(__xludf.DUMMYFUNCTION("""COMPUTED_VALUE"""),"Acer")</f>
        <v>Acer</v>
      </c>
      <c r="C11" s="2" t="str">
        <f ca="1">IFERROR(__xludf.DUMMYFUNCTION("""COMPUTED_VALUE"""),"Swift 3")</f>
        <v>Swift 3</v>
      </c>
      <c r="D11" s="2" t="str">
        <f ca="1">IFERROR(__xludf.DUMMYFUNCTION("""COMPUTED_VALUE"""),"Ultrabook")</f>
        <v>Ultrabook</v>
      </c>
      <c r="E11" s="2">
        <f ca="1">IFERROR(__xludf.DUMMYFUNCTION("""COMPUTED_VALUE"""),14)</f>
        <v>14</v>
      </c>
      <c r="F11" s="2" t="str">
        <f ca="1">IFERROR(__xludf.DUMMYFUNCTION("""COMPUTED_VALUE"""),"IPS Panel Full HD 1920x1080")</f>
        <v>IPS Panel Full HD 1920x1080</v>
      </c>
      <c r="G11" s="2" t="str">
        <f ca="1">IFERROR(__xludf.DUMMYFUNCTION("""COMPUTED_VALUE"""),"Intel Core i5 8250U 1.6GHz")</f>
        <v>Intel Core i5 8250U 1.6GHz</v>
      </c>
      <c r="H11" s="2" t="str">
        <f ca="1">IFERROR(__xludf.DUMMYFUNCTION("""COMPUTED_VALUE"""),"8GB")</f>
        <v>8GB</v>
      </c>
      <c r="I11" s="2" t="str">
        <f ca="1">IFERROR(__xludf.DUMMYFUNCTION("""COMPUTED_VALUE"""),"256GB SSD")</f>
        <v>256GB SSD</v>
      </c>
      <c r="J11" s="2" t="str">
        <f ca="1">IFERROR(__xludf.DUMMYFUNCTION("""COMPUTED_VALUE"""),"Intel UHD Graphics 620")</f>
        <v>Intel UHD Graphics 620</v>
      </c>
      <c r="K11" s="2" t="str">
        <f ca="1">IFERROR(__xludf.DUMMYFUNCTION("""COMPUTED_VALUE"""),"Windows 10")</f>
        <v>Windows 10</v>
      </c>
      <c r="L11" s="2" t="str">
        <f ca="1">IFERROR(__xludf.DUMMYFUNCTION("""COMPUTED_VALUE"""),"1.6kg")</f>
        <v>1.6kg</v>
      </c>
      <c r="M11" s="2">
        <f ca="1">IFERROR(__xludf.DUMMYFUNCTION("""COMPUTED_VALUE"""),770)</f>
        <v>770</v>
      </c>
    </row>
    <row r="12" spans="1:13">
      <c r="A12" s="2">
        <f ca="1">IFERROR(__xludf.DUMMYFUNCTION("""COMPUTED_VALUE"""),11)</f>
        <v>11</v>
      </c>
      <c r="B12" s="2" t="str">
        <f ca="1">IFERROR(__xludf.DUMMYFUNCTION("""COMPUTED_VALUE"""),"HP")</f>
        <v>HP</v>
      </c>
      <c r="C12" s="2" t="str">
        <f ca="1">IFERROR(__xludf.DUMMYFUNCTION("""COMPUTED_VALUE"""),"250 G6")</f>
        <v>250 G6</v>
      </c>
      <c r="D12" s="2" t="str">
        <f ca="1">IFERROR(__xludf.DUMMYFUNCTION("""COMPUTED_VALUE"""),"Notebook")</f>
        <v>Notebook</v>
      </c>
      <c r="E12" s="2">
        <f ca="1">IFERROR(__xludf.DUMMYFUNCTION("""COMPUTED_VALUE"""),15.6)</f>
        <v>15.6</v>
      </c>
      <c r="F12" s="2" t="str">
        <f ca="1">IFERROR(__xludf.DUMMYFUNCTION("""COMPUTED_VALUE"""),"1366x768")</f>
        <v>1366x768</v>
      </c>
      <c r="G12" s="2" t="str">
        <f ca="1">IFERROR(__xludf.DUMMYFUNCTION("""COMPUTED_VALUE"""),"Intel Core i5 7200U 2.5GHz")</f>
        <v>Intel Core i5 7200U 2.5GHz</v>
      </c>
      <c r="H12" s="2" t="str">
        <f ca="1">IFERROR(__xludf.DUMMYFUNCTION("""COMPUTED_VALUE"""),"4GB")</f>
        <v>4GB</v>
      </c>
      <c r="I12" s="2" t="str">
        <f ca="1">IFERROR(__xludf.DUMMYFUNCTION("""COMPUTED_VALUE"""),"500GB HDD")</f>
        <v>500GB HDD</v>
      </c>
      <c r="J12" s="2" t="str">
        <f ca="1">IFERROR(__xludf.DUMMYFUNCTION("""COMPUTED_VALUE"""),"Intel HD Graphics 620")</f>
        <v>Intel HD Graphics 620</v>
      </c>
      <c r="K12" s="2" t="str">
        <f ca="1">IFERROR(__xludf.DUMMYFUNCTION("""COMPUTED_VALUE"""),"No OS")</f>
        <v>No OS</v>
      </c>
      <c r="L12" s="2" t="str">
        <f ca="1">IFERROR(__xludf.DUMMYFUNCTION("""COMPUTED_VALUE"""),"1.86kg")</f>
        <v>1.86kg</v>
      </c>
      <c r="M12" s="2">
        <f ca="1">IFERROR(__xludf.DUMMYFUNCTION("""COMPUTED_VALUE"""),393.9)</f>
        <v>393.9</v>
      </c>
    </row>
    <row r="13" spans="1:13">
      <c r="A13" s="2">
        <f ca="1">IFERROR(__xludf.DUMMYFUNCTION("""COMPUTED_VALUE"""),12)</f>
        <v>12</v>
      </c>
      <c r="B13" s="2" t="str">
        <f ca="1">IFERROR(__xludf.DUMMYFUNCTION("""COMPUTED_VALUE"""),"HP")</f>
        <v>HP</v>
      </c>
      <c r="C13" s="2" t="str">
        <f ca="1">IFERROR(__xludf.DUMMYFUNCTION("""COMPUTED_VALUE"""),"250 G6")</f>
        <v>250 G6</v>
      </c>
      <c r="D13" s="2" t="str">
        <f ca="1">IFERROR(__xludf.DUMMYFUNCTION("""COMPUTED_VALUE"""),"Notebook")</f>
        <v>Notebook</v>
      </c>
      <c r="E13" s="2">
        <f ca="1">IFERROR(__xludf.DUMMYFUNCTION("""COMPUTED_VALUE"""),15.6)</f>
        <v>15.6</v>
      </c>
      <c r="F13" s="2" t="str">
        <f ca="1">IFERROR(__xludf.DUMMYFUNCTION("""COMPUTED_VALUE"""),"Full HD 1920x1080")</f>
        <v>Full HD 1920x1080</v>
      </c>
      <c r="G13" s="2" t="str">
        <f ca="1">IFERROR(__xludf.DUMMYFUNCTION("""COMPUTED_VALUE"""),"Intel Core i3 6006U 2GHz")</f>
        <v>Intel Core i3 6006U 2GHz</v>
      </c>
      <c r="H13" s="2" t="str">
        <f ca="1">IFERROR(__xludf.DUMMYFUNCTION("""COMPUTED_VALUE"""),"4GB")</f>
        <v>4GB</v>
      </c>
      <c r="I13" s="2" t="str">
        <f ca="1">IFERROR(__xludf.DUMMYFUNCTION("""COMPUTED_VALUE"""),"500GB HDD")</f>
        <v>500GB HDD</v>
      </c>
      <c r="J13" s="2" t="str">
        <f ca="1">IFERROR(__xludf.DUMMYFUNCTION("""COMPUTED_VALUE"""),"Intel HD Graphics 520")</f>
        <v>Intel HD Graphics 520</v>
      </c>
      <c r="K13" s="2" t="str">
        <f ca="1">IFERROR(__xludf.DUMMYFUNCTION("""COMPUTED_VALUE"""),"No OS")</f>
        <v>No OS</v>
      </c>
      <c r="L13" s="2" t="str">
        <f ca="1">IFERROR(__xludf.DUMMYFUNCTION("""COMPUTED_VALUE"""),"1.86kg")</f>
        <v>1.86kg</v>
      </c>
      <c r="M13" s="2">
        <f ca="1">IFERROR(__xludf.DUMMYFUNCTION("""COMPUTED_VALUE"""),344.99)</f>
        <v>344.99</v>
      </c>
    </row>
    <row r="14" spans="1:13">
      <c r="A14" s="2">
        <f ca="1">IFERROR(__xludf.DUMMYFUNCTION("""COMPUTED_VALUE"""),13)</f>
        <v>13</v>
      </c>
      <c r="B14" s="2" t="str">
        <f ca="1">IFERROR(__xludf.DUMMYFUNCTION("""COMPUTED_VALUE"""),"Apple")</f>
        <v>Apple</v>
      </c>
      <c r="C14" s="2" t="str">
        <f ca="1">IFERROR(__xludf.DUMMYFUNCTION("""COMPUTED_VALUE"""),"MacBook Pro")</f>
        <v>MacBook Pro</v>
      </c>
      <c r="D14" s="2" t="str">
        <f ca="1">IFERROR(__xludf.DUMMYFUNCTION("""COMPUTED_VALUE"""),"Ultrabook")</f>
        <v>Ultrabook</v>
      </c>
      <c r="E14" s="2">
        <f ca="1">IFERROR(__xludf.DUMMYFUNCTION("""COMPUTED_VALUE"""),15.4)</f>
        <v>15.4</v>
      </c>
      <c r="F14" s="2" t="str">
        <f ca="1">IFERROR(__xludf.DUMMYFUNCTION("""COMPUTED_VALUE"""),"IPS Panel Retina Display 2880x1800")</f>
        <v>IPS Panel Retina Display 2880x1800</v>
      </c>
      <c r="G14" s="2" t="str">
        <f ca="1">IFERROR(__xludf.DUMMYFUNCTION("""COMPUTED_VALUE"""),"Intel Core i7 2.8GHz")</f>
        <v>Intel Core i7 2.8GHz</v>
      </c>
      <c r="H14" s="2" t="str">
        <f ca="1">IFERROR(__xludf.DUMMYFUNCTION("""COMPUTED_VALUE"""),"16GB")</f>
        <v>16GB</v>
      </c>
      <c r="I14" s="2" t="str">
        <f ca="1">IFERROR(__xludf.DUMMYFUNCTION("""COMPUTED_VALUE"""),"256GB SSD")</f>
        <v>256GB SSD</v>
      </c>
      <c r="J14" s="2" t="str">
        <f ca="1">IFERROR(__xludf.DUMMYFUNCTION("""COMPUTED_VALUE"""),"AMD Radeon Pro 555")</f>
        <v>AMD Radeon Pro 555</v>
      </c>
      <c r="K14" s="2" t="str">
        <f ca="1">IFERROR(__xludf.DUMMYFUNCTION("""COMPUTED_VALUE"""),"macOS")</f>
        <v>macOS</v>
      </c>
      <c r="L14" s="2" t="str">
        <f ca="1">IFERROR(__xludf.DUMMYFUNCTION("""COMPUTED_VALUE"""),"1.83kg")</f>
        <v>1.83kg</v>
      </c>
      <c r="M14" s="2">
        <f ca="1">IFERROR(__xludf.DUMMYFUNCTION("""COMPUTED_VALUE"""),2439.97)</f>
        <v>2439.9699999999998</v>
      </c>
    </row>
    <row r="15" spans="1:13">
      <c r="A15" s="2">
        <f ca="1">IFERROR(__xludf.DUMMYFUNCTION("""COMPUTED_VALUE"""),14)</f>
        <v>14</v>
      </c>
      <c r="B15" s="2" t="str">
        <f ca="1">IFERROR(__xludf.DUMMYFUNCTION("""COMPUTED_VALUE"""),"Dell")</f>
        <v>Dell</v>
      </c>
      <c r="C15" s="2" t="str">
        <f ca="1">IFERROR(__xludf.DUMMYFUNCTION("""COMPUTED_VALUE"""),"Inspiron 3567")</f>
        <v>Inspiron 3567</v>
      </c>
      <c r="D15" s="2" t="str">
        <f ca="1">IFERROR(__xludf.DUMMYFUNCTION("""COMPUTED_VALUE"""),"Notebook")</f>
        <v>Notebook</v>
      </c>
      <c r="E15" s="2">
        <f ca="1">IFERROR(__xludf.DUMMYFUNCTION("""COMPUTED_VALUE"""),15.6)</f>
        <v>15.6</v>
      </c>
      <c r="F15" s="2" t="str">
        <f ca="1">IFERROR(__xludf.DUMMYFUNCTION("""COMPUTED_VALUE"""),"Full HD 1920x1080")</f>
        <v>Full HD 1920x1080</v>
      </c>
      <c r="G15" s="2" t="str">
        <f ca="1">IFERROR(__xludf.DUMMYFUNCTION("""COMPUTED_VALUE"""),"Intel Core i3 6006U 2GHz")</f>
        <v>Intel Core i3 6006U 2GHz</v>
      </c>
      <c r="H15" s="2" t="str">
        <f ca="1">IFERROR(__xludf.DUMMYFUNCTION("""COMPUTED_VALUE"""),"4GB")</f>
        <v>4GB</v>
      </c>
      <c r="I15" s="2" t="str">
        <f ca="1">IFERROR(__xludf.DUMMYFUNCTION("""COMPUTED_VALUE"""),"256GB SSD")</f>
        <v>256GB SSD</v>
      </c>
      <c r="J15" s="2" t="str">
        <f ca="1">IFERROR(__xludf.DUMMYFUNCTION("""COMPUTED_VALUE"""),"AMD Radeon R5 M430")</f>
        <v>AMD Radeon R5 M430</v>
      </c>
      <c r="K15" s="2" t="str">
        <f ca="1">IFERROR(__xludf.DUMMYFUNCTION("""COMPUTED_VALUE"""),"Windows 10")</f>
        <v>Windows 10</v>
      </c>
      <c r="L15" s="2" t="str">
        <f ca="1">IFERROR(__xludf.DUMMYFUNCTION("""COMPUTED_VALUE"""),"2.2kg")</f>
        <v>2.2kg</v>
      </c>
      <c r="M15" s="2">
        <f ca="1">IFERROR(__xludf.DUMMYFUNCTION("""COMPUTED_VALUE"""),498.9)</f>
        <v>498.9</v>
      </c>
    </row>
    <row r="16" spans="1:13">
      <c r="A16" s="2">
        <f ca="1">IFERROR(__xludf.DUMMYFUNCTION("""COMPUTED_VALUE"""),15)</f>
        <v>15</v>
      </c>
      <c r="B16" s="2" t="str">
        <f ca="1">IFERROR(__xludf.DUMMYFUNCTION("""COMPUTED_VALUE"""),"Apple")</f>
        <v>Apple</v>
      </c>
      <c r="C16" s="2" t="str">
        <f ca="1">IFERROR(__xludf.DUMMYFUNCTION("""COMPUTED_VALUE"""),"MacBook 12""")</f>
        <v>MacBook 12"</v>
      </c>
      <c r="D16" s="2" t="str">
        <f ca="1">IFERROR(__xludf.DUMMYFUNCTION("""COMPUTED_VALUE"""),"Ultrabook")</f>
        <v>Ultrabook</v>
      </c>
      <c r="E16" s="2">
        <f ca="1">IFERROR(__xludf.DUMMYFUNCTION("""COMPUTED_VALUE"""),12)</f>
        <v>12</v>
      </c>
      <c r="F16" s="2" t="str">
        <f ca="1">IFERROR(__xludf.DUMMYFUNCTION("""COMPUTED_VALUE"""),"IPS Panel Retina Display 2304x1440")</f>
        <v>IPS Panel Retina Display 2304x1440</v>
      </c>
      <c r="G16" s="2" t="str">
        <f ca="1">IFERROR(__xludf.DUMMYFUNCTION("""COMPUTED_VALUE"""),"Intel Core M m3 1.2GHz")</f>
        <v>Intel Core M m3 1.2GHz</v>
      </c>
      <c r="H16" s="2" t="str">
        <f ca="1">IFERROR(__xludf.DUMMYFUNCTION("""COMPUTED_VALUE"""),"8GB")</f>
        <v>8GB</v>
      </c>
      <c r="I16" s="2" t="str">
        <f ca="1">IFERROR(__xludf.DUMMYFUNCTION("""COMPUTED_VALUE"""),"256GB SSD")</f>
        <v>256GB SSD</v>
      </c>
      <c r="J16" s="2" t="str">
        <f ca="1">IFERROR(__xludf.DUMMYFUNCTION("""COMPUTED_VALUE"""),"Intel HD Graphics 615")</f>
        <v>Intel HD Graphics 615</v>
      </c>
      <c r="K16" s="2" t="str">
        <f ca="1">IFERROR(__xludf.DUMMYFUNCTION("""COMPUTED_VALUE"""),"macOS")</f>
        <v>macOS</v>
      </c>
      <c r="L16" s="2" t="str">
        <f ca="1">IFERROR(__xludf.DUMMYFUNCTION("""COMPUTED_VALUE"""),"0.92kg")</f>
        <v>0.92kg</v>
      </c>
      <c r="M16" s="2">
        <f ca="1">IFERROR(__xludf.DUMMYFUNCTION("""COMPUTED_VALUE"""),1262.4)</f>
        <v>1262.4000000000001</v>
      </c>
    </row>
    <row r="17" spans="1:13">
      <c r="A17" s="2">
        <f ca="1">IFERROR(__xludf.DUMMYFUNCTION("""COMPUTED_VALUE"""),16)</f>
        <v>16</v>
      </c>
      <c r="B17" s="2" t="str">
        <f ca="1">IFERROR(__xludf.DUMMYFUNCTION("""COMPUTED_VALUE"""),"Apple")</f>
        <v>Apple</v>
      </c>
      <c r="C17" s="2" t="str">
        <f ca="1">IFERROR(__xludf.DUMMYFUNCTION("""COMPUTED_VALUE"""),"MacBook Pro")</f>
        <v>MacBook Pro</v>
      </c>
      <c r="D17" s="2" t="str">
        <f ca="1">IFERROR(__xludf.DUMMYFUNCTION("""COMPUTED_VALUE"""),"Ultrabook")</f>
        <v>Ultrabook</v>
      </c>
      <c r="E17" s="2">
        <f ca="1">IFERROR(__xludf.DUMMYFUNCTION("""COMPUTED_VALUE"""),13.3)</f>
        <v>13.3</v>
      </c>
      <c r="F17" s="2" t="str">
        <f ca="1">IFERROR(__xludf.DUMMYFUNCTION("""COMPUTED_VALUE"""),"IPS Panel Retina Display 2560x1600")</f>
        <v>IPS Panel Retina Display 2560x1600</v>
      </c>
      <c r="G17" s="2" t="str">
        <f ca="1">IFERROR(__xludf.DUMMYFUNCTION("""COMPUTED_VALUE"""),"Intel Core i5 2.3GHz")</f>
        <v>Intel Core i5 2.3GHz</v>
      </c>
      <c r="H17" s="2" t="str">
        <f ca="1">IFERROR(__xludf.DUMMYFUNCTION("""COMPUTED_VALUE"""),"8GB")</f>
        <v>8GB</v>
      </c>
      <c r="I17" s="2" t="str">
        <f ca="1">IFERROR(__xludf.DUMMYFUNCTION("""COMPUTED_VALUE"""),"256GB SSD")</f>
        <v>256GB SSD</v>
      </c>
      <c r="J17" s="2" t="str">
        <f ca="1">IFERROR(__xludf.DUMMYFUNCTION("""COMPUTED_VALUE"""),"Intel Iris Plus Graphics 640")</f>
        <v>Intel Iris Plus Graphics 640</v>
      </c>
      <c r="K17" s="2" t="str">
        <f ca="1">IFERROR(__xludf.DUMMYFUNCTION("""COMPUTED_VALUE"""),"macOS")</f>
        <v>macOS</v>
      </c>
      <c r="L17" s="2" t="str">
        <f ca="1">IFERROR(__xludf.DUMMYFUNCTION("""COMPUTED_VALUE"""),"1.37kg")</f>
        <v>1.37kg</v>
      </c>
      <c r="M17" s="2">
        <f ca="1">IFERROR(__xludf.DUMMYFUNCTION("""COMPUTED_VALUE"""),1518.55)</f>
        <v>1518.55</v>
      </c>
    </row>
    <row r="18" spans="1:13">
      <c r="A18" s="2">
        <f ca="1">IFERROR(__xludf.DUMMYFUNCTION("""COMPUTED_VALUE"""),17)</f>
        <v>17</v>
      </c>
      <c r="B18" s="2" t="str">
        <f ca="1">IFERROR(__xludf.DUMMYFUNCTION("""COMPUTED_VALUE"""),"Dell")</f>
        <v>Dell</v>
      </c>
      <c r="C18" s="2" t="str">
        <f ca="1">IFERROR(__xludf.DUMMYFUNCTION("""COMPUTED_VALUE"""),"Inspiron 3567")</f>
        <v>Inspiron 3567</v>
      </c>
      <c r="D18" s="2" t="str">
        <f ca="1">IFERROR(__xludf.DUMMYFUNCTION("""COMPUTED_VALUE"""),"Notebook")</f>
        <v>Notebook</v>
      </c>
      <c r="E18" s="2">
        <f ca="1">IFERROR(__xludf.DUMMYFUNCTION("""COMPUTED_VALUE"""),15.6)</f>
        <v>15.6</v>
      </c>
      <c r="F18" s="2" t="str">
        <f ca="1">IFERROR(__xludf.DUMMYFUNCTION("""COMPUTED_VALUE"""),"Full HD 1920x1080")</f>
        <v>Full HD 1920x1080</v>
      </c>
      <c r="G18" s="2" t="str">
        <f ca="1">IFERROR(__xludf.DUMMYFUNCTION("""COMPUTED_VALUE"""),"Intel Core i7 7500U 2.7GHz")</f>
        <v>Intel Core i7 7500U 2.7GHz</v>
      </c>
      <c r="H18" s="2" t="str">
        <f ca="1">IFERROR(__xludf.DUMMYFUNCTION("""COMPUTED_VALUE"""),"8GB")</f>
        <v>8GB</v>
      </c>
      <c r="I18" s="2" t="str">
        <f ca="1">IFERROR(__xludf.DUMMYFUNCTION("""COMPUTED_VALUE"""),"256GB SSD")</f>
        <v>256GB SSD</v>
      </c>
      <c r="J18" s="2" t="str">
        <f ca="1">IFERROR(__xludf.DUMMYFUNCTION("""COMPUTED_VALUE"""),"AMD Radeon R5 M430")</f>
        <v>AMD Radeon R5 M430</v>
      </c>
      <c r="K18" s="2" t="str">
        <f ca="1">IFERROR(__xludf.DUMMYFUNCTION("""COMPUTED_VALUE"""),"Windows 10")</f>
        <v>Windows 10</v>
      </c>
      <c r="L18" s="2" t="str">
        <f ca="1">IFERROR(__xludf.DUMMYFUNCTION("""COMPUTED_VALUE"""),"2.2kg")</f>
        <v>2.2kg</v>
      </c>
      <c r="M18" s="2">
        <f ca="1">IFERROR(__xludf.DUMMYFUNCTION("""COMPUTED_VALUE"""),745)</f>
        <v>745</v>
      </c>
    </row>
    <row r="19" spans="1:13">
      <c r="A19" s="2">
        <f ca="1">IFERROR(__xludf.DUMMYFUNCTION("""COMPUTED_VALUE"""),18)</f>
        <v>18</v>
      </c>
      <c r="B19" s="2" t="str">
        <f ca="1">IFERROR(__xludf.DUMMYFUNCTION("""COMPUTED_VALUE"""),"Apple")</f>
        <v>Apple</v>
      </c>
      <c r="C19" s="2" t="str">
        <f ca="1">IFERROR(__xludf.DUMMYFUNCTION("""COMPUTED_VALUE"""),"MacBook Pro")</f>
        <v>MacBook Pro</v>
      </c>
      <c r="D19" s="2" t="str">
        <f ca="1">IFERROR(__xludf.DUMMYFUNCTION("""COMPUTED_VALUE"""),"Ultrabook")</f>
        <v>Ultrabook</v>
      </c>
      <c r="E19" s="2">
        <f ca="1">IFERROR(__xludf.DUMMYFUNCTION("""COMPUTED_VALUE"""),15.4)</f>
        <v>15.4</v>
      </c>
      <c r="F19" s="2" t="str">
        <f ca="1">IFERROR(__xludf.DUMMYFUNCTION("""COMPUTED_VALUE"""),"IPS Panel Retina Display 2880x1800")</f>
        <v>IPS Panel Retina Display 2880x1800</v>
      </c>
      <c r="G19" s="2" t="str">
        <f ca="1">IFERROR(__xludf.DUMMYFUNCTION("""COMPUTED_VALUE"""),"Intel Core i7 2.9GHz")</f>
        <v>Intel Core i7 2.9GHz</v>
      </c>
      <c r="H19" s="2" t="str">
        <f ca="1">IFERROR(__xludf.DUMMYFUNCTION("""COMPUTED_VALUE"""),"16GB")</f>
        <v>16GB</v>
      </c>
      <c r="I19" s="2" t="str">
        <f ca="1">IFERROR(__xludf.DUMMYFUNCTION("""COMPUTED_VALUE"""),"512GB SSD")</f>
        <v>512GB SSD</v>
      </c>
      <c r="J19" s="2" t="str">
        <f ca="1">IFERROR(__xludf.DUMMYFUNCTION("""COMPUTED_VALUE"""),"AMD Radeon Pro 560")</f>
        <v>AMD Radeon Pro 560</v>
      </c>
      <c r="K19" s="2" t="str">
        <f ca="1">IFERROR(__xludf.DUMMYFUNCTION("""COMPUTED_VALUE"""),"macOS")</f>
        <v>macOS</v>
      </c>
      <c r="L19" s="2" t="str">
        <f ca="1">IFERROR(__xludf.DUMMYFUNCTION("""COMPUTED_VALUE"""),"1.83kg")</f>
        <v>1.83kg</v>
      </c>
      <c r="M19" s="2">
        <f ca="1">IFERROR(__xludf.DUMMYFUNCTION("""COMPUTED_VALUE"""),2858)</f>
        <v>2858</v>
      </c>
    </row>
    <row r="20" spans="1:13">
      <c r="A20" s="2">
        <f ca="1">IFERROR(__xludf.DUMMYFUNCTION("""COMPUTED_VALUE"""),19)</f>
        <v>19</v>
      </c>
      <c r="B20" s="2" t="str">
        <f ca="1">IFERROR(__xludf.DUMMYFUNCTION("""COMPUTED_VALUE"""),"Lenovo")</f>
        <v>Lenovo</v>
      </c>
      <c r="C20" s="2" t="str">
        <f ca="1">IFERROR(__xludf.DUMMYFUNCTION("""COMPUTED_VALUE"""),"IdeaPad 320-15IKB")</f>
        <v>IdeaPad 320-15IKB</v>
      </c>
      <c r="D20" s="2" t="str">
        <f ca="1">IFERROR(__xludf.DUMMYFUNCTION("""COMPUTED_VALUE"""),"Notebook")</f>
        <v>Notebook</v>
      </c>
      <c r="E20" s="2">
        <f ca="1">IFERROR(__xludf.DUMMYFUNCTION("""COMPUTED_VALUE"""),15.6)</f>
        <v>15.6</v>
      </c>
      <c r="F20" s="2" t="str">
        <f ca="1">IFERROR(__xludf.DUMMYFUNCTION("""COMPUTED_VALUE"""),"Full HD 1920x1080")</f>
        <v>Full HD 1920x1080</v>
      </c>
      <c r="G20" s="2" t="str">
        <f ca="1">IFERROR(__xludf.DUMMYFUNCTION("""COMPUTED_VALUE"""),"Intel Core i3 7100U 2.4GHz")</f>
        <v>Intel Core i3 7100U 2.4GHz</v>
      </c>
      <c r="H20" s="2" t="str">
        <f ca="1">IFERROR(__xludf.DUMMYFUNCTION("""COMPUTED_VALUE"""),"8GB")</f>
        <v>8GB</v>
      </c>
      <c r="I20" s="2" t="str">
        <f ca="1">IFERROR(__xludf.DUMMYFUNCTION("""COMPUTED_VALUE"""),"1TB HDD")</f>
        <v>1TB HDD</v>
      </c>
      <c r="J20" s="2" t="str">
        <f ca="1">IFERROR(__xludf.DUMMYFUNCTION("""COMPUTED_VALUE"""),"Nvidia GeForce 940MX")</f>
        <v>Nvidia GeForce 940MX</v>
      </c>
      <c r="K20" s="2" t="str">
        <f ca="1">IFERROR(__xludf.DUMMYFUNCTION("""COMPUTED_VALUE"""),"No OS")</f>
        <v>No OS</v>
      </c>
      <c r="L20" s="2" t="str">
        <f ca="1">IFERROR(__xludf.DUMMYFUNCTION("""COMPUTED_VALUE"""),"2.2kg")</f>
        <v>2.2kg</v>
      </c>
      <c r="M20" s="2">
        <f ca="1">IFERROR(__xludf.DUMMYFUNCTION("""COMPUTED_VALUE"""),499)</f>
        <v>499</v>
      </c>
    </row>
    <row r="21" spans="1:13">
      <c r="A21" s="2">
        <f ca="1">IFERROR(__xludf.DUMMYFUNCTION("""COMPUTED_VALUE"""),20)</f>
        <v>20</v>
      </c>
      <c r="B21" s="2" t="str">
        <f ca="1">IFERROR(__xludf.DUMMYFUNCTION("""COMPUTED_VALUE"""),"Dell")</f>
        <v>Dell</v>
      </c>
      <c r="C21" s="2" t="str">
        <f ca="1">IFERROR(__xludf.DUMMYFUNCTION("""COMPUTED_VALUE"""),"XPS 13")</f>
        <v>XPS 13</v>
      </c>
      <c r="D21" s="2" t="str">
        <f ca="1">IFERROR(__xludf.DUMMYFUNCTION("""COMPUTED_VALUE"""),"Ultrabook")</f>
        <v>Ultrabook</v>
      </c>
      <c r="E21" s="2">
        <f ca="1">IFERROR(__xludf.DUMMYFUNCTION("""COMPUTED_VALUE"""),13.3)</f>
        <v>13.3</v>
      </c>
      <c r="F21" s="2" t="str">
        <f ca="1">IFERROR(__xludf.DUMMYFUNCTION("""COMPUTED_VALUE"""),"IPS Panel Full HD / Touchscreen 1920x1080")</f>
        <v>IPS Panel Full HD / Touchscreen 1920x1080</v>
      </c>
      <c r="G21" s="2" t="str">
        <f ca="1">IFERROR(__xludf.DUMMYFUNCTION("""COMPUTED_VALUE"""),"Intel Core i5 8250U 1.6GHz")</f>
        <v>Intel Core i5 8250U 1.6GHz</v>
      </c>
      <c r="H21" s="2" t="str">
        <f ca="1">IFERROR(__xludf.DUMMYFUNCTION("""COMPUTED_VALUE"""),"8GB")</f>
        <v>8GB</v>
      </c>
      <c r="I21" s="2" t="str">
        <f ca="1">IFERROR(__xludf.DUMMYFUNCTION("""COMPUTED_VALUE"""),"128GB SSD")</f>
        <v>128GB SSD</v>
      </c>
      <c r="J21" s="2" t="str">
        <f ca="1">IFERROR(__xludf.DUMMYFUNCTION("""COMPUTED_VALUE"""),"Intel UHD Graphics 620")</f>
        <v>Intel UHD Graphics 620</v>
      </c>
      <c r="K21" s="2" t="str">
        <f ca="1">IFERROR(__xludf.DUMMYFUNCTION("""COMPUTED_VALUE"""),"Windows 10")</f>
        <v>Windows 10</v>
      </c>
      <c r="L21" s="2" t="str">
        <f ca="1">IFERROR(__xludf.DUMMYFUNCTION("""COMPUTED_VALUE"""),"1.22kg")</f>
        <v>1.22kg</v>
      </c>
      <c r="M21" s="2">
        <f ca="1">IFERROR(__xludf.DUMMYFUNCTION("""COMPUTED_VALUE"""),979)</f>
        <v>979</v>
      </c>
    </row>
    <row r="22" spans="1:13">
      <c r="A22" s="2">
        <f ca="1">IFERROR(__xludf.DUMMYFUNCTION("""COMPUTED_VALUE"""),21)</f>
        <v>21</v>
      </c>
      <c r="B22" s="2" t="str">
        <f ca="1">IFERROR(__xludf.DUMMYFUNCTION("""COMPUTED_VALUE"""),"Asus")</f>
        <v>Asus</v>
      </c>
      <c r="C22" s="2" t="str">
        <f ca="1">IFERROR(__xludf.DUMMYFUNCTION("""COMPUTED_VALUE"""),"Vivobook E200HA")</f>
        <v>Vivobook E200HA</v>
      </c>
      <c r="D22" s="2" t="str">
        <f ca="1">IFERROR(__xludf.DUMMYFUNCTION("""COMPUTED_VALUE"""),"Netbook")</f>
        <v>Netbook</v>
      </c>
      <c r="E22" s="2">
        <f ca="1">IFERROR(__xludf.DUMMYFUNCTION("""COMPUTED_VALUE"""),11.6)</f>
        <v>11.6</v>
      </c>
      <c r="F22" s="2" t="str">
        <f ca="1">IFERROR(__xludf.DUMMYFUNCTION("""COMPUTED_VALUE"""),"1366x768")</f>
        <v>1366x768</v>
      </c>
      <c r="G22" s="2" t="str">
        <f ca="1">IFERROR(__xludf.DUMMYFUNCTION("""COMPUTED_VALUE"""),"Intel Atom x5-Z8350 1.44GHz")</f>
        <v>Intel Atom x5-Z8350 1.44GHz</v>
      </c>
      <c r="H22" s="2" t="str">
        <f ca="1">IFERROR(__xludf.DUMMYFUNCTION("""COMPUTED_VALUE"""),"2GB")</f>
        <v>2GB</v>
      </c>
      <c r="I22" s="2" t="str">
        <f ca="1">IFERROR(__xludf.DUMMYFUNCTION("""COMPUTED_VALUE"""),"32GB Flash Storage")</f>
        <v>32GB Flash Storage</v>
      </c>
      <c r="J22" s="2" t="str">
        <f ca="1">IFERROR(__xludf.DUMMYFUNCTION("""COMPUTED_VALUE"""),"Intel HD Graphics 400")</f>
        <v>Intel HD Graphics 400</v>
      </c>
      <c r="K22" s="2" t="str">
        <f ca="1">IFERROR(__xludf.DUMMYFUNCTION("""COMPUTED_VALUE"""),"Windows 10")</f>
        <v>Windows 10</v>
      </c>
      <c r="L22" s="2" t="str">
        <f ca="1">IFERROR(__xludf.DUMMYFUNCTION("""COMPUTED_VALUE"""),"0.98kg")</f>
        <v>0.98kg</v>
      </c>
      <c r="M22" s="2">
        <f ca="1">IFERROR(__xludf.DUMMYFUNCTION("""COMPUTED_VALUE"""),191.9)</f>
        <v>191.9</v>
      </c>
    </row>
    <row r="23" spans="1:13">
      <c r="A23" s="2">
        <f ca="1">IFERROR(__xludf.DUMMYFUNCTION("""COMPUTED_VALUE"""),22)</f>
        <v>22</v>
      </c>
      <c r="B23" s="2" t="str">
        <f ca="1">IFERROR(__xludf.DUMMYFUNCTION("""COMPUTED_VALUE"""),"Lenovo")</f>
        <v>Lenovo</v>
      </c>
      <c r="C23" s="2" t="str">
        <f ca="1">IFERROR(__xludf.DUMMYFUNCTION("""COMPUTED_VALUE"""),"Legion Y520-15IKBN")</f>
        <v>Legion Y520-15IKBN</v>
      </c>
      <c r="D23" s="2" t="str">
        <f ca="1">IFERROR(__xludf.DUMMYFUNCTION("""COMPUTED_VALUE"""),"Gaming")</f>
        <v>Gaming</v>
      </c>
      <c r="E23" s="2">
        <f ca="1">IFERROR(__xludf.DUMMYFUNCTION("""COMPUTED_VALUE"""),15.6)</f>
        <v>15.6</v>
      </c>
      <c r="F23" s="2" t="str">
        <f ca="1">IFERROR(__xludf.DUMMYFUNCTION("""COMPUTED_VALUE"""),"IPS Panel Full HD 1920x1080")</f>
        <v>IPS Panel Full HD 1920x1080</v>
      </c>
      <c r="G23" s="2" t="str">
        <f ca="1">IFERROR(__xludf.DUMMYFUNCTION("""COMPUTED_VALUE"""),"Intel Core i5 7300HQ 2.5GHz")</f>
        <v>Intel Core i5 7300HQ 2.5GHz</v>
      </c>
      <c r="H23" s="2" t="str">
        <f ca="1">IFERROR(__xludf.DUMMYFUNCTION("""COMPUTED_VALUE"""),"8GB")</f>
        <v>8GB</v>
      </c>
      <c r="I23" s="2" t="str">
        <f ca="1">IFERROR(__xludf.DUMMYFUNCTION("""COMPUTED_VALUE"""),"128GB SSD +  1TB HDD")</f>
        <v>128GB SSD +  1TB HDD</v>
      </c>
      <c r="J23" s="2" t="str">
        <f ca="1">IFERROR(__xludf.DUMMYFUNCTION("""COMPUTED_VALUE"""),"Nvidia GeForce GTX 1050")</f>
        <v>Nvidia GeForce GTX 1050</v>
      </c>
      <c r="K23" s="2" t="str">
        <f ca="1">IFERROR(__xludf.DUMMYFUNCTION("""COMPUTED_VALUE"""),"Windows 10")</f>
        <v>Windows 10</v>
      </c>
      <c r="L23" s="2" t="str">
        <f ca="1">IFERROR(__xludf.DUMMYFUNCTION("""COMPUTED_VALUE"""),"2.5kg")</f>
        <v>2.5kg</v>
      </c>
      <c r="M23" s="2">
        <f ca="1">IFERROR(__xludf.DUMMYFUNCTION("""COMPUTED_VALUE"""),999)</f>
        <v>999</v>
      </c>
    </row>
    <row r="24" spans="1:13">
      <c r="A24" s="2">
        <f ca="1">IFERROR(__xludf.DUMMYFUNCTION("""COMPUTED_VALUE"""),23)</f>
        <v>23</v>
      </c>
      <c r="B24" s="2" t="str">
        <f ca="1">IFERROR(__xludf.DUMMYFUNCTION("""COMPUTED_VALUE"""),"HP")</f>
        <v>HP</v>
      </c>
      <c r="C24" s="2" t="str">
        <f ca="1">IFERROR(__xludf.DUMMYFUNCTION("""COMPUTED_VALUE"""),"255 G6")</f>
        <v>255 G6</v>
      </c>
      <c r="D24" s="2" t="str">
        <f ca="1">IFERROR(__xludf.DUMMYFUNCTION("""COMPUTED_VALUE"""),"Notebook")</f>
        <v>Notebook</v>
      </c>
      <c r="E24" s="2">
        <f ca="1">IFERROR(__xludf.DUMMYFUNCTION("""COMPUTED_VALUE"""),15.6)</f>
        <v>15.6</v>
      </c>
      <c r="F24" s="2" t="str">
        <f ca="1">IFERROR(__xludf.DUMMYFUNCTION("""COMPUTED_VALUE"""),"1366x768")</f>
        <v>1366x768</v>
      </c>
      <c r="G24" s="2" t="str">
        <f ca="1">IFERROR(__xludf.DUMMYFUNCTION("""COMPUTED_VALUE"""),"AMD E-Series E2-9000e 1.5GHz")</f>
        <v>AMD E-Series E2-9000e 1.5GHz</v>
      </c>
      <c r="H24" s="2" t="str">
        <f ca="1">IFERROR(__xludf.DUMMYFUNCTION("""COMPUTED_VALUE"""),"4GB")</f>
        <v>4GB</v>
      </c>
      <c r="I24" s="2" t="str">
        <f ca="1">IFERROR(__xludf.DUMMYFUNCTION("""COMPUTED_VALUE"""),"500GB HDD")</f>
        <v>500GB HDD</v>
      </c>
      <c r="J24" s="2" t="str">
        <f ca="1">IFERROR(__xludf.DUMMYFUNCTION("""COMPUTED_VALUE"""),"AMD Radeon R2")</f>
        <v>AMD Radeon R2</v>
      </c>
      <c r="K24" s="2" t="str">
        <f ca="1">IFERROR(__xludf.DUMMYFUNCTION("""COMPUTED_VALUE"""),"No OS")</f>
        <v>No OS</v>
      </c>
      <c r="L24" s="2" t="str">
        <f ca="1">IFERROR(__xludf.DUMMYFUNCTION("""COMPUTED_VALUE"""),"1.86kg")</f>
        <v>1.86kg</v>
      </c>
      <c r="M24" s="2">
        <f ca="1">IFERROR(__xludf.DUMMYFUNCTION("""COMPUTED_VALUE"""),258)</f>
        <v>258</v>
      </c>
    </row>
    <row r="25" spans="1:13">
      <c r="A25" s="2">
        <f ca="1">IFERROR(__xludf.DUMMYFUNCTION("""COMPUTED_VALUE"""),24)</f>
        <v>24</v>
      </c>
      <c r="B25" s="2" t="str">
        <f ca="1">IFERROR(__xludf.DUMMYFUNCTION("""COMPUTED_VALUE"""),"Dell")</f>
        <v>Dell</v>
      </c>
      <c r="C25" s="2" t="str">
        <f ca="1">IFERROR(__xludf.DUMMYFUNCTION("""COMPUTED_VALUE"""),"Inspiron 5379")</f>
        <v>Inspiron 5379</v>
      </c>
      <c r="D25" s="2" t="str">
        <f ca="1">IFERROR(__xludf.DUMMYFUNCTION("""COMPUTED_VALUE"""),"2 in 1 Convertible")</f>
        <v>2 in 1 Convertible</v>
      </c>
      <c r="E25" s="2">
        <f ca="1">IFERROR(__xludf.DUMMYFUNCTION("""COMPUTED_VALUE"""),13.3)</f>
        <v>13.3</v>
      </c>
      <c r="F25" s="2" t="str">
        <f ca="1">IFERROR(__xludf.DUMMYFUNCTION("""COMPUTED_VALUE"""),"Full HD / Touchscreen 1920x1080")</f>
        <v>Full HD / Touchscreen 1920x1080</v>
      </c>
      <c r="G25" s="2" t="str">
        <f ca="1">IFERROR(__xludf.DUMMYFUNCTION("""COMPUTED_VALUE"""),"Intel Core i5 8250U 1.6GHz")</f>
        <v>Intel Core i5 8250U 1.6GHz</v>
      </c>
      <c r="H25" s="2" t="str">
        <f ca="1">IFERROR(__xludf.DUMMYFUNCTION("""COMPUTED_VALUE"""),"8GB")</f>
        <v>8GB</v>
      </c>
      <c r="I25" s="2" t="str">
        <f ca="1">IFERROR(__xludf.DUMMYFUNCTION("""COMPUTED_VALUE"""),"256GB SSD")</f>
        <v>256GB SSD</v>
      </c>
      <c r="J25" s="2" t="str">
        <f ca="1">IFERROR(__xludf.DUMMYFUNCTION("""COMPUTED_VALUE"""),"Intel UHD Graphics 620")</f>
        <v>Intel UHD Graphics 620</v>
      </c>
      <c r="K25" s="2" t="str">
        <f ca="1">IFERROR(__xludf.DUMMYFUNCTION("""COMPUTED_VALUE"""),"Windows 10")</f>
        <v>Windows 10</v>
      </c>
      <c r="L25" s="2" t="str">
        <f ca="1">IFERROR(__xludf.DUMMYFUNCTION("""COMPUTED_VALUE"""),"1.62kg")</f>
        <v>1.62kg</v>
      </c>
      <c r="M25" s="2">
        <f ca="1">IFERROR(__xludf.DUMMYFUNCTION("""COMPUTED_VALUE"""),819)</f>
        <v>819</v>
      </c>
    </row>
    <row r="26" spans="1:13">
      <c r="A26" s="2">
        <f ca="1">IFERROR(__xludf.DUMMYFUNCTION("""COMPUTED_VALUE"""),25)</f>
        <v>25</v>
      </c>
      <c r="B26" s="2" t="str">
        <f ca="1">IFERROR(__xludf.DUMMYFUNCTION("""COMPUTED_VALUE"""),"HP")</f>
        <v>HP</v>
      </c>
      <c r="C26" s="2" t="str">
        <f ca="1">IFERROR(__xludf.DUMMYFUNCTION("""COMPUTED_VALUE"""),"15-BS101nv (i7-8550U/8GB/256GB/FHD/W10)")</f>
        <v>15-BS101nv (i7-8550U/8GB/256GB/FHD/W10)</v>
      </c>
      <c r="D26" s="2" t="str">
        <f ca="1">IFERROR(__xludf.DUMMYFUNCTION("""COMPUTED_VALUE"""),"Ultrabook")</f>
        <v>Ultrabook</v>
      </c>
      <c r="E26" s="2">
        <f ca="1">IFERROR(__xludf.DUMMYFUNCTION("""COMPUTED_VALUE"""),15.6)</f>
        <v>15.6</v>
      </c>
      <c r="F26" s="2" t="str">
        <f ca="1">IFERROR(__xludf.DUMMYFUNCTION("""COMPUTED_VALUE"""),"Full HD 1920x1080")</f>
        <v>Full HD 1920x1080</v>
      </c>
      <c r="G26" s="2" t="str">
        <f ca="1">IFERROR(__xludf.DUMMYFUNCTION("""COMPUTED_VALUE"""),"Intel Core i7 8550U 1.8GHz")</f>
        <v>Intel Core i7 8550U 1.8GHz</v>
      </c>
      <c r="H26" s="2" t="str">
        <f ca="1">IFERROR(__xludf.DUMMYFUNCTION("""COMPUTED_VALUE"""),"8GB")</f>
        <v>8GB</v>
      </c>
      <c r="I26" s="2" t="str">
        <f ca="1">IFERROR(__xludf.DUMMYFUNCTION("""COMPUTED_VALUE"""),"256GB SSD")</f>
        <v>256GB SSD</v>
      </c>
      <c r="J26" s="2" t="str">
        <f ca="1">IFERROR(__xludf.DUMMYFUNCTION("""COMPUTED_VALUE"""),"Intel HD Graphics 620")</f>
        <v>Intel HD Graphics 620</v>
      </c>
      <c r="K26" s="2" t="str">
        <f ca="1">IFERROR(__xludf.DUMMYFUNCTION("""COMPUTED_VALUE"""),"Windows 10")</f>
        <v>Windows 10</v>
      </c>
      <c r="L26" s="2" t="str">
        <f ca="1">IFERROR(__xludf.DUMMYFUNCTION("""COMPUTED_VALUE"""),"1.91kg")</f>
        <v>1.91kg</v>
      </c>
      <c r="M26" s="2">
        <f ca="1">IFERROR(__xludf.DUMMYFUNCTION("""COMPUTED_VALUE"""),659)</f>
        <v>659</v>
      </c>
    </row>
    <row r="27" spans="1:13">
      <c r="A27" s="2">
        <f ca="1">IFERROR(__xludf.DUMMYFUNCTION("""COMPUTED_VALUE"""),26)</f>
        <v>26</v>
      </c>
      <c r="B27" s="2" t="str">
        <f ca="1">IFERROR(__xludf.DUMMYFUNCTION("""COMPUTED_VALUE"""),"Dell")</f>
        <v>Dell</v>
      </c>
      <c r="C27" s="2" t="str">
        <f ca="1">IFERROR(__xludf.DUMMYFUNCTION("""COMPUTED_VALUE"""),"Inspiron 3567")</f>
        <v>Inspiron 3567</v>
      </c>
      <c r="D27" s="2" t="str">
        <f ca="1">IFERROR(__xludf.DUMMYFUNCTION("""COMPUTED_VALUE"""),"Notebook")</f>
        <v>Notebook</v>
      </c>
      <c r="E27" s="2">
        <f ca="1">IFERROR(__xludf.DUMMYFUNCTION("""COMPUTED_VALUE"""),15.6)</f>
        <v>15.6</v>
      </c>
      <c r="F27" s="2" t="str">
        <f ca="1">IFERROR(__xludf.DUMMYFUNCTION("""COMPUTED_VALUE"""),"1366x768")</f>
        <v>1366x768</v>
      </c>
      <c r="G27" s="2" t="str">
        <f ca="1">IFERROR(__xludf.DUMMYFUNCTION("""COMPUTED_VALUE"""),"Intel Core i3 6006U 2GHz")</f>
        <v>Intel Core i3 6006U 2GHz</v>
      </c>
      <c r="H27" s="2" t="str">
        <f ca="1">IFERROR(__xludf.DUMMYFUNCTION("""COMPUTED_VALUE"""),"4GB")</f>
        <v>4GB</v>
      </c>
      <c r="I27" s="2" t="str">
        <f ca="1">IFERROR(__xludf.DUMMYFUNCTION("""COMPUTED_VALUE"""),"1TB HDD")</f>
        <v>1TB HDD</v>
      </c>
      <c r="J27" s="2" t="str">
        <f ca="1">IFERROR(__xludf.DUMMYFUNCTION("""COMPUTED_VALUE"""),"Intel HD Graphics 520")</f>
        <v>Intel HD Graphics 520</v>
      </c>
      <c r="K27" s="2" t="str">
        <f ca="1">IFERROR(__xludf.DUMMYFUNCTION("""COMPUTED_VALUE"""),"Windows 10")</f>
        <v>Windows 10</v>
      </c>
      <c r="L27" s="2" t="str">
        <f ca="1">IFERROR(__xludf.DUMMYFUNCTION("""COMPUTED_VALUE"""),"2.3kg")</f>
        <v>2.3kg</v>
      </c>
      <c r="M27" s="2">
        <f ca="1">IFERROR(__xludf.DUMMYFUNCTION("""COMPUTED_VALUE"""),418.64)</f>
        <v>418.64</v>
      </c>
    </row>
    <row r="28" spans="1:13">
      <c r="A28" s="2">
        <f ca="1">IFERROR(__xludf.DUMMYFUNCTION("""COMPUTED_VALUE"""),27)</f>
        <v>27</v>
      </c>
      <c r="B28" s="2" t="str">
        <f ca="1">IFERROR(__xludf.DUMMYFUNCTION("""COMPUTED_VALUE"""),"Apple")</f>
        <v>Apple</v>
      </c>
      <c r="C28" s="2" t="str">
        <f ca="1">IFERROR(__xludf.DUMMYFUNCTION("""COMPUTED_VALUE"""),"MacBook Air")</f>
        <v>MacBook Air</v>
      </c>
      <c r="D28" s="2" t="str">
        <f ca="1">IFERROR(__xludf.DUMMYFUNCTION("""COMPUTED_VALUE"""),"Ultrabook")</f>
        <v>Ultrabook</v>
      </c>
      <c r="E28" s="2">
        <f ca="1">IFERROR(__xludf.DUMMYFUNCTION("""COMPUTED_VALUE"""),13.3)</f>
        <v>13.3</v>
      </c>
      <c r="F28" s="2" t="str">
        <f ca="1">IFERROR(__xludf.DUMMYFUNCTION("""COMPUTED_VALUE"""),"1440x900")</f>
        <v>1440x900</v>
      </c>
      <c r="G28" s="2" t="str">
        <f ca="1">IFERROR(__xludf.DUMMYFUNCTION("""COMPUTED_VALUE"""),"Intel Core i5 1.6GHz")</f>
        <v>Intel Core i5 1.6GHz</v>
      </c>
      <c r="H28" s="2" t="str">
        <f ca="1">IFERROR(__xludf.DUMMYFUNCTION("""COMPUTED_VALUE"""),"8GB")</f>
        <v>8GB</v>
      </c>
      <c r="I28" s="2" t="str">
        <f ca="1">IFERROR(__xludf.DUMMYFUNCTION("""COMPUTED_VALUE"""),"128GB Flash Storage")</f>
        <v>128GB Flash Storage</v>
      </c>
      <c r="J28" s="2" t="str">
        <f ca="1">IFERROR(__xludf.DUMMYFUNCTION("""COMPUTED_VALUE"""),"Intel HD Graphics 6000")</f>
        <v>Intel HD Graphics 6000</v>
      </c>
      <c r="K28" s="2" t="str">
        <f ca="1">IFERROR(__xludf.DUMMYFUNCTION("""COMPUTED_VALUE"""),"Mac OS X")</f>
        <v>Mac OS X</v>
      </c>
      <c r="L28" s="2" t="str">
        <f ca="1">IFERROR(__xludf.DUMMYFUNCTION("""COMPUTED_VALUE"""),"1.35kg")</f>
        <v>1.35kg</v>
      </c>
      <c r="M28" s="2">
        <f ca="1">IFERROR(__xludf.DUMMYFUNCTION("""COMPUTED_VALUE"""),1099)</f>
        <v>1099</v>
      </c>
    </row>
    <row r="29" spans="1:13">
      <c r="A29" s="2">
        <f ca="1">IFERROR(__xludf.DUMMYFUNCTION("""COMPUTED_VALUE"""),28)</f>
        <v>28</v>
      </c>
      <c r="B29" s="2" t="str">
        <f ca="1">IFERROR(__xludf.DUMMYFUNCTION("""COMPUTED_VALUE"""),"Dell")</f>
        <v>Dell</v>
      </c>
      <c r="C29" s="2" t="str">
        <f ca="1">IFERROR(__xludf.DUMMYFUNCTION("""COMPUTED_VALUE"""),"Inspiron 5570")</f>
        <v>Inspiron 5570</v>
      </c>
      <c r="D29" s="2" t="str">
        <f ca="1">IFERROR(__xludf.DUMMYFUNCTION("""COMPUTED_VALUE"""),"Notebook")</f>
        <v>Notebook</v>
      </c>
      <c r="E29" s="2">
        <f ca="1">IFERROR(__xludf.DUMMYFUNCTION("""COMPUTED_VALUE"""),15.6)</f>
        <v>15.6</v>
      </c>
      <c r="F29" s="2" t="str">
        <f ca="1">IFERROR(__xludf.DUMMYFUNCTION("""COMPUTED_VALUE"""),"Full HD 1920x1080")</f>
        <v>Full HD 1920x1080</v>
      </c>
      <c r="G29" s="2" t="str">
        <f ca="1">IFERROR(__xludf.DUMMYFUNCTION("""COMPUTED_VALUE"""),"Intel Core i5 8250U 1.6GHz")</f>
        <v>Intel Core i5 8250U 1.6GHz</v>
      </c>
      <c r="H29" s="2" t="str">
        <f ca="1">IFERROR(__xludf.DUMMYFUNCTION("""COMPUTED_VALUE"""),"8GB")</f>
        <v>8GB</v>
      </c>
      <c r="I29" s="2" t="str">
        <f ca="1">IFERROR(__xludf.DUMMYFUNCTION("""COMPUTED_VALUE"""),"256GB SSD")</f>
        <v>256GB SSD</v>
      </c>
      <c r="J29" s="2" t="str">
        <f ca="1">IFERROR(__xludf.DUMMYFUNCTION("""COMPUTED_VALUE"""),"AMD Radeon 530")</f>
        <v>AMD Radeon 530</v>
      </c>
      <c r="K29" s="2" t="str">
        <f ca="1">IFERROR(__xludf.DUMMYFUNCTION("""COMPUTED_VALUE"""),"Windows 10")</f>
        <v>Windows 10</v>
      </c>
      <c r="L29" s="2" t="str">
        <f ca="1">IFERROR(__xludf.DUMMYFUNCTION("""COMPUTED_VALUE"""),"2.2kg")</f>
        <v>2.2kg</v>
      </c>
      <c r="M29" s="2">
        <f ca="1">IFERROR(__xludf.DUMMYFUNCTION("""COMPUTED_VALUE"""),800)</f>
        <v>800</v>
      </c>
    </row>
    <row r="30" spans="1:13">
      <c r="A30" s="2">
        <f ca="1">IFERROR(__xludf.DUMMYFUNCTION("""COMPUTED_VALUE"""),29)</f>
        <v>29</v>
      </c>
      <c r="B30" s="2" t="str">
        <f ca="1">IFERROR(__xludf.DUMMYFUNCTION("""COMPUTED_VALUE"""),"Dell")</f>
        <v>Dell</v>
      </c>
      <c r="C30" s="2" t="str">
        <f ca="1">IFERROR(__xludf.DUMMYFUNCTION("""COMPUTED_VALUE"""),"Latitude 5590")</f>
        <v>Latitude 5590</v>
      </c>
      <c r="D30" s="2" t="str">
        <f ca="1">IFERROR(__xludf.DUMMYFUNCTION("""COMPUTED_VALUE"""),"Ultrabook")</f>
        <v>Ultrabook</v>
      </c>
      <c r="E30" s="2">
        <f ca="1">IFERROR(__xludf.DUMMYFUNCTION("""COMPUTED_VALUE"""),15.6)</f>
        <v>15.6</v>
      </c>
      <c r="F30" s="2" t="str">
        <f ca="1">IFERROR(__xludf.DUMMYFUNCTION("""COMPUTED_VALUE"""),"Full HD 1920x1080")</f>
        <v>Full HD 1920x1080</v>
      </c>
      <c r="G30" s="2" t="str">
        <f ca="1">IFERROR(__xludf.DUMMYFUNCTION("""COMPUTED_VALUE"""),"Intel Core i7 8650U 1.9GHz")</f>
        <v>Intel Core i7 8650U 1.9GHz</v>
      </c>
      <c r="H30" s="2" t="str">
        <f ca="1">IFERROR(__xludf.DUMMYFUNCTION("""COMPUTED_VALUE"""),"8GB")</f>
        <v>8GB</v>
      </c>
      <c r="I30" s="2" t="str">
        <f ca="1">IFERROR(__xludf.DUMMYFUNCTION("""COMPUTED_VALUE"""),"256GB SSD +  256GB SSD")</f>
        <v>256GB SSD +  256GB SSD</v>
      </c>
      <c r="J30" s="2" t="str">
        <f ca="1">IFERROR(__xludf.DUMMYFUNCTION("""COMPUTED_VALUE"""),"Intel UHD Graphics 620")</f>
        <v>Intel UHD Graphics 620</v>
      </c>
      <c r="K30" s="2" t="str">
        <f ca="1">IFERROR(__xludf.DUMMYFUNCTION("""COMPUTED_VALUE"""),"Windows 10")</f>
        <v>Windows 10</v>
      </c>
      <c r="L30" s="2" t="str">
        <f ca="1">IFERROR(__xludf.DUMMYFUNCTION("""COMPUTED_VALUE"""),"1.88kg")</f>
        <v>1.88kg</v>
      </c>
      <c r="M30" s="2">
        <f ca="1">IFERROR(__xludf.DUMMYFUNCTION("""COMPUTED_VALUE"""),1298)</f>
        <v>1298</v>
      </c>
    </row>
    <row r="31" spans="1:13">
      <c r="A31" s="2">
        <f ca="1">IFERROR(__xludf.DUMMYFUNCTION("""COMPUTED_VALUE"""),30)</f>
        <v>30</v>
      </c>
      <c r="B31" s="2" t="str">
        <f ca="1">IFERROR(__xludf.DUMMYFUNCTION("""COMPUTED_VALUE"""),"HP")</f>
        <v>HP</v>
      </c>
      <c r="C31" s="2" t="str">
        <f ca="1">IFERROR(__xludf.DUMMYFUNCTION("""COMPUTED_VALUE"""),"ProBook 470")</f>
        <v>ProBook 470</v>
      </c>
      <c r="D31" s="2" t="str">
        <f ca="1">IFERROR(__xludf.DUMMYFUNCTION("""COMPUTED_VALUE"""),"Notebook")</f>
        <v>Notebook</v>
      </c>
      <c r="E31" s="2">
        <f ca="1">IFERROR(__xludf.DUMMYFUNCTION("""COMPUTED_VALUE"""),17.3)</f>
        <v>17.3</v>
      </c>
      <c r="F31" s="2" t="str">
        <f ca="1">IFERROR(__xludf.DUMMYFUNCTION("""COMPUTED_VALUE"""),"Full HD 1920x1080")</f>
        <v>Full HD 1920x1080</v>
      </c>
      <c r="G31" s="2" t="str">
        <f ca="1">IFERROR(__xludf.DUMMYFUNCTION("""COMPUTED_VALUE"""),"Intel Core i5 8250U 1.6GHz")</f>
        <v>Intel Core i5 8250U 1.6GHz</v>
      </c>
      <c r="H31" s="2" t="str">
        <f ca="1">IFERROR(__xludf.DUMMYFUNCTION("""COMPUTED_VALUE"""),"8GB")</f>
        <v>8GB</v>
      </c>
      <c r="I31" s="2" t="str">
        <f ca="1">IFERROR(__xludf.DUMMYFUNCTION("""COMPUTED_VALUE"""),"1TB HDD")</f>
        <v>1TB HDD</v>
      </c>
      <c r="J31" s="2" t="str">
        <f ca="1">IFERROR(__xludf.DUMMYFUNCTION("""COMPUTED_VALUE"""),"Nvidia GeForce 930MX")</f>
        <v>Nvidia GeForce 930MX</v>
      </c>
      <c r="K31" s="2" t="str">
        <f ca="1">IFERROR(__xludf.DUMMYFUNCTION("""COMPUTED_VALUE"""),"Windows 10")</f>
        <v>Windows 10</v>
      </c>
      <c r="L31" s="2" t="str">
        <f ca="1">IFERROR(__xludf.DUMMYFUNCTION("""COMPUTED_VALUE"""),"2.5kg")</f>
        <v>2.5kg</v>
      </c>
      <c r="M31" s="2">
        <f ca="1">IFERROR(__xludf.DUMMYFUNCTION("""COMPUTED_VALUE"""),896)</f>
        <v>896</v>
      </c>
    </row>
    <row r="32" spans="1:13">
      <c r="A32" s="2">
        <f ca="1">IFERROR(__xludf.DUMMYFUNCTION("""COMPUTED_VALUE"""),31)</f>
        <v>31</v>
      </c>
      <c r="B32" s="2" t="str">
        <f ca="1">IFERROR(__xludf.DUMMYFUNCTION("""COMPUTED_VALUE"""),"Chuwi")</f>
        <v>Chuwi</v>
      </c>
      <c r="C32" s="2" t="str">
        <f ca="1">IFERROR(__xludf.DUMMYFUNCTION("""COMPUTED_VALUE"""),"LapBook 15.6""")</f>
        <v>LapBook 15.6"</v>
      </c>
      <c r="D32" s="2" t="str">
        <f ca="1">IFERROR(__xludf.DUMMYFUNCTION("""COMPUTED_VALUE"""),"Notebook")</f>
        <v>Notebook</v>
      </c>
      <c r="E32" s="2">
        <f ca="1">IFERROR(__xludf.DUMMYFUNCTION("""COMPUTED_VALUE"""),15.6)</f>
        <v>15.6</v>
      </c>
      <c r="F32" s="2" t="str">
        <f ca="1">IFERROR(__xludf.DUMMYFUNCTION("""COMPUTED_VALUE"""),"Full HD 1920x1080")</f>
        <v>Full HD 1920x1080</v>
      </c>
      <c r="G32" s="2" t="str">
        <f ca="1">IFERROR(__xludf.DUMMYFUNCTION("""COMPUTED_VALUE"""),"Intel Atom x5-Z8300 1.44GHz")</f>
        <v>Intel Atom x5-Z8300 1.44GHz</v>
      </c>
      <c r="H32" s="2" t="str">
        <f ca="1">IFERROR(__xludf.DUMMYFUNCTION("""COMPUTED_VALUE"""),"4GB")</f>
        <v>4GB</v>
      </c>
      <c r="I32" s="2" t="str">
        <f ca="1">IFERROR(__xludf.DUMMYFUNCTION("""COMPUTED_VALUE"""),"64GB Flash Storage")</f>
        <v>64GB Flash Storage</v>
      </c>
      <c r="J32" s="2" t="str">
        <f ca="1">IFERROR(__xludf.DUMMYFUNCTION("""COMPUTED_VALUE"""),"Intel HD Graphics")</f>
        <v>Intel HD Graphics</v>
      </c>
      <c r="K32" s="2" t="str">
        <f ca="1">IFERROR(__xludf.DUMMYFUNCTION("""COMPUTED_VALUE"""),"Windows 10")</f>
        <v>Windows 10</v>
      </c>
      <c r="L32" s="2" t="str">
        <f ca="1">IFERROR(__xludf.DUMMYFUNCTION("""COMPUTED_VALUE"""),"1.89kg")</f>
        <v>1.89kg</v>
      </c>
      <c r="M32" s="2">
        <f ca="1">IFERROR(__xludf.DUMMYFUNCTION("""COMPUTED_VALUE"""),244.99)</f>
        <v>244.99</v>
      </c>
    </row>
    <row r="33" spans="1:13">
      <c r="A33" s="2">
        <f ca="1">IFERROR(__xludf.DUMMYFUNCTION("""COMPUTED_VALUE"""),32)</f>
        <v>32</v>
      </c>
      <c r="B33" s="2" t="str">
        <f ca="1">IFERROR(__xludf.DUMMYFUNCTION("""COMPUTED_VALUE"""),"Asus")</f>
        <v>Asus</v>
      </c>
      <c r="C33" s="2" t="str">
        <f ca="1">IFERROR(__xludf.DUMMYFUNCTION("""COMPUTED_VALUE"""),"E402WA-GA010T (E2-6110/2GB/32GB/W10)")</f>
        <v>E402WA-GA010T (E2-6110/2GB/32GB/W10)</v>
      </c>
      <c r="D33" s="2" t="str">
        <f ca="1">IFERROR(__xludf.DUMMYFUNCTION("""COMPUTED_VALUE"""),"Notebook")</f>
        <v>Notebook</v>
      </c>
      <c r="E33" s="2">
        <f ca="1">IFERROR(__xludf.DUMMYFUNCTION("""COMPUTED_VALUE"""),14)</f>
        <v>14</v>
      </c>
      <c r="F33" s="2" t="str">
        <f ca="1">IFERROR(__xludf.DUMMYFUNCTION("""COMPUTED_VALUE"""),"1366x768")</f>
        <v>1366x768</v>
      </c>
      <c r="G33" s="2" t="str">
        <f ca="1">IFERROR(__xludf.DUMMYFUNCTION("""COMPUTED_VALUE"""),"AMD E-Series E2-6110 1.5GHz")</f>
        <v>AMD E-Series E2-6110 1.5GHz</v>
      </c>
      <c r="H33" s="2" t="str">
        <f ca="1">IFERROR(__xludf.DUMMYFUNCTION("""COMPUTED_VALUE"""),"2GB")</f>
        <v>2GB</v>
      </c>
      <c r="I33" s="2" t="str">
        <f ca="1">IFERROR(__xludf.DUMMYFUNCTION("""COMPUTED_VALUE"""),"32GB Flash Storage")</f>
        <v>32GB Flash Storage</v>
      </c>
      <c r="J33" s="2" t="str">
        <f ca="1">IFERROR(__xludf.DUMMYFUNCTION("""COMPUTED_VALUE"""),"AMD Radeon R2")</f>
        <v>AMD Radeon R2</v>
      </c>
      <c r="K33" s="2" t="str">
        <f ca="1">IFERROR(__xludf.DUMMYFUNCTION("""COMPUTED_VALUE"""),"Windows 10")</f>
        <v>Windows 10</v>
      </c>
      <c r="L33" s="2" t="str">
        <f ca="1">IFERROR(__xludf.DUMMYFUNCTION("""COMPUTED_VALUE"""),"1.65kg")</f>
        <v>1.65kg</v>
      </c>
      <c r="M33" s="2">
        <f ca="1">IFERROR(__xludf.DUMMYFUNCTION("""COMPUTED_VALUE"""),199)</f>
        <v>199</v>
      </c>
    </row>
    <row r="34" spans="1:13">
      <c r="A34" s="2">
        <f ca="1">IFERROR(__xludf.DUMMYFUNCTION("""COMPUTED_VALUE"""),33)</f>
        <v>33</v>
      </c>
      <c r="B34" s="2" t="str">
        <f ca="1">IFERROR(__xludf.DUMMYFUNCTION("""COMPUTED_VALUE"""),"HP")</f>
        <v>HP</v>
      </c>
      <c r="C34" s="2" t="str">
        <f ca="1">IFERROR(__xludf.DUMMYFUNCTION("""COMPUTED_VALUE"""),"17-ak001nv (A6-9220/4GB/500GB/Radeon")</f>
        <v>17-ak001nv (A6-9220/4GB/500GB/Radeon</v>
      </c>
      <c r="D34" s="2" t="str">
        <f ca="1">IFERROR(__xludf.DUMMYFUNCTION("""COMPUTED_VALUE"""),"Notebook")</f>
        <v>Notebook</v>
      </c>
      <c r="E34" s="2">
        <f ca="1">IFERROR(__xludf.DUMMYFUNCTION("""COMPUTED_VALUE"""),17.3)</f>
        <v>17.3</v>
      </c>
      <c r="F34" s="2" t="str">
        <f ca="1">IFERROR(__xludf.DUMMYFUNCTION("""COMPUTED_VALUE"""),"Full HD 1920x1080")</f>
        <v>Full HD 1920x1080</v>
      </c>
      <c r="G34" s="2" t="str">
        <f ca="1">IFERROR(__xludf.DUMMYFUNCTION("""COMPUTED_VALUE"""),"AMD A6-Series 9220 2.5GHz")</f>
        <v>AMD A6-Series 9220 2.5GHz</v>
      </c>
      <c r="H34" s="2" t="str">
        <f ca="1">IFERROR(__xludf.DUMMYFUNCTION("""COMPUTED_VALUE"""),"4GB")</f>
        <v>4GB</v>
      </c>
      <c r="I34" s="2" t="str">
        <f ca="1">IFERROR(__xludf.DUMMYFUNCTION("""COMPUTED_VALUE"""),"500GB HDD")</f>
        <v>500GB HDD</v>
      </c>
      <c r="J34" s="2" t="str">
        <f ca="1">IFERROR(__xludf.DUMMYFUNCTION("""COMPUTED_VALUE"""),"AMD Radeon 530")</f>
        <v>AMD Radeon 530</v>
      </c>
      <c r="K34" s="2" t="str">
        <f ca="1">IFERROR(__xludf.DUMMYFUNCTION("""COMPUTED_VALUE"""),"Windows 10")</f>
        <v>Windows 10</v>
      </c>
      <c r="L34" s="2" t="str">
        <f ca="1">IFERROR(__xludf.DUMMYFUNCTION("""COMPUTED_VALUE"""),"2.71kg")</f>
        <v>2.71kg</v>
      </c>
      <c r="M34" s="2">
        <f ca="1">IFERROR(__xludf.DUMMYFUNCTION("""COMPUTED_VALUE"""),439)</f>
        <v>439</v>
      </c>
    </row>
    <row r="35" spans="1:13">
      <c r="A35" s="2">
        <f ca="1">IFERROR(__xludf.DUMMYFUNCTION("""COMPUTED_VALUE"""),34)</f>
        <v>34</v>
      </c>
      <c r="B35" s="2" t="str">
        <f ca="1">IFERROR(__xludf.DUMMYFUNCTION("""COMPUTED_VALUE"""),"Dell")</f>
        <v>Dell</v>
      </c>
      <c r="C35" s="2" t="str">
        <f ca="1">IFERROR(__xludf.DUMMYFUNCTION("""COMPUTED_VALUE"""),"XPS 13")</f>
        <v>XPS 13</v>
      </c>
      <c r="D35" s="2" t="str">
        <f ca="1">IFERROR(__xludf.DUMMYFUNCTION("""COMPUTED_VALUE"""),"Ultrabook")</f>
        <v>Ultrabook</v>
      </c>
      <c r="E35" s="2">
        <f ca="1">IFERROR(__xludf.DUMMYFUNCTION("""COMPUTED_VALUE"""),13.3)</f>
        <v>13.3</v>
      </c>
      <c r="F35" s="2" t="str">
        <f ca="1">IFERROR(__xludf.DUMMYFUNCTION("""COMPUTED_VALUE"""),"Touchscreen / Quad HD+ 3200x1800")</f>
        <v>Touchscreen / Quad HD+ 3200x1800</v>
      </c>
      <c r="G35" s="2" t="str">
        <f ca="1">IFERROR(__xludf.DUMMYFUNCTION("""COMPUTED_VALUE"""),"Intel Core i7 8550U 1.8GHz")</f>
        <v>Intel Core i7 8550U 1.8GHz</v>
      </c>
      <c r="H35" s="2" t="str">
        <f ca="1">IFERROR(__xludf.DUMMYFUNCTION("""COMPUTED_VALUE"""),"16GB")</f>
        <v>16GB</v>
      </c>
      <c r="I35" s="2" t="str">
        <f ca="1">IFERROR(__xludf.DUMMYFUNCTION("""COMPUTED_VALUE"""),"512GB SSD")</f>
        <v>512GB SSD</v>
      </c>
      <c r="J35" s="2" t="str">
        <f ca="1">IFERROR(__xludf.DUMMYFUNCTION("""COMPUTED_VALUE"""),"Intel UHD Graphics 620")</f>
        <v>Intel UHD Graphics 620</v>
      </c>
      <c r="K35" s="2" t="str">
        <f ca="1">IFERROR(__xludf.DUMMYFUNCTION("""COMPUTED_VALUE"""),"Windows 10")</f>
        <v>Windows 10</v>
      </c>
      <c r="L35" s="2" t="str">
        <f ca="1">IFERROR(__xludf.DUMMYFUNCTION("""COMPUTED_VALUE"""),"1.2kg")</f>
        <v>1.2kg</v>
      </c>
      <c r="M35" s="2">
        <f ca="1">IFERROR(__xludf.DUMMYFUNCTION("""COMPUTED_VALUE"""),1869)</f>
        <v>1869</v>
      </c>
    </row>
    <row r="36" spans="1:13">
      <c r="A36" s="2">
        <f ca="1">IFERROR(__xludf.DUMMYFUNCTION("""COMPUTED_VALUE"""),35)</f>
        <v>35</v>
      </c>
      <c r="B36" s="2" t="str">
        <f ca="1">IFERROR(__xludf.DUMMYFUNCTION("""COMPUTED_VALUE"""),"Apple")</f>
        <v>Apple</v>
      </c>
      <c r="C36" s="2" t="str">
        <f ca="1">IFERROR(__xludf.DUMMYFUNCTION("""COMPUTED_VALUE"""),"MacBook Air")</f>
        <v>MacBook Air</v>
      </c>
      <c r="D36" s="2" t="str">
        <f ca="1">IFERROR(__xludf.DUMMYFUNCTION("""COMPUTED_VALUE"""),"Ultrabook")</f>
        <v>Ultrabook</v>
      </c>
      <c r="E36" s="2">
        <f ca="1">IFERROR(__xludf.DUMMYFUNCTION("""COMPUTED_VALUE"""),13.3)</f>
        <v>13.3</v>
      </c>
      <c r="F36" s="2" t="str">
        <f ca="1">IFERROR(__xludf.DUMMYFUNCTION("""COMPUTED_VALUE"""),"1440x900")</f>
        <v>1440x900</v>
      </c>
      <c r="G36" s="2" t="str">
        <f ca="1">IFERROR(__xludf.DUMMYFUNCTION("""COMPUTED_VALUE"""),"Intel Core i5 1.6GHz")</f>
        <v>Intel Core i5 1.6GHz</v>
      </c>
      <c r="H36" s="2" t="str">
        <f ca="1">IFERROR(__xludf.DUMMYFUNCTION("""COMPUTED_VALUE"""),"8GB")</f>
        <v>8GB</v>
      </c>
      <c r="I36" s="2" t="str">
        <f ca="1">IFERROR(__xludf.DUMMYFUNCTION("""COMPUTED_VALUE"""),"256GB Flash Storage")</f>
        <v>256GB Flash Storage</v>
      </c>
      <c r="J36" s="2" t="str">
        <f ca="1">IFERROR(__xludf.DUMMYFUNCTION("""COMPUTED_VALUE"""),"Intel HD Graphics 6000")</f>
        <v>Intel HD Graphics 6000</v>
      </c>
      <c r="K36" s="2" t="str">
        <f ca="1">IFERROR(__xludf.DUMMYFUNCTION("""COMPUTED_VALUE"""),"Mac OS X")</f>
        <v>Mac OS X</v>
      </c>
      <c r="L36" s="2" t="str">
        <f ca="1">IFERROR(__xludf.DUMMYFUNCTION("""COMPUTED_VALUE"""),"1.35kg")</f>
        <v>1.35kg</v>
      </c>
      <c r="M36" s="2">
        <f ca="1">IFERROR(__xludf.DUMMYFUNCTION("""COMPUTED_VALUE"""),998)</f>
        <v>998</v>
      </c>
    </row>
    <row r="37" spans="1:13">
      <c r="A37" s="2">
        <f ca="1">IFERROR(__xludf.DUMMYFUNCTION("""COMPUTED_VALUE"""),36)</f>
        <v>36</v>
      </c>
      <c r="B37" s="2" t="str">
        <f ca="1">IFERROR(__xludf.DUMMYFUNCTION("""COMPUTED_VALUE"""),"Lenovo")</f>
        <v>Lenovo</v>
      </c>
      <c r="C37" s="2" t="str">
        <f ca="1">IFERROR(__xludf.DUMMYFUNCTION("""COMPUTED_VALUE"""),"IdeaPad 120S-14IAP")</f>
        <v>IdeaPad 120S-14IAP</v>
      </c>
      <c r="D37" s="2" t="str">
        <f ca="1">IFERROR(__xludf.DUMMYFUNCTION("""COMPUTED_VALUE"""),"Notebook")</f>
        <v>Notebook</v>
      </c>
      <c r="E37" s="2">
        <f ca="1">IFERROR(__xludf.DUMMYFUNCTION("""COMPUTED_VALUE"""),14)</f>
        <v>14</v>
      </c>
      <c r="F37" s="2" t="str">
        <f ca="1">IFERROR(__xludf.DUMMYFUNCTION("""COMPUTED_VALUE"""),"1366x768")</f>
        <v>1366x768</v>
      </c>
      <c r="G37" s="2" t="str">
        <f ca="1">IFERROR(__xludf.DUMMYFUNCTION("""COMPUTED_VALUE"""),"Intel Celeron Dual Core N3350 1.1GHz")</f>
        <v>Intel Celeron Dual Core N3350 1.1GHz</v>
      </c>
      <c r="H37" s="2" t="str">
        <f ca="1">IFERROR(__xludf.DUMMYFUNCTION("""COMPUTED_VALUE"""),"4GB")</f>
        <v>4GB</v>
      </c>
      <c r="I37" s="2" t="str">
        <f ca="1">IFERROR(__xludf.DUMMYFUNCTION("""COMPUTED_VALUE"""),"64GB Flash Storage")</f>
        <v>64GB Flash Storage</v>
      </c>
      <c r="J37" s="2" t="str">
        <f ca="1">IFERROR(__xludf.DUMMYFUNCTION("""COMPUTED_VALUE"""),"Intel HD Graphics 500")</f>
        <v>Intel HD Graphics 500</v>
      </c>
      <c r="K37" s="2" t="str">
        <f ca="1">IFERROR(__xludf.DUMMYFUNCTION("""COMPUTED_VALUE"""),"Windows 10")</f>
        <v>Windows 10</v>
      </c>
      <c r="L37" s="2" t="str">
        <f ca="1">IFERROR(__xludf.DUMMYFUNCTION("""COMPUTED_VALUE"""),"1.44kg")</f>
        <v>1.44kg</v>
      </c>
      <c r="M37" s="2">
        <f ca="1">IFERROR(__xludf.DUMMYFUNCTION("""COMPUTED_VALUE"""),249)</f>
        <v>249</v>
      </c>
    </row>
    <row r="38" spans="1:13">
      <c r="A38" s="2">
        <f ca="1">IFERROR(__xludf.DUMMYFUNCTION("""COMPUTED_VALUE"""),37)</f>
        <v>37</v>
      </c>
      <c r="B38" s="2" t="str">
        <f ca="1">IFERROR(__xludf.DUMMYFUNCTION("""COMPUTED_VALUE"""),"Acer")</f>
        <v>Acer</v>
      </c>
      <c r="C38" s="2" t="str">
        <f ca="1">IFERROR(__xludf.DUMMYFUNCTION("""COMPUTED_VALUE"""),"Aspire 3")</f>
        <v>Aspire 3</v>
      </c>
      <c r="D38" s="2" t="str">
        <f ca="1">IFERROR(__xludf.DUMMYFUNCTION("""COMPUTED_VALUE"""),"Notebook")</f>
        <v>Notebook</v>
      </c>
      <c r="E38" s="2">
        <f ca="1">IFERROR(__xludf.DUMMYFUNCTION("""COMPUTED_VALUE"""),15.6)</f>
        <v>15.6</v>
      </c>
      <c r="F38" s="2" t="str">
        <f ca="1">IFERROR(__xludf.DUMMYFUNCTION("""COMPUTED_VALUE"""),"1366x768")</f>
        <v>1366x768</v>
      </c>
      <c r="G38" s="2" t="str">
        <f ca="1">IFERROR(__xludf.DUMMYFUNCTION("""COMPUTED_VALUE"""),"Intel Core i3 7130U 2.7GHz")</f>
        <v>Intel Core i3 7130U 2.7GHz</v>
      </c>
      <c r="H38" s="2" t="str">
        <f ca="1">IFERROR(__xludf.DUMMYFUNCTION("""COMPUTED_VALUE"""),"4GB")</f>
        <v>4GB</v>
      </c>
      <c r="I38" s="2" t="str">
        <f ca="1">IFERROR(__xludf.DUMMYFUNCTION("""COMPUTED_VALUE"""),"1TB HDD")</f>
        <v>1TB HDD</v>
      </c>
      <c r="J38" s="2" t="str">
        <f ca="1">IFERROR(__xludf.DUMMYFUNCTION("""COMPUTED_VALUE"""),"Intel HD Graphics 620")</f>
        <v>Intel HD Graphics 620</v>
      </c>
      <c r="K38" s="2" t="str">
        <f ca="1">IFERROR(__xludf.DUMMYFUNCTION("""COMPUTED_VALUE"""),"Linux")</f>
        <v>Linux</v>
      </c>
      <c r="L38" s="2" t="str">
        <f ca="1">IFERROR(__xludf.DUMMYFUNCTION("""COMPUTED_VALUE"""),"2.1kg")</f>
        <v>2.1kg</v>
      </c>
      <c r="M38" s="2">
        <f ca="1">IFERROR(__xludf.DUMMYFUNCTION("""COMPUTED_VALUE"""),367)</f>
        <v>367</v>
      </c>
    </row>
    <row r="39" spans="1:13">
      <c r="A39" s="2">
        <f ca="1">IFERROR(__xludf.DUMMYFUNCTION("""COMPUTED_VALUE"""),38)</f>
        <v>38</v>
      </c>
      <c r="B39" s="2" t="str">
        <f ca="1">IFERROR(__xludf.DUMMYFUNCTION("""COMPUTED_VALUE"""),"Dell")</f>
        <v>Dell</v>
      </c>
      <c r="C39" s="2" t="str">
        <f ca="1">IFERROR(__xludf.DUMMYFUNCTION("""COMPUTED_VALUE"""),"Inspiron 5770")</f>
        <v>Inspiron 5770</v>
      </c>
      <c r="D39" s="2" t="str">
        <f ca="1">IFERROR(__xludf.DUMMYFUNCTION("""COMPUTED_VALUE"""),"Notebook")</f>
        <v>Notebook</v>
      </c>
      <c r="E39" s="2">
        <f ca="1">IFERROR(__xludf.DUMMYFUNCTION("""COMPUTED_VALUE"""),17.3)</f>
        <v>17.3</v>
      </c>
      <c r="F39" s="2" t="str">
        <f ca="1">IFERROR(__xludf.DUMMYFUNCTION("""COMPUTED_VALUE"""),"IPS Panel Full HD 1920x1080")</f>
        <v>IPS Panel Full HD 1920x1080</v>
      </c>
      <c r="G39" s="2" t="str">
        <f ca="1">IFERROR(__xludf.DUMMYFUNCTION("""COMPUTED_VALUE"""),"Intel Core i5 8250U 1.6GHz")</f>
        <v>Intel Core i5 8250U 1.6GHz</v>
      </c>
      <c r="H39" s="2" t="str">
        <f ca="1">IFERROR(__xludf.DUMMYFUNCTION("""COMPUTED_VALUE"""),"8GB")</f>
        <v>8GB</v>
      </c>
      <c r="I39" s="2" t="str">
        <f ca="1">IFERROR(__xludf.DUMMYFUNCTION("""COMPUTED_VALUE"""),"128GB SSD +  1TB HDD")</f>
        <v>128GB SSD +  1TB HDD</v>
      </c>
      <c r="J39" s="2" t="str">
        <f ca="1">IFERROR(__xludf.DUMMYFUNCTION("""COMPUTED_VALUE"""),"AMD Radeon 530")</f>
        <v>AMD Radeon 530</v>
      </c>
      <c r="K39" s="2" t="str">
        <f ca="1">IFERROR(__xludf.DUMMYFUNCTION("""COMPUTED_VALUE"""),"Windows 10")</f>
        <v>Windows 10</v>
      </c>
      <c r="L39" s="2" t="str">
        <f ca="1">IFERROR(__xludf.DUMMYFUNCTION("""COMPUTED_VALUE"""),"2.8kg")</f>
        <v>2.8kg</v>
      </c>
      <c r="M39" s="2">
        <f ca="1">IFERROR(__xludf.DUMMYFUNCTION("""COMPUTED_VALUE"""),979)</f>
        <v>979</v>
      </c>
    </row>
    <row r="40" spans="1:13">
      <c r="A40" s="2">
        <f ca="1">IFERROR(__xludf.DUMMYFUNCTION("""COMPUTED_VALUE"""),39)</f>
        <v>39</v>
      </c>
      <c r="B40" s="2" t="str">
        <f ca="1">IFERROR(__xludf.DUMMYFUNCTION("""COMPUTED_VALUE"""),"HP")</f>
        <v>HP</v>
      </c>
      <c r="C40" s="2" t="str">
        <f ca="1">IFERROR(__xludf.DUMMYFUNCTION("""COMPUTED_VALUE"""),"250 G6")</f>
        <v>250 G6</v>
      </c>
      <c r="D40" s="2" t="str">
        <f ca="1">IFERROR(__xludf.DUMMYFUNCTION("""COMPUTED_VALUE"""),"Notebook")</f>
        <v>Notebook</v>
      </c>
      <c r="E40" s="2">
        <f ca="1">IFERROR(__xludf.DUMMYFUNCTION("""COMPUTED_VALUE"""),15.6)</f>
        <v>15.6</v>
      </c>
      <c r="F40" s="2" t="str">
        <f ca="1">IFERROR(__xludf.DUMMYFUNCTION("""COMPUTED_VALUE"""),"1366x768")</f>
        <v>1366x768</v>
      </c>
      <c r="G40" s="2" t="str">
        <f ca="1">IFERROR(__xludf.DUMMYFUNCTION("""COMPUTED_VALUE"""),"Intel Core i5 7200U 2.5GHz")</f>
        <v>Intel Core i5 7200U 2.5GHz</v>
      </c>
      <c r="H40" s="2" t="str">
        <f ca="1">IFERROR(__xludf.DUMMYFUNCTION("""COMPUTED_VALUE"""),"4GB")</f>
        <v>4GB</v>
      </c>
      <c r="I40" s="2" t="str">
        <f ca="1">IFERROR(__xludf.DUMMYFUNCTION("""COMPUTED_VALUE"""),"1TB HDD")</f>
        <v>1TB HDD</v>
      </c>
      <c r="J40" s="2" t="str">
        <f ca="1">IFERROR(__xludf.DUMMYFUNCTION("""COMPUTED_VALUE"""),"Intel HD Graphics 620")</f>
        <v>Intel HD Graphics 620</v>
      </c>
      <c r="K40" s="2" t="str">
        <f ca="1">IFERROR(__xludf.DUMMYFUNCTION("""COMPUTED_VALUE"""),"Windows 10")</f>
        <v>Windows 10</v>
      </c>
      <c r="L40" s="2" t="str">
        <f ca="1">IFERROR(__xludf.DUMMYFUNCTION("""COMPUTED_VALUE"""),"1.86kg")</f>
        <v>1.86kg</v>
      </c>
      <c r="M40" s="2">
        <f ca="1">IFERROR(__xludf.DUMMYFUNCTION("""COMPUTED_VALUE"""),488.69)</f>
        <v>488.69</v>
      </c>
    </row>
    <row r="41" spans="1:13">
      <c r="A41" s="2">
        <f ca="1">IFERROR(__xludf.DUMMYFUNCTION("""COMPUTED_VALUE"""),40)</f>
        <v>40</v>
      </c>
      <c r="B41" s="2" t="str">
        <f ca="1">IFERROR(__xludf.DUMMYFUNCTION("""COMPUTED_VALUE"""),"HP")</f>
        <v>HP</v>
      </c>
      <c r="C41" s="2" t="str">
        <f ca="1">IFERROR(__xludf.DUMMYFUNCTION("""COMPUTED_VALUE"""),"ProBook 450")</f>
        <v>ProBook 450</v>
      </c>
      <c r="D41" s="2" t="str">
        <f ca="1">IFERROR(__xludf.DUMMYFUNCTION("""COMPUTED_VALUE"""),"Notebook")</f>
        <v>Notebook</v>
      </c>
      <c r="E41" s="2">
        <f ca="1">IFERROR(__xludf.DUMMYFUNCTION("""COMPUTED_VALUE"""),15.6)</f>
        <v>15.6</v>
      </c>
      <c r="F41" s="2" t="str">
        <f ca="1">IFERROR(__xludf.DUMMYFUNCTION("""COMPUTED_VALUE"""),"Full HD 1920x1080")</f>
        <v>Full HD 1920x1080</v>
      </c>
      <c r="G41" s="2" t="str">
        <f ca="1">IFERROR(__xludf.DUMMYFUNCTION("""COMPUTED_VALUE"""),"Intel Core i5 8250U 1.6GHz")</f>
        <v>Intel Core i5 8250U 1.6GHz</v>
      </c>
      <c r="H41" s="2" t="str">
        <f ca="1">IFERROR(__xludf.DUMMYFUNCTION("""COMPUTED_VALUE"""),"8GB")</f>
        <v>8GB</v>
      </c>
      <c r="I41" s="2" t="str">
        <f ca="1">IFERROR(__xludf.DUMMYFUNCTION("""COMPUTED_VALUE"""),"256GB SSD")</f>
        <v>256GB SSD</v>
      </c>
      <c r="J41" s="2" t="str">
        <f ca="1">IFERROR(__xludf.DUMMYFUNCTION("""COMPUTED_VALUE"""),"Nvidia GeForce 930MX ")</f>
        <v xml:space="preserve">Nvidia GeForce 930MX </v>
      </c>
      <c r="K41" s="2" t="str">
        <f ca="1">IFERROR(__xludf.DUMMYFUNCTION("""COMPUTED_VALUE"""),"Windows 10")</f>
        <v>Windows 10</v>
      </c>
      <c r="L41" s="2" t="str">
        <f ca="1">IFERROR(__xludf.DUMMYFUNCTION("""COMPUTED_VALUE"""),"2.1kg")</f>
        <v>2.1kg</v>
      </c>
      <c r="M41" s="2">
        <f ca="1">IFERROR(__xludf.DUMMYFUNCTION("""COMPUTED_VALUE"""),879)</f>
        <v>879</v>
      </c>
    </row>
    <row r="42" spans="1:13">
      <c r="A42" s="2">
        <f ca="1">IFERROR(__xludf.DUMMYFUNCTION("""COMPUTED_VALUE"""),41)</f>
        <v>41</v>
      </c>
      <c r="B42" s="2" t="str">
        <f ca="1">IFERROR(__xludf.DUMMYFUNCTION("""COMPUTED_VALUE"""),"Asus")</f>
        <v>Asus</v>
      </c>
      <c r="C42" s="2" t="str">
        <f ca="1">IFERROR(__xludf.DUMMYFUNCTION("""COMPUTED_VALUE"""),"X540UA-DM186 (i3-6006U/4GB/1TB/FHD/Linux)")</f>
        <v>X540UA-DM186 (i3-6006U/4GB/1TB/FHD/Linux)</v>
      </c>
      <c r="D42" s="2" t="str">
        <f ca="1">IFERROR(__xludf.DUMMYFUNCTION("""COMPUTED_VALUE"""),"Notebook")</f>
        <v>Notebook</v>
      </c>
      <c r="E42" s="2">
        <f ca="1">IFERROR(__xludf.DUMMYFUNCTION("""COMPUTED_VALUE"""),15.6)</f>
        <v>15.6</v>
      </c>
      <c r="F42" s="2" t="str">
        <f ca="1">IFERROR(__xludf.DUMMYFUNCTION("""COMPUTED_VALUE"""),"Full HD 1920x1080")</f>
        <v>Full HD 1920x1080</v>
      </c>
      <c r="G42" s="2" t="str">
        <f ca="1">IFERROR(__xludf.DUMMYFUNCTION("""COMPUTED_VALUE"""),"Intel Core i3 6006U 2GHz")</f>
        <v>Intel Core i3 6006U 2GHz</v>
      </c>
      <c r="H42" s="2" t="str">
        <f ca="1">IFERROR(__xludf.DUMMYFUNCTION("""COMPUTED_VALUE"""),"4GB")</f>
        <v>4GB</v>
      </c>
      <c r="I42" s="2" t="str">
        <f ca="1">IFERROR(__xludf.DUMMYFUNCTION("""COMPUTED_VALUE"""),"1TB HDD")</f>
        <v>1TB HDD</v>
      </c>
      <c r="J42" s="2" t="str">
        <f ca="1">IFERROR(__xludf.DUMMYFUNCTION("""COMPUTED_VALUE"""),"Intel HD Graphics 620")</f>
        <v>Intel HD Graphics 620</v>
      </c>
      <c r="K42" s="2" t="str">
        <f ca="1">IFERROR(__xludf.DUMMYFUNCTION("""COMPUTED_VALUE"""),"Linux")</f>
        <v>Linux</v>
      </c>
      <c r="L42" s="2" t="str">
        <f ca="1">IFERROR(__xludf.DUMMYFUNCTION("""COMPUTED_VALUE"""),"2kg")</f>
        <v>2kg</v>
      </c>
      <c r="M42" s="2">
        <f ca="1">IFERROR(__xludf.DUMMYFUNCTION("""COMPUTED_VALUE"""),389)</f>
        <v>389</v>
      </c>
    </row>
    <row r="43" spans="1:13">
      <c r="A43" s="2">
        <f ca="1">IFERROR(__xludf.DUMMYFUNCTION("""COMPUTED_VALUE"""),42)</f>
        <v>42</v>
      </c>
      <c r="B43" s="2" t="str">
        <f ca="1">IFERROR(__xludf.DUMMYFUNCTION("""COMPUTED_VALUE"""),"Dell")</f>
        <v>Dell</v>
      </c>
      <c r="C43" s="2" t="str">
        <f ca="1">IFERROR(__xludf.DUMMYFUNCTION("""COMPUTED_VALUE"""),"Inspiron 7577")</f>
        <v>Inspiron 7577</v>
      </c>
      <c r="D43" s="2" t="str">
        <f ca="1">IFERROR(__xludf.DUMMYFUNCTION("""COMPUTED_VALUE"""),"Gaming")</f>
        <v>Gaming</v>
      </c>
      <c r="E43" s="2">
        <f ca="1">IFERROR(__xludf.DUMMYFUNCTION("""COMPUTED_VALUE"""),15.6)</f>
        <v>15.6</v>
      </c>
      <c r="F43" s="2" t="str">
        <f ca="1">IFERROR(__xludf.DUMMYFUNCTION("""COMPUTED_VALUE"""),"IPS Panel Full HD 1920x1080")</f>
        <v>IPS Panel Full HD 1920x1080</v>
      </c>
      <c r="G43" s="2" t="str">
        <f ca="1">IFERROR(__xludf.DUMMYFUNCTION("""COMPUTED_VALUE"""),"Intel Core i7 7700HQ 2.8GHz")</f>
        <v>Intel Core i7 7700HQ 2.8GHz</v>
      </c>
      <c r="H43" s="2" t="str">
        <f ca="1">IFERROR(__xludf.DUMMYFUNCTION("""COMPUTED_VALUE"""),"16GB")</f>
        <v>16GB</v>
      </c>
      <c r="I43" s="2" t="str">
        <f ca="1">IFERROR(__xludf.DUMMYFUNCTION("""COMPUTED_VALUE"""),"256GB SSD +  1TB HDD")</f>
        <v>256GB SSD +  1TB HDD</v>
      </c>
      <c r="J43" s="2" t="str">
        <f ca="1">IFERROR(__xludf.DUMMYFUNCTION("""COMPUTED_VALUE"""),"Nvidia GeForce GTX 1060")</f>
        <v>Nvidia GeForce GTX 1060</v>
      </c>
      <c r="K43" s="2" t="str">
        <f ca="1">IFERROR(__xludf.DUMMYFUNCTION("""COMPUTED_VALUE"""),"Windows 10")</f>
        <v>Windows 10</v>
      </c>
      <c r="L43" s="2" t="str">
        <f ca="1">IFERROR(__xludf.DUMMYFUNCTION("""COMPUTED_VALUE"""),"2.65kg")</f>
        <v>2.65kg</v>
      </c>
      <c r="M43" s="2">
        <f ca="1">IFERROR(__xludf.DUMMYFUNCTION("""COMPUTED_VALUE"""),1499)</f>
        <v>1499</v>
      </c>
    </row>
    <row r="44" spans="1:13">
      <c r="A44" s="2">
        <f ca="1">IFERROR(__xludf.DUMMYFUNCTION("""COMPUTED_VALUE"""),43)</f>
        <v>43</v>
      </c>
      <c r="B44" s="2" t="str">
        <f ca="1">IFERROR(__xludf.DUMMYFUNCTION("""COMPUTED_VALUE"""),"Asus")</f>
        <v>Asus</v>
      </c>
      <c r="C44" s="2" t="str">
        <f ca="1">IFERROR(__xludf.DUMMYFUNCTION("""COMPUTED_VALUE"""),"X542UQ-GO005 (i5-7200U/8GB/1TB/GeForce")</f>
        <v>X542UQ-GO005 (i5-7200U/8GB/1TB/GeForce</v>
      </c>
      <c r="D44" s="2" t="str">
        <f ca="1">IFERROR(__xludf.DUMMYFUNCTION("""COMPUTED_VALUE"""),"Notebook")</f>
        <v>Notebook</v>
      </c>
      <c r="E44" s="2">
        <f ca="1">IFERROR(__xludf.DUMMYFUNCTION("""COMPUTED_VALUE"""),15.6)</f>
        <v>15.6</v>
      </c>
      <c r="F44" s="2" t="str">
        <f ca="1">IFERROR(__xludf.DUMMYFUNCTION("""COMPUTED_VALUE"""),"1366x768")</f>
        <v>1366x768</v>
      </c>
      <c r="G44" s="2" t="str">
        <f ca="1">IFERROR(__xludf.DUMMYFUNCTION("""COMPUTED_VALUE"""),"Intel Core i5 7200U 2.5GHz")</f>
        <v>Intel Core i5 7200U 2.5GHz</v>
      </c>
      <c r="H44" s="2" t="str">
        <f ca="1">IFERROR(__xludf.DUMMYFUNCTION("""COMPUTED_VALUE"""),"8GB")</f>
        <v>8GB</v>
      </c>
      <c r="I44" s="2" t="str">
        <f ca="1">IFERROR(__xludf.DUMMYFUNCTION("""COMPUTED_VALUE"""),"1TB HDD")</f>
        <v>1TB HDD</v>
      </c>
      <c r="J44" s="2" t="str">
        <f ca="1">IFERROR(__xludf.DUMMYFUNCTION("""COMPUTED_VALUE"""),"Nvidia GeForce 940MX")</f>
        <v>Nvidia GeForce 940MX</v>
      </c>
      <c r="K44" s="2" t="str">
        <f ca="1">IFERROR(__xludf.DUMMYFUNCTION("""COMPUTED_VALUE"""),"Linux")</f>
        <v>Linux</v>
      </c>
      <c r="L44" s="2" t="str">
        <f ca="1">IFERROR(__xludf.DUMMYFUNCTION("""COMPUTED_VALUE"""),"2.3kg")</f>
        <v>2.3kg</v>
      </c>
      <c r="M44" s="2">
        <f ca="1">IFERROR(__xludf.DUMMYFUNCTION("""COMPUTED_VALUE"""),522.99)</f>
        <v>522.99</v>
      </c>
    </row>
    <row r="45" spans="1:13">
      <c r="A45" s="2">
        <f ca="1">IFERROR(__xludf.DUMMYFUNCTION("""COMPUTED_VALUE"""),44)</f>
        <v>44</v>
      </c>
      <c r="B45" s="2" t="str">
        <f ca="1">IFERROR(__xludf.DUMMYFUNCTION("""COMPUTED_VALUE"""),"Acer")</f>
        <v>Acer</v>
      </c>
      <c r="C45" s="2" t="str">
        <f ca="1">IFERROR(__xludf.DUMMYFUNCTION("""COMPUTED_VALUE"""),"Aspire A515-51G")</f>
        <v>Aspire A515-51G</v>
      </c>
      <c r="D45" s="2" t="str">
        <f ca="1">IFERROR(__xludf.DUMMYFUNCTION("""COMPUTED_VALUE"""),"Notebook")</f>
        <v>Notebook</v>
      </c>
      <c r="E45" s="2">
        <f ca="1">IFERROR(__xludf.DUMMYFUNCTION("""COMPUTED_VALUE"""),15.6)</f>
        <v>15.6</v>
      </c>
      <c r="F45" s="2" t="str">
        <f ca="1">IFERROR(__xludf.DUMMYFUNCTION("""COMPUTED_VALUE"""),"IPS Panel Full HD 1920x1080")</f>
        <v>IPS Panel Full HD 1920x1080</v>
      </c>
      <c r="G45" s="2" t="str">
        <f ca="1">IFERROR(__xludf.DUMMYFUNCTION("""COMPUTED_VALUE"""),"Intel Core i5 8250U 1.6GHz")</f>
        <v>Intel Core i5 8250U 1.6GHz</v>
      </c>
      <c r="H45" s="2" t="str">
        <f ca="1">IFERROR(__xludf.DUMMYFUNCTION("""COMPUTED_VALUE"""),"4GB")</f>
        <v>4GB</v>
      </c>
      <c r="I45" s="2" t="str">
        <f ca="1">IFERROR(__xludf.DUMMYFUNCTION("""COMPUTED_VALUE"""),"256GB SSD")</f>
        <v>256GB SSD</v>
      </c>
      <c r="J45" s="2" t="str">
        <f ca="1">IFERROR(__xludf.DUMMYFUNCTION("""COMPUTED_VALUE"""),"Intel UHD Graphics 620")</f>
        <v>Intel UHD Graphics 620</v>
      </c>
      <c r="K45" s="2" t="str">
        <f ca="1">IFERROR(__xludf.DUMMYFUNCTION("""COMPUTED_VALUE"""),"Windows 10")</f>
        <v>Windows 10</v>
      </c>
      <c r="L45" s="2" t="str">
        <f ca="1">IFERROR(__xludf.DUMMYFUNCTION("""COMPUTED_VALUE"""),"2.2kg")</f>
        <v>2.2kg</v>
      </c>
      <c r="M45" s="2">
        <f ca="1">IFERROR(__xludf.DUMMYFUNCTION("""COMPUTED_VALUE"""),682)</f>
        <v>682</v>
      </c>
    </row>
    <row r="46" spans="1:13">
      <c r="A46" s="2">
        <f ca="1">IFERROR(__xludf.DUMMYFUNCTION("""COMPUTED_VALUE"""),45)</f>
        <v>45</v>
      </c>
      <c r="B46" s="2" t="str">
        <f ca="1">IFERROR(__xludf.DUMMYFUNCTION("""COMPUTED_VALUE"""),"Dell")</f>
        <v>Dell</v>
      </c>
      <c r="C46" s="2" t="str">
        <f ca="1">IFERROR(__xludf.DUMMYFUNCTION("""COMPUTED_VALUE"""),"Inspiron 7773")</f>
        <v>Inspiron 7773</v>
      </c>
      <c r="D46" s="2" t="str">
        <f ca="1">IFERROR(__xludf.DUMMYFUNCTION("""COMPUTED_VALUE"""),"2 in 1 Convertible")</f>
        <v>2 in 1 Convertible</v>
      </c>
      <c r="E46" s="2">
        <f ca="1">IFERROR(__xludf.DUMMYFUNCTION("""COMPUTED_VALUE"""),17.3)</f>
        <v>17.3</v>
      </c>
      <c r="F46" s="2" t="str">
        <f ca="1">IFERROR(__xludf.DUMMYFUNCTION("""COMPUTED_VALUE"""),"Full HD / Touchscreen 1920x1080")</f>
        <v>Full HD / Touchscreen 1920x1080</v>
      </c>
      <c r="G46" s="2" t="str">
        <f ca="1">IFERROR(__xludf.DUMMYFUNCTION("""COMPUTED_VALUE"""),"Intel Core i5 8250U 1.6GHz")</f>
        <v>Intel Core i5 8250U 1.6GHz</v>
      </c>
      <c r="H46" s="2" t="str">
        <f ca="1">IFERROR(__xludf.DUMMYFUNCTION("""COMPUTED_VALUE"""),"12GB")</f>
        <v>12GB</v>
      </c>
      <c r="I46" s="2" t="str">
        <f ca="1">IFERROR(__xludf.DUMMYFUNCTION("""COMPUTED_VALUE"""),"1TB HDD")</f>
        <v>1TB HDD</v>
      </c>
      <c r="J46" s="2" t="str">
        <f ca="1">IFERROR(__xludf.DUMMYFUNCTION("""COMPUTED_VALUE"""),"Nvidia GeForce 150MX")</f>
        <v>Nvidia GeForce 150MX</v>
      </c>
      <c r="K46" s="2" t="str">
        <f ca="1">IFERROR(__xludf.DUMMYFUNCTION("""COMPUTED_VALUE"""),"Windows 10")</f>
        <v>Windows 10</v>
      </c>
      <c r="L46" s="2" t="str">
        <f ca="1">IFERROR(__xludf.DUMMYFUNCTION("""COMPUTED_VALUE"""),"2.77kg")</f>
        <v>2.77kg</v>
      </c>
      <c r="M46" s="2">
        <f ca="1">IFERROR(__xludf.DUMMYFUNCTION("""COMPUTED_VALUE"""),999)</f>
        <v>999</v>
      </c>
    </row>
    <row r="47" spans="1:13">
      <c r="A47" s="2">
        <f ca="1">IFERROR(__xludf.DUMMYFUNCTION("""COMPUTED_VALUE"""),46)</f>
        <v>46</v>
      </c>
      <c r="B47" s="2" t="str">
        <f ca="1">IFERROR(__xludf.DUMMYFUNCTION("""COMPUTED_VALUE"""),"Apple")</f>
        <v>Apple</v>
      </c>
      <c r="C47" s="2" t="str">
        <f ca="1">IFERROR(__xludf.DUMMYFUNCTION("""COMPUTED_VALUE"""),"MacBook Pro")</f>
        <v>MacBook Pro</v>
      </c>
      <c r="D47" s="2" t="str">
        <f ca="1">IFERROR(__xludf.DUMMYFUNCTION("""COMPUTED_VALUE"""),"Ultrabook")</f>
        <v>Ultrabook</v>
      </c>
      <c r="E47" s="2">
        <f ca="1">IFERROR(__xludf.DUMMYFUNCTION("""COMPUTED_VALUE"""),13.3)</f>
        <v>13.3</v>
      </c>
      <c r="F47" s="2" t="str">
        <f ca="1">IFERROR(__xludf.DUMMYFUNCTION("""COMPUTED_VALUE"""),"IPS Panel Retina Display 2560x1600")</f>
        <v>IPS Panel Retina Display 2560x1600</v>
      </c>
      <c r="G47" s="2" t="str">
        <f ca="1">IFERROR(__xludf.DUMMYFUNCTION("""COMPUTED_VALUE"""),"Intel Core i5 2.0GHz")</f>
        <v>Intel Core i5 2.0GHz</v>
      </c>
      <c r="H47" s="2" t="str">
        <f ca="1">IFERROR(__xludf.DUMMYFUNCTION("""COMPUTED_VALUE"""),"8GB")</f>
        <v>8GB</v>
      </c>
      <c r="I47" s="2" t="str">
        <f ca="1">IFERROR(__xludf.DUMMYFUNCTION("""COMPUTED_VALUE"""),"256GB SSD")</f>
        <v>256GB SSD</v>
      </c>
      <c r="J47" s="2" t="str">
        <f ca="1">IFERROR(__xludf.DUMMYFUNCTION("""COMPUTED_VALUE"""),"Intel Iris Graphics 540")</f>
        <v>Intel Iris Graphics 540</v>
      </c>
      <c r="K47" s="2" t="str">
        <f ca="1">IFERROR(__xludf.DUMMYFUNCTION("""COMPUTED_VALUE"""),"macOS")</f>
        <v>macOS</v>
      </c>
      <c r="L47" s="2" t="str">
        <f ca="1">IFERROR(__xludf.DUMMYFUNCTION("""COMPUTED_VALUE"""),"1.37kg")</f>
        <v>1.37kg</v>
      </c>
      <c r="M47" s="2">
        <f ca="1">IFERROR(__xludf.DUMMYFUNCTION("""COMPUTED_VALUE"""),1419)</f>
        <v>1419</v>
      </c>
    </row>
    <row r="48" spans="1:13">
      <c r="A48" s="2">
        <f ca="1">IFERROR(__xludf.DUMMYFUNCTION("""COMPUTED_VALUE"""),47)</f>
        <v>47</v>
      </c>
      <c r="B48" s="2" t="str">
        <f ca="1">IFERROR(__xludf.DUMMYFUNCTION("""COMPUTED_VALUE"""),"Lenovo")</f>
        <v>Lenovo</v>
      </c>
      <c r="C48" s="2" t="str">
        <f ca="1">IFERROR(__xludf.DUMMYFUNCTION("""COMPUTED_VALUE"""),"IdeaPad 320-15ISK")</f>
        <v>IdeaPad 320-15ISK</v>
      </c>
      <c r="D48" s="2" t="str">
        <f ca="1">IFERROR(__xludf.DUMMYFUNCTION("""COMPUTED_VALUE"""),"Notebook")</f>
        <v>Notebook</v>
      </c>
      <c r="E48" s="2">
        <f ca="1">IFERROR(__xludf.DUMMYFUNCTION("""COMPUTED_VALUE"""),15.6)</f>
        <v>15.6</v>
      </c>
      <c r="F48" s="2" t="str">
        <f ca="1">IFERROR(__xludf.DUMMYFUNCTION("""COMPUTED_VALUE"""),"1366x768")</f>
        <v>1366x768</v>
      </c>
      <c r="G48" s="2" t="str">
        <f ca="1">IFERROR(__xludf.DUMMYFUNCTION("""COMPUTED_VALUE"""),"Intel Core i3 6006U 2GHz")</f>
        <v>Intel Core i3 6006U 2GHz</v>
      </c>
      <c r="H48" s="2" t="str">
        <f ca="1">IFERROR(__xludf.DUMMYFUNCTION("""COMPUTED_VALUE"""),"4GB")</f>
        <v>4GB</v>
      </c>
      <c r="I48" s="2" t="str">
        <f ca="1">IFERROR(__xludf.DUMMYFUNCTION("""COMPUTED_VALUE"""),"128GB SSD")</f>
        <v>128GB SSD</v>
      </c>
      <c r="J48" s="2" t="str">
        <f ca="1">IFERROR(__xludf.DUMMYFUNCTION("""COMPUTED_VALUE"""),"Intel HD Graphics 520")</f>
        <v>Intel HD Graphics 520</v>
      </c>
      <c r="K48" s="2" t="str">
        <f ca="1">IFERROR(__xludf.DUMMYFUNCTION("""COMPUTED_VALUE"""),"No OS")</f>
        <v>No OS</v>
      </c>
      <c r="L48" s="2" t="str">
        <f ca="1">IFERROR(__xludf.DUMMYFUNCTION("""COMPUTED_VALUE"""),"2.2kg")</f>
        <v>2.2kg</v>
      </c>
      <c r="M48" s="2">
        <f ca="1">IFERROR(__xludf.DUMMYFUNCTION("""COMPUTED_VALUE"""),369)</f>
        <v>369</v>
      </c>
    </row>
    <row r="49" spans="1:13">
      <c r="A49" s="2">
        <f ca="1">IFERROR(__xludf.DUMMYFUNCTION("""COMPUTED_VALUE"""),48)</f>
        <v>48</v>
      </c>
      <c r="B49" s="2" t="str">
        <f ca="1">IFERROR(__xludf.DUMMYFUNCTION("""COMPUTED_VALUE"""),"Asus")</f>
        <v>Asus</v>
      </c>
      <c r="C49" s="2" t="str">
        <f ca="1">IFERROR(__xludf.DUMMYFUNCTION("""COMPUTED_VALUE"""),"Rog Strix")</f>
        <v>Rog Strix</v>
      </c>
      <c r="D49" s="2" t="str">
        <f ca="1">IFERROR(__xludf.DUMMYFUNCTION("""COMPUTED_VALUE"""),"Gaming")</f>
        <v>Gaming</v>
      </c>
      <c r="E49" s="2">
        <f ca="1">IFERROR(__xludf.DUMMYFUNCTION("""COMPUTED_VALUE"""),17.3)</f>
        <v>17.3</v>
      </c>
      <c r="F49" s="2" t="str">
        <f ca="1">IFERROR(__xludf.DUMMYFUNCTION("""COMPUTED_VALUE"""),"Full HD 1920x1080")</f>
        <v>Full HD 1920x1080</v>
      </c>
      <c r="G49" s="2" t="str">
        <f ca="1">IFERROR(__xludf.DUMMYFUNCTION("""COMPUTED_VALUE"""),"AMD Ryzen 1700 3GHz")</f>
        <v>AMD Ryzen 1700 3GHz</v>
      </c>
      <c r="H49" s="2" t="str">
        <f ca="1">IFERROR(__xludf.DUMMYFUNCTION("""COMPUTED_VALUE"""),"8GB")</f>
        <v>8GB</v>
      </c>
      <c r="I49" s="2" t="str">
        <f ca="1">IFERROR(__xludf.DUMMYFUNCTION("""COMPUTED_VALUE"""),"256GB SSD +  1TB HDD")</f>
        <v>256GB SSD +  1TB HDD</v>
      </c>
      <c r="J49" s="2" t="str">
        <f ca="1">IFERROR(__xludf.DUMMYFUNCTION("""COMPUTED_VALUE"""),"AMD Radeon RX 580")</f>
        <v>AMD Radeon RX 580</v>
      </c>
      <c r="K49" s="2" t="str">
        <f ca="1">IFERROR(__xludf.DUMMYFUNCTION("""COMPUTED_VALUE"""),"Windows 10")</f>
        <v>Windows 10</v>
      </c>
      <c r="L49" s="2" t="str">
        <f ca="1">IFERROR(__xludf.DUMMYFUNCTION("""COMPUTED_VALUE"""),"3.2kg")</f>
        <v>3.2kg</v>
      </c>
      <c r="M49" s="2">
        <f ca="1">IFERROR(__xludf.DUMMYFUNCTION("""COMPUTED_VALUE"""),1299)</f>
        <v>1299</v>
      </c>
    </row>
    <row r="50" spans="1:13">
      <c r="A50" s="2">
        <f ca="1">IFERROR(__xludf.DUMMYFUNCTION("""COMPUTED_VALUE"""),49)</f>
        <v>49</v>
      </c>
      <c r="B50" s="2" t="str">
        <f ca="1">IFERROR(__xludf.DUMMYFUNCTION("""COMPUTED_VALUE"""),"Dell")</f>
        <v>Dell</v>
      </c>
      <c r="C50" s="2" t="str">
        <f ca="1">IFERROR(__xludf.DUMMYFUNCTION("""COMPUTED_VALUE"""),"Inspiron 3567")</f>
        <v>Inspiron 3567</v>
      </c>
      <c r="D50" s="2" t="str">
        <f ca="1">IFERROR(__xludf.DUMMYFUNCTION("""COMPUTED_VALUE"""),"Notebook")</f>
        <v>Notebook</v>
      </c>
      <c r="E50" s="2">
        <f ca="1">IFERROR(__xludf.DUMMYFUNCTION("""COMPUTED_VALUE"""),15.6)</f>
        <v>15.6</v>
      </c>
      <c r="F50" s="2" t="str">
        <f ca="1">IFERROR(__xludf.DUMMYFUNCTION("""COMPUTED_VALUE"""),"Full HD 1920x1080")</f>
        <v>Full HD 1920x1080</v>
      </c>
      <c r="G50" s="2" t="str">
        <f ca="1">IFERROR(__xludf.DUMMYFUNCTION("""COMPUTED_VALUE"""),"Intel Core i5 7200U 2.5GHz")</f>
        <v>Intel Core i5 7200U 2.5GHz</v>
      </c>
      <c r="H50" s="2" t="str">
        <f ca="1">IFERROR(__xludf.DUMMYFUNCTION("""COMPUTED_VALUE"""),"4GB")</f>
        <v>4GB</v>
      </c>
      <c r="I50" s="2" t="str">
        <f ca="1">IFERROR(__xludf.DUMMYFUNCTION("""COMPUTED_VALUE"""),"256GB SSD")</f>
        <v>256GB SSD</v>
      </c>
      <c r="J50" s="2" t="str">
        <f ca="1">IFERROR(__xludf.DUMMYFUNCTION("""COMPUTED_VALUE"""),"AMD Radeon R5 M430")</f>
        <v>AMD Radeon R5 M430</v>
      </c>
      <c r="K50" s="2" t="str">
        <f ca="1">IFERROR(__xludf.DUMMYFUNCTION("""COMPUTED_VALUE"""),"Windows 10")</f>
        <v>Windows 10</v>
      </c>
      <c r="L50" s="2" t="str">
        <f ca="1">IFERROR(__xludf.DUMMYFUNCTION("""COMPUTED_VALUE"""),"2.3kg")</f>
        <v>2.3kg</v>
      </c>
      <c r="M50" s="2">
        <f ca="1">IFERROR(__xludf.DUMMYFUNCTION("""COMPUTED_VALUE"""),639)</f>
        <v>639</v>
      </c>
    </row>
    <row r="51" spans="1:13">
      <c r="A51" s="2">
        <f ca="1">IFERROR(__xludf.DUMMYFUNCTION("""COMPUTED_VALUE"""),50)</f>
        <v>50</v>
      </c>
      <c r="B51" s="2" t="str">
        <f ca="1">IFERROR(__xludf.DUMMYFUNCTION("""COMPUTED_VALUE"""),"Asus")</f>
        <v>Asus</v>
      </c>
      <c r="C51" s="2" t="str">
        <f ca="1">IFERROR(__xludf.DUMMYFUNCTION("""COMPUTED_VALUE"""),"X751NV-TY001T (N4200/4GB/1TB/GeForce")</f>
        <v>X751NV-TY001T (N4200/4GB/1TB/GeForce</v>
      </c>
      <c r="D51" s="2" t="str">
        <f ca="1">IFERROR(__xludf.DUMMYFUNCTION("""COMPUTED_VALUE"""),"Notebook")</f>
        <v>Notebook</v>
      </c>
      <c r="E51" s="2">
        <f ca="1">IFERROR(__xludf.DUMMYFUNCTION("""COMPUTED_VALUE"""),17.3)</f>
        <v>17.3</v>
      </c>
      <c r="F51" s="2" t="str">
        <f ca="1">IFERROR(__xludf.DUMMYFUNCTION("""COMPUTED_VALUE"""),"1366x768")</f>
        <v>1366x768</v>
      </c>
      <c r="G51" s="2" t="str">
        <f ca="1">IFERROR(__xludf.DUMMYFUNCTION("""COMPUTED_VALUE"""),"Intel Pentium Quad Core N4200 1.1GHz")</f>
        <v>Intel Pentium Quad Core N4200 1.1GHz</v>
      </c>
      <c r="H51" s="2" t="str">
        <f ca="1">IFERROR(__xludf.DUMMYFUNCTION("""COMPUTED_VALUE"""),"4GB")</f>
        <v>4GB</v>
      </c>
      <c r="I51" s="2" t="str">
        <f ca="1">IFERROR(__xludf.DUMMYFUNCTION("""COMPUTED_VALUE"""),"1TB HDD")</f>
        <v>1TB HDD</v>
      </c>
      <c r="J51" s="2" t="str">
        <f ca="1">IFERROR(__xludf.DUMMYFUNCTION("""COMPUTED_VALUE"""),"Nvidia GeForce 920MX")</f>
        <v>Nvidia GeForce 920MX</v>
      </c>
      <c r="K51" s="2" t="str">
        <f ca="1">IFERROR(__xludf.DUMMYFUNCTION("""COMPUTED_VALUE"""),"Windows 10")</f>
        <v>Windows 10</v>
      </c>
      <c r="L51" s="2" t="str">
        <f ca="1">IFERROR(__xludf.DUMMYFUNCTION("""COMPUTED_VALUE"""),"2.8kg")</f>
        <v>2.8kg</v>
      </c>
      <c r="M51" s="2">
        <f ca="1">IFERROR(__xludf.DUMMYFUNCTION("""COMPUTED_VALUE"""),466)</f>
        <v>466</v>
      </c>
    </row>
    <row r="52" spans="1:13">
      <c r="A52" s="2">
        <f ca="1">IFERROR(__xludf.DUMMYFUNCTION("""COMPUTED_VALUE"""),51)</f>
        <v>51</v>
      </c>
      <c r="B52" s="2" t="str">
        <f ca="1">IFERROR(__xludf.DUMMYFUNCTION("""COMPUTED_VALUE"""),"Lenovo")</f>
        <v>Lenovo</v>
      </c>
      <c r="C52" s="2" t="str">
        <f ca="1">IFERROR(__xludf.DUMMYFUNCTION("""COMPUTED_VALUE"""),"Yoga Book")</f>
        <v>Yoga Book</v>
      </c>
      <c r="D52" s="2" t="str">
        <f ca="1">IFERROR(__xludf.DUMMYFUNCTION("""COMPUTED_VALUE"""),"2 in 1 Convertible")</f>
        <v>2 in 1 Convertible</v>
      </c>
      <c r="E52" s="2">
        <f ca="1">IFERROR(__xludf.DUMMYFUNCTION("""COMPUTED_VALUE"""),10.1)</f>
        <v>10.1</v>
      </c>
      <c r="F52" s="2" t="str">
        <f ca="1">IFERROR(__xludf.DUMMYFUNCTION("""COMPUTED_VALUE"""),"IPS Panel Touchscreen 1920x1200")</f>
        <v>IPS Panel Touchscreen 1920x1200</v>
      </c>
      <c r="G52" s="2" t="str">
        <f ca="1">IFERROR(__xludf.DUMMYFUNCTION("""COMPUTED_VALUE"""),"Intel Atom x5-Z8550 1.44GHz")</f>
        <v>Intel Atom x5-Z8550 1.44GHz</v>
      </c>
      <c r="H52" s="2" t="str">
        <f ca="1">IFERROR(__xludf.DUMMYFUNCTION("""COMPUTED_VALUE"""),"4GB")</f>
        <v>4GB</v>
      </c>
      <c r="I52" s="2" t="str">
        <f ca="1">IFERROR(__xludf.DUMMYFUNCTION("""COMPUTED_VALUE"""),"64GB Flash Storage")</f>
        <v>64GB Flash Storage</v>
      </c>
      <c r="J52" s="2" t="str">
        <f ca="1">IFERROR(__xludf.DUMMYFUNCTION("""COMPUTED_VALUE"""),"Intel HD Graphics 400")</f>
        <v>Intel HD Graphics 400</v>
      </c>
      <c r="K52" s="2" t="str">
        <f ca="1">IFERROR(__xludf.DUMMYFUNCTION("""COMPUTED_VALUE"""),"Android")</f>
        <v>Android</v>
      </c>
      <c r="L52" s="2" t="str">
        <f ca="1">IFERROR(__xludf.DUMMYFUNCTION("""COMPUTED_VALUE"""),"0.69kg")</f>
        <v>0.69kg</v>
      </c>
      <c r="M52" s="2">
        <f ca="1">IFERROR(__xludf.DUMMYFUNCTION("""COMPUTED_VALUE"""),319)</f>
        <v>319</v>
      </c>
    </row>
    <row r="53" spans="1:13">
      <c r="A53" s="2">
        <f ca="1">IFERROR(__xludf.DUMMYFUNCTION("""COMPUTED_VALUE"""),52)</f>
        <v>52</v>
      </c>
      <c r="B53" s="2" t="str">
        <f ca="1">IFERROR(__xludf.DUMMYFUNCTION("""COMPUTED_VALUE"""),"Acer")</f>
        <v>Acer</v>
      </c>
      <c r="C53" s="2" t="str">
        <f ca="1">IFERROR(__xludf.DUMMYFUNCTION("""COMPUTED_VALUE"""),"Aspire A515-51G")</f>
        <v>Aspire A515-51G</v>
      </c>
      <c r="D53" s="2" t="str">
        <f ca="1">IFERROR(__xludf.DUMMYFUNCTION("""COMPUTED_VALUE"""),"Notebook")</f>
        <v>Notebook</v>
      </c>
      <c r="E53" s="2">
        <f ca="1">IFERROR(__xludf.DUMMYFUNCTION("""COMPUTED_VALUE"""),15.6)</f>
        <v>15.6</v>
      </c>
      <c r="F53" s="2" t="str">
        <f ca="1">IFERROR(__xludf.DUMMYFUNCTION("""COMPUTED_VALUE"""),"IPS Panel Full HD 1920x1080")</f>
        <v>IPS Panel Full HD 1920x1080</v>
      </c>
      <c r="G53" s="2" t="str">
        <f ca="1">IFERROR(__xludf.DUMMYFUNCTION("""COMPUTED_VALUE"""),"Intel Core i7 8550U 1.8GHz")</f>
        <v>Intel Core i7 8550U 1.8GHz</v>
      </c>
      <c r="H53" s="2" t="str">
        <f ca="1">IFERROR(__xludf.DUMMYFUNCTION("""COMPUTED_VALUE"""),"8GB")</f>
        <v>8GB</v>
      </c>
      <c r="I53" s="2" t="str">
        <f ca="1">IFERROR(__xludf.DUMMYFUNCTION("""COMPUTED_VALUE"""),"256GB SSD")</f>
        <v>256GB SSD</v>
      </c>
      <c r="J53" s="2" t="str">
        <f ca="1">IFERROR(__xludf.DUMMYFUNCTION("""COMPUTED_VALUE"""),"Nvidia GeForce MX150")</f>
        <v>Nvidia GeForce MX150</v>
      </c>
      <c r="K53" s="2" t="str">
        <f ca="1">IFERROR(__xludf.DUMMYFUNCTION("""COMPUTED_VALUE"""),"Windows 10")</f>
        <v>Windows 10</v>
      </c>
      <c r="L53" s="2" t="str">
        <f ca="1">IFERROR(__xludf.DUMMYFUNCTION("""COMPUTED_VALUE"""),"2.2kg")</f>
        <v>2.2kg</v>
      </c>
      <c r="M53" s="2">
        <f ca="1">IFERROR(__xludf.DUMMYFUNCTION("""COMPUTED_VALUE"""),841)</f>
        <v>841</v>
      </c>
    </row>
    <row r="54" spans="1:13">
      <c r="A54" s="2">
        <f ca="1">IFERROR(__xludf.DUMMYFUNCTION("""COMPUTED_VALUE"""),53)</f>
        <v>53</v>
      </c>
      <c r="B54" s="2" t="str">
        <f ca="1">IFERROR(__xludf.DUMMYFUNCTION("""COMPUTED_VALUE"""),"HP")</f>
        <v>HP</v>
      </c>
      <c r="C54" s="2" t="str">
        <f ca="1">IFERROR(__xludf.DUMMYFUNCTION("""COMPUTED_VALUE"""),"255 G6")</f>
        <v>255 G6</v>
      </c>
      <c r="D54" s="2" t="str">
        <f ca="1">IFERROR(__xludf.DUMMYFUNCTION("""COMPUTED_VALUE"""),"Notebook")</f>
        <v>Notebook</v>
      </c>
      <c r="E54" s="2">
        <f ca="1">IFERROR(__xludf.DUMMYFUNCTION("""COMPUTED_VALUE"""),15.6)</f>
        <v>15.6</v>
      </c>
      <c r="F54" s="2" t="str">
        <f ca="1">IFERROR(__xludf.DUMMYFUNCTION("""COMPUTED_VALUE"""),"Full HD 1920x1080")</f>
        <v>Full HD 1920x1080</v>
      </c>
      <c r="G54" s="2" t="str">
        <f ca="1">IFERROR(__xludf.DUMMYFUNCTION("""COMPUTED_VALUE"""),"AMD A6-Series 9220 2.5GHz")</f>
        <v>AMD A6-Series 9220 2.5GHz</v>
      </c>
      <c r="H54" s="2" t="str">
        <f ca="1">IFERROR(__xludf.DUMMYFUNCTION("""COMPUTED_VALUE"""),"4GB")</f>
        <v>4GB</v>
      </c>
      <c r="I54" s="2" t="str">
        <f ca="1">IFERROR(__xludf.DUMMYFUNCTION("""COMPUTED_VALUE"""),"256GB SSD")</f>
        <v>256GB SSD</v>
      </c>
      <c r="J54" s="2" t="str">
        <f ca="1">IFERROR(__xludf.DUMMYFUNCTION("""COMPUTED_VALUE"""),"AMD Radeon R4 Graphics")</f>
        <v>AMD Radeon R4 Graphics</v>
      </c>
      <c r="K54" s="2" t="str">
        <f ca="1">IFERROR(__xludf.DUMMYFUNCTION("""COMPUTED_VALUE"""),"Windows 10")</f>
        <v>Windows 10</v>
      </c>
      <c r="L54" s="2" t="str">
        <f ca="1">IFERROR(__xludf.DUMMYFUNCTION("""COMPUTED_VALUE"""),"1.86kg")</f>
        <v>1.86kg</v>
      </c>
      <c r="M54" s="2">
        <f ca="1">IFERROR(__xludf.DUMMYFUNCTION("""COMPUTED_VALUE"""),398.49)</f>
        <v>398.49</v>
      </c>
    </row>
    <row r="55" spans="1:13">
      <c r="A55" s="2">
        <f ca="1">IFERROR(__xludf.DUMMYFUNCTION("""COMPUTED_VALUE"""),54)</f>
        <v>54</v>
      </c>
      <c r="B55" s="2" t="str">
        <f ca="1">IFERROR(__xludf.DUMMYFUNCTION("""COMPUTED_VALUE"""),"HP")</f>
        <v>HP</v>
      </c>
      <c r="C55" s="2" t="str">
        <f ca="1">IFERROR(__xludf.DUMMYFUNCTION("""COMPUTED_VALUE"""),"ProBook 430")</f>
        <v>ProBook 430</v>
      </c>
      <c r="D55" s="2" t="str">
        <f ca="1">IFERROR(__xludf.DUMMYFUNCTION("""COMPUTED_VALUE"""),"Notebook")</f>
        <v>Notebook</v>
      </c>
      <c r="E55" s="2">
        <f ca="1">IFERROR(__xludf.DUMMYFUNCTION("""COMPUTED_VALUE"""),13.3)</f>
        <v>13.3</v>
      </c>
      <c r="F55" s="2" t="str">
        <f ca="1">IFERROR(__xludf.DUMMYFUNCTION("""COMPUTED_VALUE"""),"Full HD 1920x1080")</f>
        <v>Full HD 1920x1080</v>
      </c>
      <c r="G55" s="2" t="str">
        <f ca="1">IFERROR(__xludf.DUMMYFUNCTION("""COMPUTED_VALUE"""),"Intel Core i7 8550U 1.8GHz")</f>
        <v>Intel Core i7 8550U 1.8GHz</v>
      </c>
      <c r="H55" s="2" t="str">
        <f ca="1">IFERROR(__xludf.DUMMYFUNCTION("""COMPUTED_VALUE"""),"8GB")</f>
        <v>8GB</v>
      </c>
      <c r="I55" s="2" t="str">
        <f ca="1">IFERROR(__xludf.DUMMYFUNCTION("""COMPUTED_VALUE"""),"512GB SSD")</f>
        <v>512GB SSD</v>
      </c>
      <c r="J55" s="2" t="str">
        <f ca="1">IFERROR(__xludf.DUMMYFUNCTION("""COMPUTED_VALUE"""),"Intel UHD Graphics 620")</f>
        <v>Intel UHD Graphics 620</v>
      </c>
      <c r="K55" s="2" t="str">
        <f ca="1">IFERROR(__xludf.DUMMYFUNCTION("""COMPUTED_VALUE"""),"Windows 10")</f>
        <v>Windows 10</v>
      </c>
      <c r="L55" s="2" t="str">
        <f ca="1">IFERROR(__xludf.DUMMYFUNCTION("""COMPUTED_VALUE"""),"1.49kg")</f>
        <v>1.49kg</v>
      </c>
      <c r="M55" s="2">
        <f ca="1">IFERROR(__xludf.DUMMYFUNCTION("""COMPUTED_VALUE"""),1103)</f>
        <v>1103</v>
      </c>
    </row>
    <row r="56" spans="1:13">
      <c r="A56" s="2">
        <f ca="1">IFERROR(__xludf.DUMMYFUNCTION("""COMPUTED_VALUE"""),55)</f>
        <v>55</v>
      </c>
      <c r="B56" s="2" t="str">
        <f ca="1">IFERROR(__xludf.DUMMYFUNCTION("""COMPUTED_VALUE"""),"Acer")</f>
        <v>Acer</v>
      </c>
      <c r="C56" s="2" t="str">
        <f ca="1">IFERROR(__xludf.DUMMYFUNCTION("""COMPUTED_VALUE"""),"Aspire 3")</f>
        <v>Aspire 3</v>
      </c>
      <c r="D56" s="2" t="str">
        <f ca="1">IFERROR(__xludf.DUMMYFUNCTION("""COMPUTED_VALUE"""),"Notebook")</f>
        <v>Notebook</v>
      </c>
      <c r="E56" s="2">
        <f ca="1">IFERROR(__xludf.DUMMYFUNCTION("""COMPUTED_VALUE"""),15.6)</f>
        <v>15.6</v>
      </c>
      <c r="F56" s="2" t="str">
        <f ca="1">IFERROR(__xludf.DUMMYFUNCTION("""COMPUTED_VALUE"""),"1366x768")</f>
        <v>1366x768</v>
      </c>
      <c r="G56" s="2" t="str">
        <f ca="1">IFERROR(__xludf.DUMMYFUNCTION("""COMPUTED_VALUE"""),"Intel Core i3 7100U 2.4GHz")</f>
        <v>Intel Core i3 7100U 2.4GHz</v>
      </c>
      <c r="H56" s="2" t="str">
        <f ca="1">IFERROR(__xludf.DUMMYFUNCTION("""COMPUTED_VALUE"""),"4GB")</f>
        <v>4GB</v>
      </c>
      <c r="I56" s="2" t="str">
        <f ca="1">IFERROR(__xludf.DUMMYFUNCTION("""COMPUTED_VALUE"""),"1TB HDD")</f>
        <v>1TB HDD</v>
      </c>
      <c r="J56" s="2" t="str">
        <f ca="1">IFERROR(__xludf.DUMMYFUNCTION("""COMPUTED_VALUE"""),"Intel HD Graphics 620")</f>
        <v>Intel HD Graphics 620</v>
      </c>
      <c r="K56" s="2" t="str">
        <f ca="1">IFERROR(__xludf.DUMMYFUNCTION("""COMPUTED_VALUE"""),"Windows 10")</f>
        <v>Windows 10</v>
      </c>
      <c r="L56" s="2" t="str">
        <f ca="1">IFERROR(__xludf.DUMMYFUNCTION("""COMPUTED_VALUE"""),"2.4kg")</f>
        <v>2.4kg</v>
      </c>
      <c r="M56" s="2">
        <f ca="1">IFERROR(__xludf.DUMMYFUNCTION("""COMPUTED_VALUE"""),384)</f>
        <v>384</v>
      </c>
    </row>
    <row r="57" spans="1:13">
      <c r="A57" s="2">
        <f ca="1">IFERROR(__xludf.DUMMYFUNCTION("""COMPUTED_VALUE"""),56)</f>
        <v>56</v>
      </c>
      <c r="B57" s="2" t="str">
        <f ca="1">IFERROR(__xludf.DUMMYFUNCTION("""COMPUTED_VALUE"""),"Dell")</f>
        <v>Dell</v>
      </c>
      <c r="C57" s="2" t="str">
        <f ca="1">IFERROR(__xludf.DUMMYFUNCTION("""COMPUTED_VALUE"""),"Inspiron 3576")</f>
        <v>Inspiron 3576</v>
      </c>
      <c r="D57" s="2" t="str">
        <f ca="1">IFERROR(__xludf.DUMMYFUNCTION("""COMPUTED_VALUE"""),"Notebook")</f>
        <v>Notebook</v>
      </c>
      <c r="E57" s="2">
        <f ca="1">IFERROR(__xludf.DUMMYFUNCTION("""COMPUTED_VALUE"""),15.6)</f>
        <v>15.6</v>
      </c>
      <c r="F57" s="2" t="str">
        <f ca="1">IFERROR(__xludf.DUMMYFUNCTION("""COMPUTED_VALUE"""),"Full HD 1920x1080")</f>
        <v>Full HD 1920x1080</v>
      </c>
      <c r="G57" s="2" t="str">
        <f ca="1">IFERROR(__xludf.DUMMYFUNCTION("""COMPUTED_VALUE"""),"Intel Core i7 8550U 1.8GHz")</f>
        <v>Intel Core i7 8550U 1.8GHz</v>
      </c>
      <c r="H57" s="2" t="str">
        <f ca="1">IFERROR(__xludf.DUMMYFUNCTION("""COMPUTED_VALUE"""),"8GB")</f>
        <v>8GB</v>
      </c>
      <c r="I57" s="2" t="str">
        <f ca="1">IFERROR(__xludf.DUMMYFUNCTION("""COMPUTED_VALUE"""),"256GB SSD")</f>
        <v>256GB SSD</v>
      </c>
      <c r="J57" s="2" t="str">
        <f ca="1">IFERROR(__xludf.DUMMYFUNCTION("""COMPUTED_VALUE"""),"AMD Radeon 520")</f>
        <v>AMD Radeon 520</v>
      </c>
      <c r="K57" s="2" t="str">
        <f ca="1">IFERROR(__xludf.DUMMYFUNCTION("""COMPUTED_VALUE"""),"Windows 10")</f>
        <v>Windows 10</v>
      </c>
      <c r="L57" s="2" t="str">
        <f ca="1">IFERROR(__xludf.DUMMYFUNCTION("""COMPUTED_VALUE"""),"2.13kg")</f>
        <v>2.13kg</v>
      </c>
      <c r="M57" s="2">
        <f ca="1">IFERROR(__xludf.DUMMYFUNCTION("""COMPUTED_VALUE"""),767.8)</f>
        <v>767.8</v>
      </c>
    </row>
    <row r="58" spans="1:13">
      <c r="A58" s="2">
        <f ca="1">IFERROR(__xludf.DUMMYFUNCTION("""COMPUTED_VALUE"""),57)</f>
        <v>57</v>
      </c>
      <c r="B58" s="2" t="str">
        <f ca="1">IFERROR(__xludf.DUMMYFUNCTION("""COMPUTED_VALUE"""),"HP")</f>
        <v>HP</v>
      </c>
      <c r="C58" s="2" t="str">
        <f ca="1">IFERROR(__xludf.DUMMYFUNCTION("""COMPUTED_VALUE"""),"15-bs002nv (i3-6006U/4GB/128GB/FHD/W10)")</f>
        <v>15-bs002nv (i3-6006U/4GB/128GB/FHD/W10)</v>
      </c>
      <c r="D58" s="2" t="str">
        <f ca="1">IFERROR(__xludf.DUMMYFUNCTION("""COMPUTED_VALUE"""),"Notebook")</f>
        <v>Notebook</v>
      </c>
      <c r="E58" s="2">
        <f ca="1">IFERROR(__xludf.DUMMYFUNCTION("""COMPUTED_VALUE"""),15.6)</f>
        <v>15.6</v>
      </c>
      <c r="F58" s="2" t="str">
        <f ca="1">IFERROR(__xludf.DUMMYFUNCTION("""COMPUTED_VALUE"""),"Full HD 1920x1080")</f>
        <v>Full HD 1920x1080</v>
      </c>
      <c r="G58" s="2" t="str">
        <f ca="1">IFERROR(__xludf.DUMMYFUNCTION("""COMPUTED_VALUE"""),"Intel Core i3 6006U 2GHz")</f>
        <v>Intel Core i3 6006U 2GHz</v>
      </c>
      <c r="H58" s="2" t="str">
        <f ca="1">IFERROR(__xludf.DUMMYFUNCTION("""COMPUTED_VALUE"""),"4GB")</f>
        <v>4GB</v>
      </c>
      <c r="I58" s="2" t="str">
        <f ca="1">IFERROR(__xludf.DUMMYFUNCTION("""COMPUTED_VALUE"""),"128GB SSD")</f>
        <v>128GB SSD</v>
      </c>
      <c r="J58" s="2" t="str">
        <f ca="1">IFERROR(__xludf.DUMMYFUNCTION("""COMPUTED_VALUE"""),"Intel HD Graphics 520")</f>
        <v>Intel HD Graphics 520</v>
      </c>
      <c r="K58" s="2" t="str">
        <f ca="1">IFERROR(__xludf.DUMMYFUNCTION("""COMPUTED_VALUE"""),"Windows 10")</f>
        <v>Windows 10</v>
      </c>
      <c r="L58" s="2" t="str">
        <f ca="1">IFERROR(__xludf.DUMMYFUNCTION("""COMPUTED_VALUE"""),"1.91kg")</f>
        <v>1.91kg</v>
      </c>
      <c r="M58" s="2">
        <f ca="1">IFERROR(__xludf.DUMMYFUNCTION("""COMPUTED_VALUE"""),439)</f>
        <v>439</v>
      </c>
    </row>
    <row r="59" spans="1:13">
      <c r="A59" s="2">
        <f ca="1">IFERROR(__xludf.DUMMYFUNCTION("""COMPUTED_VALUE"""),58)</f>
        <v>58</v>
      </c>
      <c r="B59" s="2" t="str">
        <f ca="1">IFERROR(__xludf.DUMMYFUNCTION("""COMPUTED_VALUE"""),"Asus")</f>
        <v>Asus</v>
      </c>
      <c r="C59" s="2" t="str">
        <f ca="1">IFERROR(__xludf.DUMMYFUNCTION("""COMPUTED_VALUE"""),"VivoBook Max")</f>
        <v>VivoBook Max</v>
      </c>
      <c r="D59" s="2" t="str">
        <f ca="1">IFERROR(__xludf.DUMMYFUNCTION("""COMPUTED_VALUE"""),"Notebook")</f>
        <v>Notebook</v>
      </c>
      <c r="E59" s="2">
        <f ca="1">IFERROR(__xludf.DUMMYFUNCTION("""COMPUTED_VALUE"""),15.6)</f>
        <v>15.6</v>
      </c>
      <c r="F59" s="2" t="str">
        <f ca="1">IFERROR(__xludf.DUMMYFUNCTION("""COMPUTED_VALUE"""),"1366x768")</f>
        <v>1366x768</v>
      </c>
      <c r="G59" s="2" t="str">
        <f ca="1">IFERROR(__xludf.DUMMYFUNCTION("""COMPUTED_VALUE"""),"Intel Core i5 7200U 2.5GHz")</f>
        <v>Intel Core i5 7200U 2.5GHz</v>
      </c>
      <c r="H59" s="2" t="str">
        <f ca="1">IFERROR(__xludf.DUMMYFUNCTION("""COMPUTED_VALUE"""),"4GB")</f>
        <v>4GB</v>
      </c>
      <c r="I59" s="2" t="str">
        <f ca="1">IFERROR(__xludf.DUMMYFUNCTION("""COMPUTED_VALUE"""),"256GB SSD")</f>
        <v>256GB SSD</v>
      </c>
      <c r="J59" s="2" t="str">
        <f ca="1">IFERROR(__xludf.DUMMYFUNCTION("""COMPUTED_VALUE"""),"Intel HD Graphics 620")</f>
        <v>Intel HD Graphics 620</v>
      </c>
      <c r="K59" s="2" t="str">
        <f ca="1">IFERROR(__xludf.DUMMYFUNCTION("""COMPUTED_VALUE"""),"Windows 10")</f>
        <v>Windows 10</v>
      </c>
      <c r="L59" s="2" t="str">
        <f ca="1">IFERROR(__xludf.DUMMYFUNCTION("""COMPUTED_VALUE"""),"2kg")</f>
        <v>2kg</v>
      </c>
      <c r="M59" s="2">
        <f ca="1">IFERROR(__xludf.DUMMYFUNCTION("""COMPUTED_VALUE"""),586.19)</f>
        <v>586.19000000000005</v>
      </c>
    </row>
    <row r="60" spans="1:13">
      <c r="A60" s="2">
        <f ca="1">IFERROR(__xludf.DUMMYFUNCTION("""COMPUTED_VALUE"""),59)</f>
        <v>59</v>
      </c>
      <c r="B60" s="2" t="str">
        <f ca="1">IFERROR(__xludf.DUMMYFUNCTION("""COMPUTED_VALUE"""),"MSI")</f>
        <v>MSI</v>
      </c>
      <c r="C60" s="2" t="str">
        <f ca="1">IFERROR(__xludf.DUMMYFUNCTION("""COMPUTED_VALUE"""),"GS73VR 7RG")</f>
        <v>GS73VR 7RG</v>
      </c>
      <c r="D60" s="2" t="str">
        <f ca="1">IFERROR(__xludf.DUMMYFUNCTION("""COMPUTED_VALUE"""),"Gaming")</f>
        <v>Gaming</v>
      </c>
      <c r="E60" s="2">
        <f ca="1">IFERROR(__xludf.DUMMYFUNCTION("""COMPUTED_VALUE"""),17.3)</f>
        <v>17.3</v>
      </c>
      <c r="F60" s="2" t="str">
        <f ca="1">IFERROR(__xludf.DUMMYFUNCTION("""COMPUTED_VALUE"""),"Full HD 1920x1080")</f>
        <v>Full HD 1920x1080</v>
      </c>
      <c r="G60" s="2" t="str">
        <f ca="1">IFERROR(__xludf.DUMMYFUNCTION("""COMPUTED_VALUE"""),"Intel Core i7 7700HQ 2.8GHz")</f>
        <v>Intel Core i7 7700HQ 2.8GHz</v>
      </c>
      <c r="H60" s="2" t="str">
        <f ca="1">IFERROR(__xludf.DUMMYFUNCTION("""COMPUTED_VALUE"""),"16GB")</f>
        <v>16GB</v>
      </c>
      <c r="I60" s="2" t="str">
        <f ca="1">IFERROR(__xludf.DUMMYFUNCTION("""COMPUTED_VALUE"""),"256GB SSD +  2TB HDD")</f>
        <v>256GB SSD +  2TB HDD</v>
      </c>
      <c r="J60" s="2" t="str">
        <f ca="1">IFERROR(__xludf.DUMMYFUNCTION("""COMPUTED_VALUE"""),"Nvidia GeForce GTX 1070")</f>
        <v>Nvidia GeForce GTX 1070</v>
      </c>
      <c r="K60" s="2" t="str">
        <f ca="1">IFERROR(__xludf.DUMMYFUNCTION("""COMPUTED_VALUE"""),"Windows 10")</f>
        <v>Windows 10</v>
      </c>
      <c r="L60" s="2" t="str">
        <f ca="1">IFERROR(__xludf.DUMMYFUNCTION("""COMPUTED_VALUE"""),"2.43kg")</f>
        <v>2.43kg</v>
      </c>
      <c r="M60" s="2">
        <f ca="1">IFERROR(__xludf.DUMMYFUNCTION("""COMPUTED_VALUE"""),2449)</f>
        <v>2449</v>
      </c>
    </row>
    <row r="61" spans="1:13">
      <c r="A61" s="2">
        <f ca="1">IFERROR(__xludf.DUMMYFUNCTION("""COMPUTED_VALUE"""),60)</f>
        <v>60</v>
      </c>
      <c r="B61" s="2" t="str">
        <f ca="1">IFERROR(__xludf.DUMMYFUNCTION("""COMPUTED_VALUE"""),"Asus")</f>
        <v>Asus</v>
      </c>
      <c r="C61" s="2" t="str">
        <f ca="1">IFERROR(__xludf.DUMMYFUNCTION("""COMPUTED_VALUE"""),"X541UA-DM1897 (i3-6006U/4GB/256GB/FHD/Linux)")</f>
        <v>X541UA-DM1897 (i3-6006U/4GB/256GB/FHD/Linux)</v>
      </c>
      <c r="D61" s="2" t="str">
        <f ca="1">IFERROR(__xludf.DUMMYFUNCTION("""COMPUTED_VALUE"""),"Notebook")</f>
        <v>Notebook</v>
      </c>
      <c r="E61" s="2">
        <f ca="1">IFERROR(__xludf.DUMMYFUNCTION("""COMPUTED_VALUE"""),15.6)</f>
        <v>15.6</v>
      </c>
      <c r="F61" s="2" t="str">
        <f ca="1">IFERROR(__xludf.DUMMYFUNCTION("""COMPUTED_VALUE"""),"Full HD 1920x1080")</f>
        <v>Full HD 1920x1080</v>
      </c>
      <c r="G61" s="2" t="str">
        <f ca="1">IFERROR(__xludf.DUMMYFUNCTION("""COMPUTED_VALUE"""),"Intel Core i3 6006U 2GHz")</f>
        <v>Intel Core i3 6006U 2GHz</v>
      </c>
      <c r="H61" s="2" t="str">
        <f ca="1">IFERROR(__xludf.DUMMYFUNCTION("""COMPUTED_VALUE"""),"4GB")</f>
        <v>4GB</v>
      </c>
      <c r="I61" s="2" t="str">
        <f ca="1">IFERROR(__xludf.DUMMYFUNCTION("""COMPUTED_VALUE"""),"256GB SSD")</f>
        <v>256GB SSD</v>
      </c>
      <c r="J61" s="2" t="str">
        <f ca="1">IFERROR(__xludf.DUMMYFUNCTION("""COMPUTED_VALUE"""),"Intel HD Graphics 520")</f>
        <v>Intel HD Graphics 520</v>
      </c>
      <c r="K61" s="2" t="str">
        <f ca="1">IFERROR(__xludf.DUMMYFUNCTION("""COMPUTED_VALUE"""),"Linux")</f>
        <v>Linux</v>
      </c>
      <c r="L61" s="2" t="str">
        <f ca="1">IFERROR(__xludf.DUMMYFUNCTION("""COMPUTED_VALUE"""),"2kg")</f>
        <v>2kg</v>
      </c>
      <c r="M61" s="2">
        <f ca="1">IFERROR(__xludf.DUMMYFUNCTION("""COMPUTED_VALUE"""),415)</f>
        <v>415</v>
      </c>
    </row>
    <row r="62" spans="1:13">
      <c r="A62" s="2">
        <f ca="1">IFERROR(__xludf.DUMMYFUNCTION("""COMPUTED_VALUE"""),61)</f>
        <v>61</v>
      </c>
      <c r="B62" s="2" t="str">
        <f ca="1">IFERROR(__xludf.DUMMYFUNCTION("""COMPUTED_VALUE"""),"Dell")</f>
        <v>Dell</v>
      </c>
      <c r="C62" s="2" t="str">
        <f ca="1">IFERROR(__xludf.DUMMYFUNCTION("""COMPUTED_VALUE"""),"Inspiron 5770")</f>
        <v>Inspiron 5770</v>
      </c>
      <c r="D62" s="2" t="str">
        <f ca="1">IFERROR(__xludf.DUMMYFUNCTION("""COMPUTED_VALUE"""),"Notebook")</f>
        <v>Notebook</v>
      </c>
      <c r="E62" s="2">
        <f ca="1">IFERROR(__xludf.DUMMYFUNCTION("""COMPUTED_VALUE"""),17.3)</f>
        <v>17.3</v>
      </c>
      <c r="F62" s="2" t="str">
        <f ca="1">IFERROR(__xludf.DUMMYFUNCTION("""COMPUTED_VALUE"""),"Full HD 1920x1080")</f>
        <v>Full HD 1920x1080</v>
      </c>
      <c r="G62" s="2" t="str">
        <f ca="1">IFERROR(__xludf.DUMMYFUNCTION("""COMPUTED_VALUE"""),"Intel Core i7 8550U 1.8GHz")</f>
        <v>Intel Core i7 8550U 1.8GHz</v>
      </c>
      <c r="H62" s="2" t="str">
        <f ca="1">IFERROR(__xludf.DUMMYFUNCTION("""COMPUTED_VALUE"""),"16GB")</f>
        <v>16GB</v>
      </c>
      <c r="I62" s="2" t="str">
        <f ca="1">IFERROR(__xludf.DUMMYFUNCTION("""COMPUTED_VALUE"""),"256GB SSD +  2TB HDD")</f>
        <v>256GB SSD +  2TB HDD</v>
      </c>
      <c r="J62" s="2" t="str">
        <f ca="1">IFERROR(__xludf.DUMMYFUNCTION("""COMPUTED_VALUE"""),"AMD Radeon 530")</f>
        <v>AMD Radeon 530</v>
      </c>
      <c r="K62" s="2" t="str">
        <f ca="1">IFERROR(__xludf.DUMMYFUNCTION("""COMPUTED_VALUE"""),"Windows 10")</f>
        <v>Windows 10</v>
      </c>
      <c r="L62" s="2" t="str">
        <f ca="1">IFERROR(__xludf.DUMMYFUNCTION("""COMPUTED_VALUE"""),"2.8kg")</f>
        <v>2.8kg</v>
      </c>
      <c r="M62" s="2">
        <f ca="1">IFERROR(__xludf.DUMMYFUNCTION("""COMPUTED_VALUE"""),1299)</f>
        <v>1299</v>
      </c>
    </row>
    <row r="63" spans="1:13">
      <c r="A63" s="2">
        <f ca="1">IFERROR(__xludf.DUMMYFUNCTION("""COMPUTED_VALUE"""),62)</f>
        <v>62</v>
      </c>
      <c r="B63" s="2" t="str">
        <f ca="1">IFERROR(__xludf.DUMMYFUNCTION("""COMPUTED_VALUE"""),"Dell")</f>
        <v>Dell</v>
      </c>
      <c r="C63" s="2" t="str">
        <f ca="1">IFERROR(__xludf.DUMMYFUNCTION("""COMPUTED_VALUE"""),"Vostro 5471")</f>
        <v>Vostro 5471</v>
      </c>
      <c r="D63" s="2" t="str">
        <f ca="1">IFERROR(__xludf.DUMMYFUNCTION("""COMPUTED_VALUE"""),"Ultrabook")</f>
        <v>Ultrabook</v>
      </c>
      <c r="E63" s="2">
        <f ca="1">IFERROR(__xludf.DUMMYFUNCTION("""COMPUTED_VALUE"""),14)</f>
        <v>14</v>
      </c>
      <c r="F63" s="2" t="str">
        <f ca="1">IFERROR(__xludf.DUMMYFUNCTION("""COMPUTED_VALUE"""),"Full HD 1920x1080")</f>
        <v>Full HD 1920x1080</v>
      </c>
      <c r="G63" s="2" t="str">
        <f ca="1">IFERROR(__xludf.DUMMYFUNCTION("""COMPUTED_VALUE"""),"Intel Core i5 8250U 1.6GHz")</f>
        <v>Intel Core i5 8250U 1.6GHz</v>
      </c>
      <c r="H63" s="2" t="str">
        <f ca="1">IFERROR(__xludf.DUMMYFUNCTION("""COMPUTED_VALUE"""),"8GB")</f>
        <v>8GB</v>
      </c>
      <c r="I63" s="2" t="str">
        <f ca="1">IFERROR(__xludf.DUMMYFUNCTION("""COMPUTED_VALUE"""),"256GB SSD")</f>
        <v>256GB SSD</v>
      </c>
      <c r="J63" s="2" t="str">
        <f ca="1">IFERROR(__xludf.DUMMYFUNCTION("""COMPUTED_VALUE"""),"Intel UHD Graphics 620")</f>
        <v>Intel UHD Graphics 620</v>
      </c>
      <c r="K63" s="2" t="str">
        <f ca="1">IFERROR(__xludf.DUMMYFUNCTION("""COMPUTED_VALUE"""),"Windows 10")</f>
        <v>Windows 10</v>
      </c>
      <c r="L63" s="2" t="str">
        <f ca="1">IFERROR(__xludf.DUMMYFUNCTION("""COMPUTED_VALUE"""),"1.7kg")</f>
        <v>1.7kg</v>
      </c>
      <c r="M63" s="2">
        <f ca="1">IFERROR(__xludf.DUMMYFUNCTION("""COMPUTED_VALUE"""),879)</f>
        <v>879</v>
      </c>
    </row>
    <row r="64" spans="1:13">
      <c r="A64" s="2">
        <f ca="1">IFERROR(__xludf.DUMMYFUNCTION("""COMPUTED_VALUE"""),63)</f>
        <v>63</v>
      </c>
      <c r="B64" s="2" t="str">
        <f ca="1">IFERROR(__xludf.DUMMYFUNCTION("""COMPUTED_VALUE"""),"Lenovo")</f>
        <v>Lenovo</v>
      </c>
      <c r="C64" s="2" t="str">
        <f ca="1">IFERROR(__xludf.DUMMYFUNCTION("""COMPUTED_VALUE"""),"IdeaPad 520S-14IKB")</f>
        <v>IdeaPad 520S-14IKB</v>
      </c>
      <c r="D64" s="2" t="str">
        <f ca="1">IFERROR(__xludf.DUMMYFUNCTION("""COMPUTED_VALUE"""),"Notebook")</f>
        <v>Notebook</v>
      </c>
      <c r="E64" s="2">
        <f ca="1">IFERROR(__xludf.DUMMYFUNCTION("""COMPUTED_VALUE"""),14)</f>
        <v>14</v>
      </c>
      <c r="F64" s="2" t="str">
        <f ca="1">IFERROR(__xludf.DUMMYFUNCTION("""COMPUTED_VALUE"""),"IPS Panel Full HD 1920x1080")</f>
        <v>IPS Panel Full HD 1920x1080</v>
      </c>
      <c r="G64" s="2" t="str">
        <f ca="1">IFERROR(__xludf.DUMMYFUNCTION("""COMPUTED_VALUE"""),"Intel Core i3 7130U 2.7GHz")</f>
        <v>Intel Core i3 7130U 2.7GHz</v>
      </c>
      <c r="H64" s="2" t="str">
        <f ca="1">IFERROR(__xludf.DUMMYFUNCTION("""COMPUTED_VALUE"""),"8GB")</f>
        <v>8GB</v>
      </c>
      <c r="I64" s="2" t="str">
        <f ca="1">IFERROR(__xludf.DUMMYFUNCTION("""COMPUTED_VALUE"""),"256GB SSD")</f>
        <v>256GB SSD</v>
      </c>
      <c r="J64" s="2" t="str">
        <f ca="1">IFERROR(__xludf.DUMMYFUNCTION("""COMPUTED_VALUE"""),"Intel HD Graphics 620")</f>
        <v>Intel HD Graphics 620</v>
      </c>
      <c r="K64" s="2" t="str">
        <f ca="1">IFERROR(__xludf.DUMMYFUNCTION("""COMPUTED_VALUE"""),"No OS")</f>
        <v>No OS</v>
      </c>
      <c r="L64" s="2" t="str">
        <f ca="1">IFERROR(__xludf.DUMMYFUNCTION("""COMPUTED_VALUE"""),"1.7kg")</f>
        <v>1.7kg</v>
      </c>
      <c r="M64" s="2">
        <f ca="1">IFERROR(__xludf.DUMMYFUNCTION("""COMPUTED_VALUE"""),599)</f>
        <v>599</v>
      </c>
    </row>
    <row r="65" spans="1:13">
      <c r="A65" s="2">
        <f ca="1">IFERROR(__xludf.DUMMYFUNCTION("""COMPUTED_VALUE"""),64)</f>
        <v>64</v>
      </c>
      <c r="B65" s="2" t="str">
        <f ca="1">IFERROR(__xludf.DUMMYFUNCTION("""COMPUTED_VALUE"""),"Asus")</f>
        <v>Asus</v>
      </c>
      <c r="C65" s="2" t="str">
        <f ca="1">IFERROR(__xludf.DUMMYFUNCTION("""COMPUTED_VALUE"""),"UX410UA-GV350T (i5-8250U/8GB/256GB/FHD/W10)")</f>
        <v>UX410UA-GV350T (i5-8250U/8GB/256GB/FHD/W10)</v>
      </c>
      <c r="D65" s="2" t="str">
        <f ca="1">IFERROR(__xludf.DUMMYFUNCTION("""COMPUTED_VALUE"""),"Notebook")</f>
        <v>Notebook</v>
      </c>
      <c r="E65" s="2">
        <f ca="1">IFERROR(__xludf.DUMMYFUNCTION("""COMPUTED_VALUE"""),14)</f>
        <v>14</v>
      </c>
      <c r="F65" s="2" t="str">
        <f ca="1">IFERROR(__xludf.DUMMYFUNCTION("""COMPUTED_VALUE"""),"Full HD 1920x1080")</f>
        <v>Full HD 1920x1080</v>
      </c>
      <c r="G65" s="2" t="str">
        <f ca="1">IFERROR(__xludf.DUMMYFUNCTION("""COMPUTED_VALUE"""),"Intel Core i5 8250U 1.6GHz")</f>
        <v>Intel Core i5 8250U 1.6GHz</v>
      </c>
      <c r="H65" s="2" t="str">
        <f ca="1">IFERROR(__xludf.DUMMYFUNCTION("""COMPUTED_VALUE"""),"8GB")</f>
        <v>8GB</v>
      </c>
      <c r="I65" s="2" t="str">
        <f ca="1">IFERROR(__xludf.DUMMYFUNCTION("""COMPUTED_VALUE"""),"256GB SSD")</f>
        <v>256GB SSD</v>
      </c>
      <c r="J65" s="2" t="str">
        <f ca="1">IFERROR(__xludf.DUMMYFUNCTION("""COMPUTED_VALUE"""),"Intel UHD Graphics 620")</f>
        <v>Intel UHD Graphics 620</v>
      </c>
      <c r="K65" s="2" t="str">
        <f ca="1">IFERROR(__xludf.DUMMYFUNCTION("""COMPUTED_VALUE"""),"Windows 10")</f>
        <v>Windows 10</v>
      </c>
      <c r="L65" s="2" t="str">
        <f ca="1">IFERROR(__xludf.DUMMYFUNCTION("""COMPUTED_VALUE"""),"1.4kg")</f>
        <v>1.4kg</v>
      </c>
      <c r="M65" s="2">
        <f ca="1">IFERROR(__xludf.DUMMYFUNCTION("""COMPUTED_VALUE"""),941)</f>
        <v>941</v>
      </c>
    </row>
    <row r="66" spans="1:13">
      <c r="A66" s="2">
        <f ca="1">IFERROR(__xludf.DUMMYFUNCTION("""COMPUTED_VALUE"""),66)</f>
        <v>66</v>
      </c>
      <c r="B66" s="2" t="str">
        <f ca="1">IFERROR(__xludf.DUMMYFUNCTION("""COMPUTED_VALUE"""),"HP")</f>
        <v>HP</v>
      </c>
      <c r="C66" s="2" t="str">
        <f ca="1">IFERROR(__xludf.DUMMYFUNCTION("""COMPUTED_VALUE"""),"250 G6")</f>
        <v>250 G6</v>
      </c>
      <c r="D66" s="2" t="str">
        <f ca="1">IFERROR(__xludf.DUMMYFUNCTION("""COMPUTED_VALUE"""),"Notebook")</f>
        <v>Notebook</v>
      </c>
      <c r="E66" s="2">
        <f ca="1">IFERROR(__xludf.DUMMYFUNCTION("""COMPUTED_VALUE"""),15.6)</f>
        <v>15.6</v>
      </c>
      <c r="F66" s="2" t="str">
        <f ca="1">IFERROR(__xludf.DUMMYFUNCTION("""COMPUTED_VALUE"""),"Full HD 1920x1080")</f>
        <v>Full HD 1920x1080</v>
      </c>
      <c r="G66" s="2" t="str">
        <f ca="1">IFERROR(__xludf.DUMMYFUNCTION("""COMPUTED_VALUE"""),"Intel Core i5 7200U 2.5GHz")</f>
        <v>Intel Core i5 7200U 2.5GHz</v>
      </c>
      <c r="H66" s="2" t="str">
        <f ca="1">IFERROR(__xludf.DUMMYFUNCTION("""COMPUTED_VALUE"""),"8GB")</f>
        <v>8GB</v>
      </c>
      <c r="I66" s="2" t="str">
        <f ca="1">IFERROR(__xludf.DUMMYFUNCTION("""COMPUTED_VALUE"""),"256GB SSD")</f>
        <v>256GB SSD</v>
      </c>
      <c r="J66" s="2" t="str">
        <f ca="1">IFERROR(__xludf.DUMMYFUNCTION("""COMPUTED_VALUE"""),"Intel HD Graphics 620")</f>
        <v>Intel HD Graphics 620</v>
      </c>
      <c r="K66" s="2" t="str">
        <f ca="1">IFERROR(__xludf.DUMMYFUNCTION("""COMPUTED_VALUE"""),"Windows 10")</f>
        <v>Windows 10</v>
      </c>
      <c r="L66" s="2" t="str">
        <f ca="1">IFERROR(__xludf.DUMMYFUNCTION("""COMPUTED_VALUE"""),"1.86kg")</f>
        <v>1.86kg</v>
      </c>
      <c r="M66" s="2">
        <f ca="1">IFERROR(__xludf.DUMMYFUNCTION("""COMPUTED_VALUE"""),690)</f>
        <v>690</v>
      </c>
    </row>
    <row r="67" spans="1:13">
      <c r="A67" s="2">
        <f ca="1">IFERROR(__xludf.DUMMYFUNCTION("""COMPUTED_VALUE"""),67)</f>
        <v>67</v>
      </c>
      <c r="B67" s="2" t="str">
        <f ca="1">IFERROR(__xludf.DUMMYFUNCTION("""COMPUTED_VALUE"""),"Asus")</f>
        <v>Asus</v>
      </c>
      <c r="C67" s="2" t="str">
        <f ca="1">IFERROR(__xludf.DUMMYFUNCTION("""COMPUTED_VALUE"""),"ZenBook Pro")</f>
        <v>ZenBook Pro</v>
      </c>
      <c r="D67" s="2" t="str">
        <f ca="1">IFERROR(__xludf.DUMMYFUNCTION("""COMPUTED_VALUE"""),"Ultrabook")</f>
        <v>Ultrabook</v>
      </c>
      <c r="E67" s="2">
        <f ca="1">IFERROR(__xludf.DUMMYFUNCTION("""COMPUTED_VALUE"""),15.6)</f>
        <v>15.6</v>
      </c>
      <c r="F67" s="2" t="str">
        <f ca="1">IFERROR(__xludf.DUMMYFUNCTION("""COMPUTED_VALUE"""),"Full HD 1920x1080")</f>
        <v>Full HD 1920x1080</v>
      </c>
      <c r="G67" s="2" t="str">
        <f ca="1">IFERROR(__xludf.DUMMYFUNCTION("""COMPUTED_VALUE"""),"Intel Core i7 7700HQ 2.8GHz")</f>
        <v>Intel Core i7 7700HQ 2.8GHz</v>
      </c>
      <c r="H67" s="2" t="str">
        <f ca="1">IFERROR(__xludf.DUMMYFUNCTION("""COMPUTED_VALUE"""),"16GB")</f>
        <v>16GB</v>
      </c>
      <c r="I67" s="2" t="str">
        <f ca="1">IFERROR(__xludf.DUMMYFUNCTION("""COMPUTED_VALUE"""),"512GB SSD")</f>
        <v>512GB SSD</v>
      </c>
      <c r="J67" s="2" t="str">
        <f ca="1">IFERROR(__xludf.DUMMYFUNCTION("""COMPUTED_VALUE"""),"Nvidia GeForce GTX 1050 Ti")</f>
        <v>Nvidia GeForce GTX 1050 Ti</v>
      </c>
      <c r="K67" s="2" t="str">
        <f ca="1">IFERROR(__xludf.DUMMYFUNCTION("""COMPUTED_VALUE"""),"Windows 10")</f>
        <v>Windows 10</v>
      </c>
      <c r="L67" s="2" t="str">
        <f ca="1">IFERROR(__xludf.DUMMYFUNCTION("""COMPUTED_VALUE"""),"1.8kg")</f>
        <v>1.8kg</v>
      </c>
      <c r="M67" s="2">
        <f ca="1">IFERROR(__xludf.DUMMYFUNCTION("""COMPUTED_VALUE"""),1983)</f>
        <v>1983</v>
      </c>
    </row>
    <row r="68" spans="1:13">
      <c r="A68" s="2">
        <f ca="1">IFERROR(__xludf.DUMMYFUNCTION("""COMPUTED_VALUE"""),68)</f>
        <v>68</v>
      </c>
      <c r="B68" s="2" t="str">
        <f ca="1">IFERROR(__xludf.DUMMYFUNCTION("""COMPUTED_VALUE"""),"HP")</f>
        <v>HP</v>
      </c>
      <c r="C68" s="2" t="str">
        <f ca="1">IFERROR(__xludf.DUMMYFUNCTION("""COMPUTED_VALUE"""),"250 G6")</f>
        <v>250 G6</v>
      </c>
      <c r="D68" s="2" t="str">
        <f ca="1">IFERROR(__xludf.DUMMYFUNCTION("""COMPUTED_VALUE"""),"Notebook")</f>
        <v>Notebook</v>
      </c>
      <c r="E68" s="2">
        <f ca="1">IFERROR(__xludf.DUMMYFUNCTION("""COMPUTED_VALUE"""),15.6)</f>
        <v>15.6</v>
      </c>
      <c r="F68" s="2" t="str">
        <f ca="1">IFERROR(__xludf.DUMMYFUNCTION("""COMPUTED_VALUE"""),"1366x768")</f>
        <v>1366x768</v>
      </c>
      <c r="G68" s="2" t="str">
        <f ca="1">IFERROR(__xludf.DUMMYFUNCTION("""COMPUTED_VALUE"""),"Intel Core i3 6006U 2GHz")</f>
        <v>Intel Core i3 6006U 2GHz</v>
      </c>
      <c r="H68" s="2" t="str">
        <f ca="1">IFERROR(__xludf.DUMMYFUNCTION("""COMPUTED_VALUE"""),"4GB")</f>
        <v>4GB</v>
      </c>
      <c r="I68" s="2" t="str">
        <f ca="1">IFERROR(__xludf.DUMMYFUNCTION("""COMPUTED_VALUE"""),"500GB HDD")</f>
        <v>500GB HDD</v>
      </c>
      <c r="J68" s="2" t="str">
        <f ca="1">IFERROR(__xludf.DUMMYFUNCTION("""COMPUTED_VALUE"""),"AMD Radeon 520")</f>
        <v>AMD Radeon 520</v>
      </c>
      <c r="K68" s="2" t="str">
        <f ca="1">IFERROR(__xludf.DUMMYFUNCTION("""COMPUTED_VALUE"""),"Windows 10")</f>
        <v>Windows 10</v>
      </c>
      <c r="L68" s="2" t="str">
        <f ca="1">IFERROR(__xludf.DUMMYFUNCTION("""COMPUTED_VALUE"""),"1.86kg")</f>
        <v>1.86kg</v>
      </c>
      <c r="M68" s="2">
        <f ca="1">IFERROR(__xludf.DUMMYFUNCTION("""COMPUTED_VALUE"""),438.69)</f>
        <v>438.69</v>
      </c>
    </row>
    <row r="69" spans="1:13">
      <c r="A69" s="2">
        <f ca="1">IFERROR(__xludf.DUMMYFUNCTION("""COMPUTED_VALUE"""),69)</f>
        <v>69</v>
      </c>
      <c r="B69" s="2" t="str">
        <f ca="1">IFERROR(__xludf.DUMMYFUNCTION("""COMPUTED_VALUE"""),"HP")</f>
        <v>HP</v>
      </c>
      <c r="C69" s="2" t="str">
        <f ca="1">IFERROR(__xludf.DUMMYFUNCTION("""COMPUTED_VALUE"""),"Stream 14-AX040wm")</f>
        <v>Stream 14-AX040wm</v>
      </c>
      <c r="D69" s="2" t="str">
        <f ca="1">IFERROR(__xludf.DUMMYFUNCTION("""COMPUTED_VALUE"""),"Notebook")</f>
        <v>Notebook</v>
      </c>
      <c r="E69" s="2">
        <f ca="1">IFERROR(__xludf.DUMMYFUNCTION("""COMPUTED_VALUE"""),14)</f>
        <v>14</v>
      </c>
      <c r="F69" s="2" t="str">
        <f ca="1">IFERROR(__xludf.DUMMYFUNCTION("""COMPUTED_VALUE"""),"1366x768")</f>
        <v>1366x768</v>
      </c>
      <c r="G69" s="2" t="str">
        <f ca="1">IFERROR(__xludf.DUMMYFUNCTION("""COMPUTED_VALUE"""),"Intel Celeron Dual Core N3060 1.6GHz")</f>
        <v>Intel Celeron Dual Core N3060 1.6GHz</v>
      </c>
      <c r="H69" s="2" t="str">
        <f ca="1">IFERROR(__xludf.DUMMYFUNCTION("""COMPUTED_VALUE"""),"4GB")</f>
        <v>4GB</v>
      </c>
      <c r="I69" s="2" t="str">
        <f ca="1">IFERROR(__xludf.DUMMYFUNCTION("""COMPUTED_VALUE"""),"32GB SSD")</f>
        <v>32GB SSD</v>
      </c>
      <c r="J69" s="2" t="str">
        <f ca="1">IFERROR(__xludf.DUMMYFUNCTION("""COMPUTED_VALUE"""),"Intel HD Graphics 400")</f>
        <v>Intel HD Graphics 400</v>
      </c>
      <c r="K69" s="2" t="str">
        <f ca="1">IFERROR(__xludf.DUMMYFUNCTION("""COMPUTED_VALUE"""),"Windows 10")</f>
        <v>Windows 10</v>
      </c>
      <c r="L69" s="2" t="str">
        <f ca="1">IFERROR(__xludf.DUMMYFUNCTION("""COMPUTED_VALUE"""),"1.44kg")</f>
        <v>1.44kg</v>
      </c>
      <c r="M69" s="2">
        <f ca="1">IFERROR(__xludf.DUMMYFUNCTION("""COMPUTED_VALUE"""),229)</f>
        <v>229</v>
      </c>
    </row>
    <row r="70" spans="1:13">
      <c r="A70" s="2">
        <f ca="1">IFERROR(__xludf.DUMMYFUNCTION("""COMPUTED_VALUE"""),70)</f>
        <v>70</v>
      </c>
      <c r="B70" s="2" t="str">
        <f ca="1">IFERROR(__xludf.DUMMYFUNCTION("""COMPUTED_VALUE"""),"Lenovo")</f>
        <v>Lenovo</v>
      </c>
      <c r="C70" s="2" t="str">
        <f ca="1">IFERROR(__xludf.DUMMYFUNCTION("""COMPUTED_VALUE"""),"V310-15ISK (i5-7200U/4GB/1TB/FHD/W10)")</f>
        <v>V310-15ISK (i5-7200U/4GB/1TB/FHD/W10)</v>
      </c>
      <c r="D70" s="2" t="str">
        <f ca="1">IFERROR(__xludf.DUMMYFUNCTION("""COMPUTED_VALUE"""),"Notebook")</f>
        <v>Notebook</v>
      </c>
      <c r="E70" s="2">
        <f ca="1">IFERROR(__xludf.DUMMYFUNCTION("""COMPUTED_VALUE"""),15.6)</f>
        <v>15.6</v>
      </c>
      <c r="F70" s="2" t="str">
        <f ca="1">IFERROR(__xludf.DUMMYFUNCTION("""COMPUTED_VALUE"""),"Full HD 1920x1080")</f>
        <v>Full HD 1920x1080</v>
      </c>
      <c r="G70" s="2" t="str">
        <f ca="1">IFERROR(__xludf.DUMMYFUNCTION("""COMPUTED_VALUE"""),"Intel Core i5 7200U 2.5GHz")</f>
        <v>Intel Core i5 7200U 2.5GHz</v>
      </c>
      <c r="H70" s="2" t="str">
        <f ca="1">IFERROR(__xludf.DUMMYFUNCTION("""COMPUTED_VALUE"""),"4GB")</f>
        <v>4GB</v>
      </c>
      <c r="I70" s="2" t="str">
        <f ca="1">IFERROR(__xludf.DUMMYFUNCTION("""COMPUTED_VALUE"""),"1TB HDD")</f>
        <v>1TB HDD</v>
      </c>
      <c r="J70" s="2" t="str">
        <f ca="1">IFERROR(__xludf.DUMMYFUNCTION("""COMPUTED_VALUE"""),"Intel HD Graphics 620")</f>
        <v>Intel HD Graphics 620</v>
      </c>
      <c r="K70" s="2" t="str">
        <f ca="1">IFERROR(__xludf.DUMMYFUNCTION("""COMPUTED_VALUE"""),"Windows 10")</f>
        <v>Windows 10</v>
      </c>
      <c r="L70" s="2" t="str">
        <f ca="1">IFERROR(__xludf.DUMMYFUNCTION("""COMPUTED_VALUE"""),"1.9kg")</f>
        <v>1.9kg</v>
      </c>
      <c r="M70" s="2">
        <f ca="1">IFERROR(__xludf.DUMMYFUNCTION("""COMPUTED_VALUE"""),549)</f>
        <v>549</v>
      </c>
    </row>
    <row r="71" spans="1:13">
      <c r="A71" s="2">
        <f ca="1">IFERROR(__xludf.DUMMYFUNCTION("""COMPUTED_VALUE"""),71)</f>
        <v>71</v>
      </c>
      <c r="B71" s="2" t="str">
        <f ca="1">IFERROR(__xludf.DUMMYFUNCTION("""COMPUTED_VALUE"""),"Asus")</f>
        <v>Asus</v>
      </c>
      <c r="C71" s="2" t="str">
        <f ca="1">IFERROR(__xludf.DUMMYFUNCTION("""COMPUTED_VALUE"""),"FX753VE-GC093 (i7-7700HQ/12GB/1TB/GeForce")</f>
        <v>FX753VE-GC093 (i7-7700HQ/12GB/1TB/GeForce</v>
      </c>
      <c r="D71" s="2" t="str">
        <f ca="1">IFERROR(__xludf.DUMMYFUNCTION("""COMPUTED_VALUE"""),"Gaming")</f>
        <v>Gaming</v>
      </c>
      <c r="E71" s="2">
        <f ca="1">IFERROR(__xludf.DUMMYFUNCTION("""COMPUTED_VALUE"""),17.3)</f>
        <v>17.3</v>
      </c>
      <c r="F71" s="2" t="str">
        <f ca="1">IFERROR(__xludf.DUMMYFUNCTION("""COMPUTED_VALUE"""),"Full HD 1920x1080")</f>
        <v>Full HD 1920x1080</v>
      </c>
      <c r="G71" s="2" t="str">
        <f ca="1">IFERROR(__xludf.DUMMYFUNCTION("""COMPUTED_VALUE"""),"Intel Core i7 7700HQ 2.8GHz")</f>
        <v>Intel Core i7 7700HQ 2.8GHz</v>
      </c>
      <c r="H71" s="2" t="str">
        <f ca="1">IFERROR(__xludf.DUMMYFUNCTION("""COMPUTED_VALUE"""),"12GB")</f>
        <v>12GB</v>
      </c>
      <c r="I71" s="2" t="str">
        <f ca="1">IFERROR(__xludf.DUMMYFUNCTION("""COMPUTED_VALUE"""),"1TB HDD")</f>
        <v>1TB HDD</v>
      </c>
      <c r="J71" s="2" t="str">
        <f ca="1">IFERROR(__xludf.DUMMYFUNCTION("""COMPUTED_VALUE"""),"Nvidia GeForce GTX 1050 Ti")</f>
        <v>Nvidia GeForce GTX 1050 Ti</v>
      </c>
      <c r="K71" s="2" t="str">
        <f ca="1">IFERROR(__xludf.DUMMYFUNCTION("""COMPUTED_VALUE"""),"Linux")</f>
        <v>Linux</v>
      </c>
      <c r="L71" s="2" t="str">
        <f ca="1">IFERROR(__xludf.DUMMYFUNCTION("""COMPUTED_VALUE"""),"3kg")</f>
        <v>3kg</v>
      </c>
      <c r="M71" s="2">
        <f ca="1">IFERROR(__xludf.DUMMYFUNCTION("""COMPUTED_VALUE"""),949)</f>
        <v>949</v>
      </c>
    </row>
    <row r="72" spans="1:13">
      <c r="A72" s="2">
        <f ca="1">IFERROR(__xludf.DUMMYFUNCTION("""COMPUTED_VALUE"""),72)</f>
        <v>72</v>
      </c>
      <c r="B72" s="2" t="str">
        <f ca="1">IFERROR(__xludf.DUMMYFUNCTION("""COMPUTED_VALUE"""),"Microsoft")</f>
        <v>Microsoft</v>
      </c>
      <c r="C72" s="2" t="str">
        <f ca="1">IFERROR(__xludf.DUMMYFUNCTION("""COMPUTED_VALUE"""),"Surface Laptop")</f>
        <v>Surface Laptop</v>
      </c>
      <c r="D72" s="2" t="str">
        <f ca="1">IFERROR(__xludf.DUMMYFUNCTION("""COMPUTED_VALUE"""),"Ultrabook")</f>
        <v>Ultrabook</v>
      </c>
      <c r="E72" s="2">
        <f ca="1">IFERROR(__xludf.DUMMYFUNCTION("""COMPUTED_VALUE"""),13.5)</f>
        <v>13.5</v>
      </c>
      <c r="F72" s="2" t="str">
        <f ca="1">IFERROR(__xludf.DUMMYFUNCTION("""COMPUTED_VALUE"""),"Touchscreen 2256x1504")</f>
        <v>Touchscreen 2256x1504</v>
      </c>
      <c r="G72" s="2" t="str">
        <f ca="1">IFERROR(__xludf.DUMMYFUNCTION("""COMPUTED_VALUE"""),"Intel Core i5 7200U 2.5GHz")</f>
        <v>Intel Core i5 7200U 2.5GHz</v>
      </c>
      <c r="H72" s="2" t="str">
        <f ca="1">IFERROR(__xludf.DUMMYFUNCTION("""COMPUTED_VALUE"""),"4GB")</f>
        <v>4GB</v>
      </c>
      <c r="I72" s="2" t="str">
        <f ca="1">IFERROR(__xludf.DUMMYFUNCTION("""COMPUTED_VALUE"""),"128GB SSD")</f>
        <v>128GB SSD</v>
      </c>
      <c r="J72" s="2" t="str">
        <f ca="1">IFERROR(__xludf.DUMMYFUNCTION("""COMPUTED_VALUE"""),"Intel HD Graphics 620")</f>
        <v>Intel HD Graphics 620</v>
      </c>
      <c r="K72" s="2" t="str">
        <f ca="1">IFERROR(__xludf.DUMMYFUNCTION("""COMPUTED_VALUE"""),"Windows 10 S")</f>
        <v>Windows 10 S</v>
      </c>
      <c r="L72" s="2" t="str">
        <f ca="1">IFERROR(__xludf.DUMMYFUNCTION("""COMPUTED_VALUE"""),"1.252kg")</f>
        <v>1.252kg</v>
      </c>
      <c r="M72" s="2">
        <f ca="1">IFERROR(__xludf.DUMMYFUNCTION("""COMPUTED_VALUE"""),1089)</f>
        <v>1089</v>
      </c>
    </row>
    <row r="73" spans="1:13">
      <c r="A73" s="2">
        <f ca="1">IFERROR(__xludf.DUMMYFUNCTION("""COMPUTED_VALUE"""),73)</f>
        <v>73</v>
      </c>
      <c r="B73" s="2" t="str">
        <f ca="1">IFERROR(__xludf.DUMMYFUNCTION("""COMPUTED_VALUE"""),"Dell")</f>
        <v>Dell</v>
      </c>
      <c r="C73" s="2" t="str">
        <f ca="1">IFERROR(__xludf.DUMMYFUNCTION("""COMPUTED_VALUE"""),"Inspiron 5370")</f>
        <v>Inspiron 5370</v>
      </c>
      <c r="D73" s="2" t="str">
        <f ca="1">IFERROR(__xludf.DUMMYFUNCTION("""COMPUTED_VALUE"""),"Ultrabook")</f>
        <v>Ultrabook</v>
      </c>
      <c r="E73" s="2">
        <f ca="1">IFERROR(__xludf.DUMMYFUNCTION("""COMPUTED_VALUE"""),13.3)</f>
        <v>13.3</v>
      </c>
      <c r="F73" s="2" t="str">
        <f ca="1">IFERROR(__xludf.DUMMYFUNCTION("""COMPUTED_VALUE"""),"IPS Panel Full HD 1920x1080")</f>
        <v>IPS Panel Full HD 1920x1080</v>
      </c>
      <c r="G73" s="2" t="str">
        <f ca="1">IFERROR(__xludf.DUMMYFUNCTION("""COMPUTED_VALUE"""),"Intel Core i7 8550U 1.8GHz")</f>
        <v>Intel Core i7 8550U 1.8GHz</v>
      </c>
      <c r="H73" s="2" t="str">
        <f ca="1">IFERROR(__xludf.DUMMYFUNCTION("""COMPUTED_VALUE"""),"8GB")</f>
        <v>8GB</v>
      </c>
      <c r="I73" s="2" t="str">
        <f ca="1">IFERROR(__xludf.DUMMYFUNCTION("""COMPUTED_VALUE"""),"256GB SSD")</f>
        <v>256GB SSD</v>
      </c>
      <c r="J73" s="2" t="str">
        <f ca="1">IFERROR(__xludf.DUMMYFUNCTION("""COMPUTED_VALUE"""),"AMD Radeon 530")</f>
        <v>AMD Radeon 530</v>
      </c>
      <c r="K73" s="2" t="str">
        <f ca="1">IFERROR(__xludf.DUMMYFUNCTION("""COMPUTED_VALUE"""),"Windows 10")</f>
        <v>Windows 10</v>
      </c>
      <c r="L73" s="2" t="str">
        <f ca="1">IFERROR(__xludf.DUMMYFUNCTION("""COMPUTED_VALUE"""),"1.4kg")</f>
        <v>1.4kg</v>
      </c>
      <c r="M73" s="2">
        <f ca="1">IFERROR(__xludf.DUMMYFUNCTION("""COMPUTED_VALUE"""),955)</f>
        <v>955</v>
      </c>
    </row>
    <row r="74" spans="1:13">
      <c r="A74" s="2">
        <f ca="1">IFERROR(__xludf.DUMMYFUNCTION("""COMPUTED_VALUE"""),74)</f>
        <v>74</v>
      </c>
      <c r="B74" s="2" t="str">
        <f ca="1">IFERROR(__xludf.DUMMYFUNCTION("""COMPUTED_VALUE"""),"Dell")</f>
        <v>Dell</v>
      </c>
      <c r="C74" s="2" t="str">
        <f ca="1">IFERROR(__xludf.DUMMYFUNCTION("""COMPUTED_VALUE"""),"Inspiron 5570")</f>
        <v>Inspiron 5570</v>
      </c>
      <c r="D74" s="2" t="str">
        <f ca="1">IFERROR(__xludf.DUMMYFUNCTION("""COMPUTED_VALUE"""),"Notebook")</f>
        <v>Notebook</v>
      </c>
      <c r="E74" s="2">
        <f ca="1">IFERROR(__xludf.DUMMYFUNCTION("""COMPUTED_VALUE"""),15.6)</f>
        <v>15.6</v>
      </c>
      <c r="F74" s="2" t="str">
        <f ca="1">IFERROR(__xludf.DUMMYFUNCTION("""COMPUTED_VALUE"""),"Full HD 1920x1080")</f>
        <v>Full HD 1920x1080</v>
      </c>
      <c r="G74" s="2" t="str">
        <f ca="1">IFERROR(__xludf.DUMMYFUNCTION("""COMPUTED_VALUE"""),"Intel Core i7 8550U 1.8GHz")</f>
        <v>Intel Core i7 8550U 1.8GHz</v>
      </c>
      <c r="H74" s="2" t="str">
        <f ca="1">IFERROR(__xludf.DUMMYFUNCTION("""COMPUTED_VALUE"""),"8GB")</f>
        <v>8GB</v>
      </c>
      <c r="I74" s="2" t="str">
        <f ca="1">IFERROR(__xludf.DUMMYFUNCTION("""COMPUTED_VALUE"""),"256GB SSD")</f>
        <v>256GB SSD</v>
      </c>
      <c r="J74" s="2" t="str">
        <f ca="1">IFERROR(__xludf.DUMMYFUNCTION("""COMPUTED_VALUE"""),"AMD Radeon 530")</f>
        <v>AMD Radeon 530</v>
      </c>
      <c r="K74" s="2" t="str">
        <f ca="1">IFERROR(__xludf.DUMMYFUNCTION("""COMPUTED_VALUE"""),"Windows 10")</f>
        <v>Windows 10</v>
      </c>
      <c r="L74" s="2" t="str">
        <f ca="1">IFERROR(__xludf.DUMMYFUNCTION("""COMPUTED_VALUE"""),"2.2kg")</f>
        <v>2.2kg</v>
      </c>
      <c r="M74" s="2">
        <f ca="1">IFERROR(__xludf.DUMMYFUNCTION("""COMPUTED_VALUE"""),870)</f>
        <v>870</v>
      </c>
    </row>
    <row r="75" spans="1:13">
      <c r="A75" s="2">
        <f ca="1">IFERROR(__xludf.DUMMYFUNCTION("""COMPUTED_VALUE"""),75)</f>
        <v>75</v>
      </c>
      <c r="B75" s="2" t="str">
        <f ca="1">IFERROR(__xludf.DUMMYFUNCTION("""COMPUTED_VALUE"""),"MSI")</f>
        <v>MSI</v>
      </c>
      <c r="C75" s="2" t="str">
        <f ca="1">IFERROR(__xludf.DUMMYFUNCTION("""COMPUTED_VALUE"""),"GL72M 7RDX")</f>
        <v>GL72M 7RDX</v>
      </c>
      <c r="D75" s="2" t="str">
        <f ca="1">IFERROR(__xludf.DUMMYFUNCTION("""COMPUTED_VALUE"""),"Gaming")</f>
        <v>Gaming</v>
      </c>
      <c r="E75" s="2">
        <f ca="1">IFERROR(__xludf.DUMMYFUNCTION("""COMPUTED_VALUE"""),17.3)</f>
        <v>17.3</v>
      </c>
      <c r="F75" s="2" t="str">
        <f ca="1">IFERROR(__xludf.DUMMYFUNCTION("""COMPUTED_VALUE"""),"Full HD 1920x1080")</f>
        <v>Full HD 1920x1080</v>
      </c>
      <c r="G75" s="2" t="str">
        <f ca="1">IFERROR(__xludf.DUMMYFUNCTION("""COMPUTED_VALUE"""),"Intel Core i5 7300HQ 2.5GHz")</f>
        <v>Intel Core i5 7300HQ 2.5GHz</v>
      </c>
      <c r="H75" s="2" t="str">
        <f ca="1">IFERROR(__xludf.DUMMYFUNCTION("""COMPUTED_VALUE"""),"8GB")</f>
        <v>8GB</v>
      </c>
      <c r="I75" s="2" t="str">
        <f ca="1">IFERROR(__xludf.DUMMYFUNCTION("""COMPUTED_VALUE"""),"128GB SSD +  1TB HDD")</f>
        <v>128GB SSD +  1TB HDD</v>
      </c>
      <c r="J75" s="2" t="str">
        <f ca="1">IFERROR(__xludf.DUMMYFUNCTION("""COMPUTED_VALUE"""),"Nvidia GeForce GTX 1050")</f>
        <v>Nvidia GeForce GTX 1050</v>
      </c>
      <c r="K75" s="2" t="str">
        <f ca="1">IFERROR(__xludf.DUMMYFUNCTION("""COMPUTED_VALUE"""),"Windows 10")</f>
        <v>Windows 10</v>
      </c>
      <c r="L75" s="2" t="str">
        <f ca="1">IFERROR(__xludf.DUMMYFUNCTION("""COMPUTED_VALUE"""),"2.7kg")</f>
        <v>2.7kg</v>
      </c>
      <c r="M75" s="2">
        <f ca="1">IFERROR(__xludf.DUMMYFUNCTION("""COMPUTED_VALUE"""),1095)</f>
        <v>1095</v>
      </c>
    </row>
    <row r="76" spans="1:13">
      <c r="A76" s="2">
        <f ca="1">IFERROR(__xludf.DUMMYFUNCTION("""COMPUTED_VALUE"""),76)</f>
        <v>76</v>
      </c>
      <c r="B76" s="2" t="str">
        <f ca="1">IFERROR(__xludf.DUMMYFUNCTION("""COMPUTED_VALUE"""),"Acer")</f>
        <v>Acer</v>
      </c>
      <c r="C76" s="2" t="str">
        <f ca="1">IFERROR(__xludf.DUMMYFUNCTION("""COMPUTED_VALUE"""),"Aspire E5-475")</f>
        <v>Aspire E5-475</v>
      </c>
      <c r="D76" s="2" t="str">
        <f ca="1">IFERROR(__xludf.DUMMYFUNCTION("""COMPUTED_VALUE"""),"Notebook")</f>
        <v>Notebook</v>
      </c>
      <c r="E76" s="2">
        <f ca="1">IFERROR(__xludf.DUMMYFUNCTION("""COMPUTED_VALUE"""),14)</f>
        <v>14</v>
      </c>
      <c r="F76" s="2" t="str">
        <f ca="1">IFERROR(__xludf.DUMMYFUNCTION("""COMPUTED_VALUE"""),"1366x768")</f>
        <v>1366x768</v>
      </c>
      <c r="G76" s="2" t="str">
        <f ca="1">IFERROR(__xludf.DUMMYFUNCTION("""COMPUTED_VALUE"""),"Intel Core i3 6006U 2GHz")</f>
        <v>Intel Core i3 6006U 2GHz</v>
      </c>
      <c r="H76" s="2" t="str">
        <f ca="1">IFERROR(__xludf.DUMMYFUNCTION("""COMPUTED_VALUE"""),"8GB")</f>
        <v>8GB</v>
      </c>
      <c r="I76" s="2" t="str">
        <f ca="1">IFERROR(__xludf.DUMMYFUNCTION("""COMPUTED_VALUE"""),"1TB HDD")</f>
        <v>1TB HDD</v>
      </c>
      <c r="J76" s="2" t="str">
        <f ca="1">IFERROR(__xludf.DUMMYFUNCTION("""COMPUTED_VALUE"""),"Intel HD Graphics 520")</f>
        <v>Intel HD Graphics 520</v>
      </c>
      <c r="K76" s="2" t="str">
        <f ca="1">IFERROR(__xludf.DUMMYFUNCTION("""COMPUTED_VALUE"""),"Windows 10")</f>
        <v>Windows 10</v>
      </c>
      <c r="L76" s="2" t="str">
        <f ca="1">IFERROR(__xludf.DUMMYFUNCTION("""COMPUTED_VALUE"""),"2.1kg")</f>
        <v>2.1kg</v>
      </c>
      <c r="M76" s="2">
        <f ca="1">IFERROR(__xludf.DUMMYFUNCTION("""COMPUTED_VALUE"""),389)</f>
        <v>389</v>
      </c>
    </row>
    <row r="77" spans="1:13">
      <c r="A77" s="2">
        <f ca="1">IFERROR(__xludf.DUMMYFUNCTION("""COMPUTED_VALUE"""),77)</f>
        <v>77</v>
      </c>
      <c r="B77" s="2" t="str">
        <f ca="1">IFERROR(__xludf.DUMMYFUNCTION("""COMPUTED_VALUE"""),"Asus")</f>
        <v>Asus</v>
      </c>
      <c r="C77" s="2" t="str">
        <f ca="1">IFERROR(__xludf.DUMMYFUNCTION("""COMPUTED_VALUE"""),"FX503VD-E4022T (i7-7700HQ/8GB/1TB/GeForce")</f>
        <v>FX503VD-E4022T (i7-7700HQ/8GB/1TB/GeForce</v>
      </c>
      <c r="D77" s="2" t="str">
        <f ca="1">IFERROR(__xludf.DUMMYFUNCTION("""COMPUTED_VALUE"""),"Gaming")</f>
        <v>Gaming</v>
      </c>
      <c r="E77" s="2">
        <f ca="1">IFERROR(__xludf.DUMMYFUNCTION("""COMPUTED_VALUE"""),15.6)</f>
        <v>15.6</v>
      </c>
      <c r="F77" s="2" t="str">
        <f ca="1">IFERROR(__xludf.DUMMYFUNCTION("""COMPUTED_VALUE"""),"Full HD 1920x1080")</f>
        <v>Full HD 1920x1080</v>
      </c>
      <c r="G77" s="2" t="str">
        <f ca="1">IFERROR(__xludf.DUMMYFUNCTION("""COMPUTED_VALUE"""),"Intel Core i7 7700HQ 2.8GHz")</f>
        <v>Intel Core i7 7700HQ 2.8GHz</v>
      </c>
      <c r="H77" s="2" t="str">
        <f ca="1">IFERROR(__xludf.DUMMYFUNCTION("""COMPUTED_VALUE"""),"8GB")</f>
        <v>8GB</v>
      </c>
      <c r="I77" s="2" t="str">
        <f ca="1">IFERROR(__xludf.DUMMYFUNCTION("""COMPUTED_VALUE"""),"1TB HDD")</f>
        <v>1TB HDD</v>
      </c>
      <c r="J77" s="2" t="str">
        <f ca="1">IFERROR(__xludf.DUMMYFUNCTION("""COMPUTED_VALUE"""),"Nvidia GeForce GTX 1050")</f>
        <v>Nvidia GeForce GTX 1050</v>
      </c>
      <c r="K77" s="2" t="str">
        <f ca="1">IFERROR(__xludf.DUMMYFUNCTION("""COMPUTED_VALUE"""),"Windows 10")</f>
        <v>Windows 10</v>
      </c>
      <c r="L77" s="2" t="str">
        <f ca="1">IFERROR(__xludf.DUMMYFUNCTION("""COMPUTED_VALUE"""),"2.2kg")</f>
        <v>2.2kg</v>
      </c>
      <c r="M77" s="2">
        <f ca="1">IFERROR(__xludf.DUMMYFUNCTION("""COMPUTED_VALUE"""),949)</f>
        <v>949</v>
      </c>
    </row>
    <row r="78" spans="1:13">
      <c r="A78" s="2">
        <f ca="1">IFERROR(__xludf.DUMMYFUNCTION("""COMPUTED_VALUE"""),78)</f>
        <v>78</v>
      </c>
      <c r="B78" s="2" t="str">
        <f ca="1">IFERROR(__xludf.DUMMYFUNCTION("""COMPUTED_VALUE"""),"Lenovo")</f>
        <v>Lenovo</v>
      </c>
      <c r="C78" s="2" t="str">
        <f ca="1">IFERROR(__xludf.DUMMYFUNCTION("""COMPUTED_VALUE"""),"IdeaPad 320-15IKBN")</f>
        <v>IdeaPad 320-15IKBN</v>
      </c>
      <c r="D78" s="2" t="str">
        <f ca="1">IFERROR(__xludf.DUMMYFUNCTION("""COMPUTED_VALUE"""),"Notebook")</f>
        <v>Notebook</v>
      </c>
      <c r="E78" s="2">
        <f ca="1">IFERROR(__xludf.DUMMYFUNCTION("""COMPUTED_VALUE"""),15.6)</f>
        <v>15.6</v>
      </c>
      <c r="F78" s="2" t="str">
        <f ca="1">IFERROR(__xludf.DUMMYFUNCTION("""COMPUTED_VALUE"""),"Full HD 1920x1080")</f>
        <v>Full HD 1920x1080</v>
      </c>
      <c r="G78" s="2" t="str">
        <f ca="1">IFERROR(__xludf.DUMMYFUNCTION("""COMPUTED_VALUE"""),"Intel Core i5 7200U 2.5GHz")</f>
        <v>Intel Core i5 7200U 2.5GHz</v>
      </c>
      <c r="H78" s="2" t="str">
        <f ca="1">IFERROR(__xludf.DUMMYFUNCTION("""COMPUTED_VALUE"""),"8GB")</f>
        <v>8GB</v>
      </c>
      <c r="I78" s="2" t="str">
        <f ca="1">IFERROR(__xludf.DUMMYFUNCTION("""COMPUTED_VALUE"""),"2TB HDD")</f>
        <v>2TB HDD</v>
      </c>
      <c r="J78" s="2" t="str">
        <f ca="1">IFERROR(__xludf.DUMMYFUNCTION("""COMPUTED_VALUE"""),"Intel HD Graphics 620")</f>
        <v>Intel HD Graphics 620</v>
      </c>
      <c r="K78" s="2" t="str">
        <f ca="1">IFERROR(__xludf.DUMMYFUNCTION("""COMPUTED_VALUE"""),"No OS")</f>
        <v>No OS</v>
      </c>
      <c r="L78" s="2" t="str">
        <f ca="1">IFERROR(__xludf.DUMMYFUNCTION("""COMPUTED_VALUE"""),"2.2kg")</f>
        <v>2.2kg</v>
      </c>
      <c r="M78" s="2">
        <f ca="1">IFERROR(__xludf.DUMMYFUNCTION("""COMPUTED_VALUE"""),519)</f>
        <v>519</v>
      </c>
    </row>
    <row r="79" spans="1:13">
      <c r="A79" s="2">
        <f ca="1">IFERROR(__xludf.DUMMYFUNCTION("""COMPUTED_VALUE"""),79)</f>
        <v>79</v>
      </c>
      <c r="B79" s="2" t="str">
        <f ca="1">IFERROR(__xludf.DUMMYFUNCTION("""COMPUTED_VALUE"""),"Dell")</f>
        <v>Dell</v>
      </c>
      <c r="C79" s="2" t="str">
        <f ca="1">IFERROR(__xludf.DUMMYFUNCTION("""COMPUTED_VALUE"""),"Inspiron 5570")</f>
        <v>Inspiron 5570</v>
      </c>
      <c r="D79" s="2" t="str">
        <f ca="1">IFERROR(__xludf.DUMMYFUNCTION("""COMPUTED_VALUE"""),"Notebook")</f>
        <v>Notebook</v>
      </c>
      <c r="E79" s="2">
        <f ca="1">IFERROR(__xludf.DUMMYFUNCTION("""COMPUTED_VALUE"""),15.6)</f>
        <v>15.6</v>
      </c>
      <c r="F79" s="2" t="str">
        <f ca="1">IFERROR(__xludf.DUMMYFUNCTION("""COMPUTED_VALUE"""),"Full HD 1920x1080")</f>
        <v>Full HD 1920x1080</v>
      </c>
      <c r="G79" s="2" t="str">
        <f ca="1">IFERROR(__xludf.DUMMYFUNCTION("""COMPUTED_VALUE"""),"Intel Core i7 8550U 1.8GHz")</f>
        <v>Intel Core i7 8550U 1.8GHz</v>
      </c>
      <c r="H79" s="2" t="str">
        <f ca="1">IFERROR(__xludf.DUMMYFUNCTION("""COMPUTED_VALUE"""),"8GB")</f>
        <v>8GB</v>
      </c>
      <c r="I79" s="2" t="str">
        <f ca="1">IFERROR(__xludf.DUMMYFUNCTION("""COMPUTED_VALUE"""),"128GB SSD +  1TB HDD")</f>
        <v>128GB SSD +  1TB HDD</v>
      </c>
      <c r="J79" s="2" t="str">
        <f ca="1">IFERROR(__xludf.DUMMYFUNCTION("""COMPUTED_VALUE"""),"Intel UHD Graphics 620")</f>
        <v>Intel UHD Graphics 620</v>
      </c>
      <c r="K79" s="2" t="str">
        <f ca="1">IFERROR(__xludf.DUMMYFUNCTION("""COMPUTED_VALUE"""),"Windows 10")</f>
        <v>Windows 10</v>
      </c>
      <c r="L79" s="2" t="str">
        <f ca="1">IFERROR(__xludf.DUMMYFUNCTION("""COMPUTED_VALUE"""),"2.02kg")</f>
        <v>2.02kg</v>
      </c>
      <c r="M79" s="2">
        <f ca="1">IFERROR(__xludf.DUMMYFUNCTION("""COMPUTED_VALUE"""),855)</f>
        <v>855</v>
      </c>
    </row>
    <row r="80" spans="1:13">
      <c r="A80" s="2">
        <f ca="1">IFERROR(__xludf.DUMMYFUNCTION("""COMPUTED_VALUE"""),80)</f>
        <v>80</v>
      </c>
      <c r="B80" s="2" t="str">
        <f ca="1">IFERROR(__xludf.DUMMYFUNCTION("""COMPUTED_VALUE"""),"Acer")</f>
        <v>Acer</v>
      </c>
      <c r="C80" s="2" t="str">
        <f ca="1">IFERROR(__xludf.DUMMYFUNCTION("""COMPUTED_VALUE"""),"Aspire A515-51G-32MX")</f>
        <v>Aspire A515-51G-32MX</v>
      </c>
      <c r="D80" s="2" t="str">
        <f ca="1">IFERROR(__xludf.DUMMYFUNCTION("""COMPUTED_VALUE"""),"Notebook")</f>
        <v>Notebook</v>
      </c>
      <c r="E80" s="2">
        <f ca="1">IFERROR(__xludf.DUMMYFUNCTION("""COMPUTED_VALUE"""),15.6)</f>
        <v>15.6</v>
      </c>
      <c r="F80" s="2" t="str">
        <f ca="1">IFERROR(__xludf.DUMMYFUNCTION("""COMPUTED_VALUE"""),"Full HD 1920x1080")</f>
        <v>Full HD 1920x1080</v>
      </c>
      <c r="G80" s="2" t="str">
        <f ca="1">IFERROR(__xludf.DUMMYFUNCTION("""COMPUTED_VALUE"""),"Intel Core i3 7130U 2.7GHz")</f>
        <v>Intel Core i3 7130U 2.7GHz</v>
      </c>
      <c r="H80" s="2" t="str">
        <f ca="1">IFERROR(__xludf.DUMMYFUNCTION("""COMPUTED_VALUE"""),"4GB")</f>
        <v>4GB</v>
      </c>
      <c r="I80" s="2" t="str">
        <f ca="1">IFERROR(__xludf.DUMMYFUNCTION("""COMPUTED_VALUE"""),"1TB HDD")</f>
        <v>1TB HDD</v>
      </c>
      <c r="J80" s="2" t="str">
        <f ca="1">IFERROR(__xludf.DUMMYFUNCTION("""COMPUTED_VALUE"""),"Nvidia GeForce MX130")</f>
        <v>Nvidia GeForce MX130</v>
      </c>
      <c r="K80" s="2" t="str">
        <f ca="1">IFERROR(__xludf.DUMMYFUNCTION("""COMPUTED_VALUE"""),"Windows 10")</f>
        <v>Windows 10</v>
      </c>
      <c r="L80" s="2" t="str">
        <f ca="1">IFERROR(__xludf.DUMMYFUNCTION("""COMPUTED_VALUE"""),"2.2kg")</f>
        <v>2.2kg</v>
      </c>
      <c r="M80" s="2">
        <f ca="1">IFERROR(__xludf.DUMMYFUNCTION("""COMPUTED_VALUE"""),530)</f>
        <v>530</v>
      </c>
    </row>
    <row r="81" spans="1:13">
      <c r="A81" s="2">
        <f ca="1">IFERROR(__xludf.DUMMYFUNCTION("""COMPUTED_VALUE"""),81)</f>
        <v>81</v>
      </c>
      <c r="B81" s="2" t="str">
        <f ca="1">IFERROR(__xludf.DUMMYFUNCTION("""COMPUTED_VALUE"""),"HP")</f>
        <v>HP</v>
      </c>
      <c r="C81" s="2" t="str">
        <f ca="1">IFERROR(__xludf.DUMMYFUNCTION("""COMPUTED_VALUE"""),"ProBook 470")</f>
        <v>ProBook 470</v>
      </c>
      <c r="D81" s="2" t="str">
        <f ca="1">IFERROR(__xludf.DUMMYFUNCTION("""COMPUTED_VALUE"""),"Notebook")</f>
        <v>Notebook</v>
      </c>
      <c r="E81" s="2">
        <f ca="1">IFERROR(__xludf.DUMMYFUNCTION("""COMPUTED_VALUE"""),17.3)</f>
        <v>17.3</v>
      </c>
      <c r="F81" s="2" t="str">
        <f ca="1">IFERROR(__xludf.DUMMYFUNCTION("""COMPUTED_VALUE"""),"Full HD 1920x1080")</f>
        <v>Full HD 1920x1080</v>
      </c>
      <c r="G81" s="2" t="str">
        <f ca="1">IFERROR(__xludf.DUMMYFUNCTION("""COMPUTED_VALUE"""),"Intel Core i5 8250U 1.6GHz")</f>
        <v>Intel Core i5 8250U 1.6GHz</v>
      </c>
      <c r="H81" s="2" t="str">
        <f ca="1">IFERROR(__xludf.DUMMYFUNCTION("""COMPUTED_VALUE"""),"8GB")</f>
        <v>8GB</v>
      </c>
      <c r="I81" s="2" t="str">
        <f ca="1">IFERROR(__xludf.DUMMYFUNCTION("""COMPUTED_VALUE"""),"128GB SSD +  1TB HDD")</f>
        <v>128GB SSD +  1TB HDD</v>
      </c>
      <c r="J81" s="2" t="str">
        <f ca="1">IFERROR(__xludf.DUMMYFUNCTION("""COMPUTED_VALUE"""),"Nvidia GeForce 930MX")</f>
        <v>Nvidia GeForce 930MX</v>
      </c>
      <c r="K81" s="2" t="str">
        <f ca="1">IFERROR(__xludf.DUMMYFUNCTION("""COMPUTED_VALUE"""),"Windows 10")</f>
        <v>Windows 10</v>
      </c>
      <c r="L81" s="2" t="str">
        <f ca="1">IFERROR(__xludf.DUMMYFUNCTION("""COMPUTED_VALUE"""),"2.5kg")</f>
        <v>2.5kg</v>
      </c>
      <c r="M81" s="2">
        <f ca="1">IFERROR(__xludf.DUMMYFUNCTION("""COMPUTED_VALUE"""),977)</f>
        <v>977</v>
      </c>
    </row>
    <row r="82" spans="1:13">
      <c r="A82" s="2">
        <f ca="1">IFERROR(__xludf.DUMMYFUNCTION("""COMPUTED_VALUE"""),82)</f>
        <v>82</v>
      </c>
      <c r="B82" s="2" t="str">
        <f ca="1">IFERROR(__xludf.DUMMYFUNCTION("""COMPUTED_VALUE"""),"Dell")</f>
        <v>Dell</v>
      </c>
      <c r="C82" s="2" t="str">
        <f ca="1">IFERROR(__xludf.DUMMYFUNCTION("""COMPUTED_VALUE"""),"Latitude 5590")</f>
        <v>Latitude 5590</v>
      </c>
      <c r="D82" s="2" t="str">
        <f ca="1">IFERROR(__xludf.DUMMYFUNCTION("""COMPUTED_VALUE"""),"Ultrabook")</f>
        <v>Ultrabook</v>
      </c>
      <c r="E82" s="2">
        <f ca="1">IFERROR(__xludf.DUMMYFUNCTION("""COMPUTED_VALUE"""),15.6)</f>
        <v>15.6</v>
      </c>
      <c r="F82" s="2" t="str">
        <f ca="1">IFERROR(__xludf.DUMMYFUNCTION("""COMPUTED_VALUE"""),"IPS Panel Full HD 1920x1080")</f>
        <v>IPS Panel Full HD 1920x1080</v>
      </c>
      <c r="G82" s="2" t="str">
        <f ca="1">IFERROR(__xludf.DUMMYFUNCTION("""COMPUTED_VALUE"""),"Intel Core i5 8250U 1.6GHz")</f>
        <v>Intel Core i5 8250U 1.6GHz</v>
      </c>
      <c r="H82" s="2" t="str">
        <f ca="1">IFERROR(__xludf.DUMMYFUNCTION("""COMPUTED_VALUE"""),"8GB")</f>
        <v>8GB</v>
      </c>
      <c r="I82" s="2" t="str">
        <f ca="1">IFERROR(__xludf.DUMMYFUNCTION("""COMPUTED_VALUE"""),"256GB SSD")</f>
        <v>256GB SSD</v>
      </c>
      <c r="J82" s="2" t="str">
        <f ca="1">IFERROR(__xludf.DUMMYFUNCTION("""COMPUTED_VALUE"""),"Intel UHD Graphics 620")</f>
        <v>Intel UHD Graphics 620</v>
      </c>
      <c r="K82" s="2" t="str">
        <f ca="1">IFERROR(__xludf.DUMMYFUNCTION("""COMPUTED_VALUE"""),"Windows 10")</f>
        <v>Windows 10</v>
      </c>
      <c r="L82" s="2" t="str">
        <f ca="1">IFERROR(__xludf.DUMMYFUNCTION("""COMPUTED_VALUE"""),"1.88kg")</f>
        <v>1.88kg</v>
      </c>
      <c r="M82" s="2">
        <f ca="1">IFERROR(__xludf.DUMMYFUNCTION("""COMPUTED_VALUE"""),1096.16)</f>
        <v>1096.1600000000001</v>
      </c>
    </row>
    <row r="83" spans="1:13">
      <c r="A83" s="2">
        <f ca="1">IFERROR(__xludf.DUMMYFUNCTION("""COMPUTED_VALUE"""),83)</f>
        <v>83</v>
      </c>
      <c r="B83" s="2" t="str">
        <f ca="1">IFERROR(__xludf.DUMMYFUNCTION("""COMPUTED_VALUE"""),"Apple")</f>
        <v>Apple</v>
      </c>
      <c r="C83" s="2" t="str">
        <f ca="1">IFERROR(__xludf.DUMMYFUNCTION("""COMPUTED_VALUE"""),"MacBook 12""")</f>
        <v>MacBook 12"</v>
      </c>
      <c r="D83" s="2" t="str">
        <f ca="1">IFERROR(__xludf.DUMMYFUNCTION("""COMPUTED_VALUE"""),"Ultrabook")</f>
        <v>Ultrabook</v>
      </c>
      <c r="E83" s="2">
        <f ca="1">IFERROR(__xludf.DUMMYFUNCTION("""COMPUTED_VALUE"""),12)</f>
        <v>12</v>
      </c>
      <c r="F83" s="2" t="str">
        <f ca="1">IFERROR(__xludf.DUMMYFUNCTION("""COMPUTED_VALUE"""),"IPS Panel Retina Display 2304x1440")</f>
        <v>IPS Panel Retina Display 2304x1440</v>
      </c>
      <c r="G83" s="2" t="str">
        <f ca="1">IFERROR(__xludf.DUMMYFUNCTION("""COMPUTED_VALUE"""),"Intel Core i5 1.3GHz")</f>
        <v>Intel Core i5 1.3GHz</v>
      </c>
      <c r="H83" s="2" t="str">
        <f ca="1">IFERROR(__xludf.DUMMYFUNCTION("""COMPUTED_VALUE"""),"8GB")</f>
        <v>8GB</v>
      </c>
      <c r="I83" s="2" t="str">
        <f ca="1">IFERROR(__xludf.DUMMYFUNCTION("""COMPUTED_VALUE"""),"512GB SSD")</f>
        <v>512GB SSD</v>
      </c>
      <c r="J83" s="2" t="str">
        <f ca="1">IFERROR(__xludf.DUMMYFUNCTION("""COMPUTED_VALUE"""),"Intel HD Graphics 615")</f>
        <v>Intel HD Graphics 615</v>
      </c>
      <c r="K83" s="2" t="str">
        <f ca="1">IFERROR(__xludf.DUMMYFUNCTION("""COMPUTED_VALUE"""),"macOS")</f>
        <v>macOS</v>
      </c>
      <c r="L83" s="2" t="str">
        <f ca="1">IFERROR(__xludf.DUMMYFUNCTION("""COMPUTED_VALUE"""),"0.92kg")</f>
        <v>0.92kg</v>
      </c>
      <c r="M83" s="2">
        <f ca="1">IFERROR(__xludf.DUMMYFUNCTION("""COMPUTED_VALUE"""),1510)</f>
        <v>1510</v>
      </c>
    </row>
    <row r="84" spans="1:13">
      <c r="A84" s="2">
        <f ca="1">IFERROR(__xludf.DUMMYFUNCTION("""COMPUTED_VALUE"""),84)</f>
        <v>84</v>
      </c>
      <c r="B84" s="2" t="str">
        <f ca="1">IFERROR(__xludf.DUMMYFUNCTION("""COMPUTED_VALUE"""),"HP")</f>
        <v>HP</v>
      </c>
      <c r="C84" s="2" t="str">
        <f ca="1">IFERROR(__xludf.DUMMYFUNCTION("""COMPUTED_VALUE"""),"ProBook 440")</f>
        <v>ProBook 440</v>
      </c>
      <c r="D84" s="2" t="str">
        <f ca="1">IFERROR(__xludf.DUMMYFUNCTION("""COMPUTED_VALUE"""),"Notebook")</f>
        <v>Notebook</v>
      </c>
      <c r="E84" s="2">
        <f ca="1">IFERROR(__xludf.DUMMYFUNCTION("""COMPUTED_VALUE"""),14)</f>
        <v>14</v>
      </c>
      <c r="F84" s="2" t="str">
        <f ca="1">IFERROR(__xludf.DUMMYFUNCTION("""COMPUTED_VALUE"""),"Full HD 1920x1080")</f>
        <v>Full HD 1920x1080</v>
      </c>
      <c r="G84" s="2" t="str">
        <f ca="1">IFERROR(__xludf.DUMMYFUNCTION("""COMPUTED_VALUE"""),"Intel Core i5 8250U 1.6GHz")</f>
        <v>Intel Core i5 8250U 1.6GHz</v>
      </c>
      <c r="H84" s="2" t="str">
        <f ca="1">IFERROR(__xludf.DUMMYFUNCTION("""COMPUTED_VALUE"""),"8GB")</f>
        <v>8GB</v>
      </c>
      <c r="I84" s="2" t="str">
        <f ca="1">IFERROR(__xludf.DUMMYFUNCTION("""COMPUTED_VALUE"""),"256GB SSD")</f>
        <v>256GB SSD</v>
      </c>
      <c r="J84" s="2" t="str">
        <f ca="1">IFERROR(__xludf.DUMMYFUNCTION("""COMPUTED_VALUE"""),"Intel HD Graphics 620")</f>
        <v>Intel HD Graphics 620</v>
      </c>
      <c r="K84" s="2" t="str">
        <f ca="1">IFERROR(__xludf.DUMMYFUNCTION("""COMPUTED_VALUE"""),"Windows 10")</f>
        <v>Windows 10</v>
      </c>
      <c r="L84" s="2" t="str">
        <f ca="1">IFERROR(__xludf.DUMMYFUNCTION("""COMPUTED_VALUE"""),"1.63kg")</f>
        <v>1.63kg</v>
      </c>
      <c r="M84" s="2">
        <f ca="1">IFERROR(__xludf.DUMMYFUNCTION("""COMPUTED_VALUE"""),860)</f>
        <v>860</v>
      </c>
    </row>
    <row r="85" spans="1:13">
      <c r="A85" s="2">
        <f ca="1">IFERROR(__xludf.DUMMYFUNCTION("""COMPUTED_VALUE"""),85)</f>
        <v>85</v>
      </c>
      <c r="B85" s="2" t="str">
        <f ca="1">IFERROR(__xludf.DUMMYFUNCTION("""COMPUTED_VALUE"""),"Lenovo")</f>
        <v>Lenovo</v>
      </c>
      <c r="C85" s="2" t="str">
        <f ca="1">IFERROR(__xludf.DUMMYFUNCTION("""COMPUTED_VALUE"""),"IdeaPad 320-15AST")</f>
        <v>IdeaPad 320-15AST</v>
      </c>
      <c r="D85" s="2" t="str">
        <f ca="1">IFERROR(__xludf.DUMMYFUNCTION("""COMPUTED_VALUE"""),"Notebook")</f>
        <v>Notebook</v>
      </c>
      <c r="E85" s="2">
        <f ca="1">IFERROR(__xludf.DUMMYFUNCTION("""COMPUTED_VALUE"""),15.6)</f>
        <v>15.6</v>
      </c>
      <c r="F85" s="2" t="str">
        <f ca="1">IFERROR(__xludf.DUMMYFUNCTION("""COMPUTED_VALUE"""),"Full HD 1920x1080")</f>
        <v>Full HD 1920x1080</v>
      </c>
      <c r="G85" s="2" t="str">
        <f ca="1">IFERROR(__xludf.DUMMYFUNCTION("""COMPUTED_VALUE"""),"AMD A6-Series 9220 2.5GHz")</f>
        <v>AMD A6-Series 9220 2.5GHz</v>
      </c>
      <c r="H85" s="2" t="str">
        <f ca="1">IFERROR(__xludf.DUMMYFUNCTION("""COMPUTED_VALUE"""),"4GB")</f>
        <v>4GB</v>
      </c>
      <c r="I85" s="2" t="str">
        <f ca="1">IFERROR(__xludf.DUMMYFUNCTION("""COMPUTED_VALUE"""),"128GB SSD")</f>
        <v>128GB SSD</v>
      </c>
      <c r="J85" s="2" t="str">
        <f ca="1">IFERROR(__xludf.DUMMYFUNCTION("""COMPUTED_VALUE"""),"AMD R4 Graphics")</f>
        <v>AMD R4 Graphics</v>
      </c>
      <c r="K85" s="2" t="str">
        <f ca="1">IFERROR(__xludf.DUMMYFUNCTION("""COMPUTED_VALUE"""),"Windows 10")</f>
        <v>Windows 10</v>
      </c>
      <c r="L85" s="2" t="str">
        <f ca="1">IFERROR(__xludf.DUMMYFUNCTION("""COMPUTED_VALUE"""),"2.2kg")</f>
        <v>2.2kg</v>
      </c>
      <c r="M85" s="2">
        <f ca="1">IFERROR(__xludf.DUMMYFUNCTION("""COMPUTED_VALUE"""),399)</f>
        <v>399</v>
      </c>
    </row>
    <row r="86" spans="1:13">
      <c r="A86" s="2">
        <f ca="1">IFERROR(__xludf.DUMMYFUNCTION("""COMPUTED_VALUE"""),86)</f>
        <v>86</v>
      </c>
      <c r="B86" s="2" t="str">
        <f ca="1">IFERROR(__xludf.DUMMYFUNCTION("""COMPUTED_VALUE"""),"Acer")</f>
        <v>Acer</v>
      </c>
      <c r="C86" s="2" t="str">
        <f ca="1">IFERROR(__xludf.DUMMYFUNCTION("""COMPUTED_VALUE"""),"Aspire 3")</f>
        <v>Aspire 3</v>
      </c>
      <c r="D86" s="2" t="str">
        <f ca="1">IFERROR(__xludf.DUMMYFUNCTION("""COMPUTED_VALUE"""),"Notebook")</f>
        <v>Notebook</v>
      </c>
      <c r="E86" s="2">
        <f ca="1">IFERROR(__xludf.DUMMYFUNCTION("""COMPUTED_VALUE"""),15.6)</f>
        <v>15.6</v>
      </c>
      <c r="F86" s="2" t="str">
        <f ca="1">IFERROR(__xludf.DUMMYFUNCTION("""COMPUTED_VALUE"""),"1366x768")</f>
        <v>1366x768</v>
      </c>
      <c r="G86" s="2" t="str">
        <f ca="1">IFERROR(__xludf.DUMMYFUNCTION("""COMPUTED_VALUE"""),"AMD A9-Series 9420 3GHz")</f>
        <v>AMD A9-Series 9420 3GHz</v>
      </c>
      <c r="H86" s="2" t="str">
        <f ca="1">IFERROR(__xludf.DUMMYFUNCTION("""COMPUTED_VALUE"""),"4GB")</f>
        <v>4GB</v>
      </c>
      <c r="I86" s="2" t="str">
        <f ca="1">IFERROR(__xludf.DUMMYFUNCTION("""COMPUTED_VALUE"""),"1TB HDD")</f>
        <v>1TB HDD</v>
      </c>
      <c r="J86" s="2" t="str">
        <f ca="1">IFERROR(__xludf.DUMMYFUNCTION("""COMPUTED_VALUE"""),"AMD Radeon R5")</f>
        <v>AMD Radeon R5</v>
      </c>
      <c r="K86" s="2" t="str">
        <f ca="1">IFERROR(__xludf.DUMMYFUNCTION("""COMPUTED_VALUE"""),"Windows 10")</f>
        <v>Windows 10</v>
      </c>
      <c r="L86" s="2" t="str">
        <f ca="1">IFERROR(__xludf.DUMMYFUNCTION("""COMPUTED_VALUE"""),"2.1kg")</f>
        <v>2.1kg</v>
      </c>
      <c r="M86" s="2">
        <f ca="1">IFERROR(__xludf.DUMMYFUNCTION("""COMPUTED_VALUE"""),395)</f>
        <v>395</v>
      </c>
    </row>
    <row r="87" spans="1:13">
      <c r="A87" s="2">
        <f ca="1">IFERROR(__xludf.DUMMYFUNCTION("""COMPUTED_VALUE"""),87)</f>
        <v>87</v>
      </c>
      <c r="B87" s="2" t="str">
        <f ca="1">IFERROR(__xludf.DUMMYFUNCTION("""COMPUTED_VALUE"""),"Dell")</f>
        <v>Dell</v>
      </c>
      <c r="C87" s="2" t="str">
        <f ca="1">IFERROR(__xludf.DUMMYFUNCTION("""COMPUTED_VALUE"""),"Inspiron 7577")</f>
        <v>Inspiron 7577</v>
      </c>
      <c r="D87" s="2" t="str">
        <f ca="1">IFERROR(__xludf.DUMMYFUNCTION("""COMPUTED_VALUE"""),"Gaming")</f>
        <v>Gaming</v>
      </c>
      <c r="E87" s="2">
        <f ca="1">IFERROR(__xludf.DUMMYFUNCTION("""COMPUTED_VALUE"""),15.6)</f>
        <v>15.6</v>
      </c>
      <c r="F87" s="2" t="str">
        <f ca="1">IFERROR(__xludf.DUMMYFUNCTION("""COMPUTED_VALUE"""),"IPS Panel Full HD 1920x1080")</f>
        <v>IPS Panel Full HD 1920x1080</v>
      </c>
      <c r="G87" s="2" t="str">
        <f ca="1">IFERROR(__xludf.DUMMYFUNCTION("""COMPUTED_VALUE"""),"Intel Core i7 7700HQ 2.8GHz")</f>
        <v>Intel Core i7 7700HQ 2.8GHz</v>
      </c>
      <c r="H87" s="2" t="str">
        <f ca="1">IFERROR(__xludf.DUMMYFUNCTION("""COMPUTED_VALUE"""),"16GB")</f>
        <v>16GB</v>
      </c>
      <c r="I87" s="2" t="str">
        <f ca="1">IFERROR(__xludf.DUMMYFUNCTION("""COMPUTED_VALUE"""),"128GB SSD +  1TB HDD")</f>
        <v>128GB SSD +  1TB HDD</v>
      </c>
      <c r="J87" s="2" t="str">
        <f ca="1">IFERROR(__xludf.DUMMYFUNCTION("""COMPUTED_VALUE"""),"Nvidia GeForce GTX 1050 Ti")</f>
        <v>Nvidia GeForce GTX 1050 Ti</v>
      </c>
      <c r="K87" s="2" t="str">
        <f ca="1">IFERROR(__xludf.DUMMYFUNCTION("""COMPUTED_VALUE"""),"Windows 10")</f>
        <v>Windows 10</v>
      </c>
      <c r="L87" s="2" t="str">
        <f ca="1">IFERROR(__xludf.DUMMYFUNCTION("""COMPUTED_VALUE"""),"2.65kg")</f>
        <v>2.65kg</v>
      </c>
      <c r="M87" s="2">
        <f ca="1">IFERROR(__xludf.DUMMYFUNCTION("""COMPUTED_VALUE"""),1349)</f>
        <v>1349</v>
      </c>
    </row>
    <row r="88" spans="1:13">
      <c r="A88" s="2">
        <f ca="1">IFERROR(__xludf.DUMMYFUNCTION("""COMPUTED_VALUE"""),88)</f>
        <v>88</v>
      </c>
      <c r="B88" s="2" t="str">
        <f ca="1">IFERROR(__xludf.DUMMYFUNCTION("""COMPUTED_VALUE"""),"HP")</f>
        <v>HP</v>
      </c>
      <c r="C88" s="2" t="str">
        <f ca="1">IFERROR(__xludf.DUMMYFUNCTION("""COMPUTED_VALUE"""),"Pavilion 15-CK000nv")</f>
        <v>Pavilion 15-CK000nv</v>
      </c>
      <c r="D88" s="2" t="str">
        <f ca="1">IFERROR(__xludf.DUMMYFUNCTION("""COMPUTED_VALUE"""),"Ultrabook")</f>
        <v>Ultrabook</v>
      </c>
      <c r="E88" s="2">
        <f ca="1">IFERROR(__xludf.DUMMYFUNCTION("""COMPUTED_VALUE"""),15.6)</f>
        <v>15.6</v>
      </c>
      <c r="F88" s="2" t="str">
        <f ca="1">IFERROR(__xludf.DUMMYFUNCTION("""COMPUTED_VALUE"""),"IPS Panel Full HD 1920x1080")</f>
        <v>IPS Panel Full HD 1920x1080</v>
      </c>
      <c r="G88" s="2" t="str">
        <f ca="1">IFERROR(__xludf.DUMMYFUNCTION("""COMPUTED_VALUE"""),"Intel Core i7 8550U 1.8GHz")</f>
        <v>Intel Core i7 8550U 1.8GHz</v>
      </c>
      <c r="H88" s="2" t="str">
        <f ca="1">IFERROR(__xludf.DUMMYFUNCTION("""COMPUTED_VALUE"""),"8GB")</f>
        <v>8GB</v>
      </c>
      <c r="I88" s="2" t="str">
        <f ca="1">IFERROR(__xludf.DUMMYFUNCTION("""COMPUTED_VALUE"""),"256GB SSD")</f>
        <v>256GB SSD</v>
      </c>
      <c r="J88" s="2" t="str">
        <f ca="1">IFERROR(__xludf.DUMMYFUNCTION("""COMPUTED_VALUE"""),"Nvidia GeForce GTX 940MX")</f>
        <v>Nvidia GeForce GTX 940MX</v>
      </c>
      <c r="K88" s="2" t="str">
        <f ca="1">IFERROR(__xludf.DUMMYFUNCTION("""COMPUTED_VALUE"""),"Windows 10")</f>
        <v>Windows 10</v>
      </c>
      <c r="L88" s="2" t="str">
        <f ca="1">IFERROR(__xludf.DUMMYFUNCTION("""COMPUTED_VALUE"""),"1.83kg")</f>
        <v>1.83kg</v>
      </c>
      <c r="M88" s="2">
        <f ca="1">IFERROR(__xludf.DUMMYFUNCTION("""COMPUTED_VALUE"""),699)</f>
        <v>699</v>
      </c>
    </row>
    <row r="89" spans="1:13">
      <c r="A89" s="2">
        <f ca="1">IFERROR(__xludf.DUMMYFUNCTION("""COMPUTED_VALUE"""),89)</f>
        <v>89</v>
      </c>
      <c r="B89" s="2" t="str">
        <f ca="1">IFERROR(__xludf.DUMMYFUNCTION("""COMPUTED_VALUE"""),"HP")</f>
        <v>HP</v>
      </c>
      <c r="C89" s="2" t="str">
        <f ca="1">IFERROR(__xludf.DUMMYFUNCTION("""COMPUTED_VALUE"""),"250 G6")</f>
        <v>250 G6</v>
      </c>
      <c r="D89" s="2" t="str">
        <f ca="1">IFERROR(__xludf.DUMMYFUNCTION("""COMPUTED_VALUE"""),"Notebook")</f>
        <v>Notebook</v>
      </c>
      <c r="E89" s="2">
        <f ca="1">IFERROR(__xludf.DUMMYFUNCTION("""COMPUTED_VALUE"""),15.6)</f>
        <v>15.6</v>
      </c>
      <c r="F89" s="2" t="str">
        <f ca="1">IFERROR(__xludf.DUMMYFUNCTION("""COMPUTED_VALUE"""),"Full HD 1920x1080")</f>
        <v>Full HD 1920x1080</v>
      </c>
      <c r="G89" s="2" t="str">
        <f ca="1">IFERROR(__xludf.DUMMYFUNCTION("""COMPUTED_VALUE"""),"Intel Core i5 7200U 2.5GHz")</f>
        <v>Intel Core i5 7200U 2.5GHz</v>
      </c>
      <c r="H89" s="2" t="str">
        <f ca="1">IFERROR(__xludf.DUMMYFUNCTION("""COMPUTED_VALUE"""),"8GB")</f>
        <v>8GB</v>
      </c>
      <c r="I89" s="2" t="str">
        <f ca="1">IFERROR(__xludf.DUMMYFUNCTION("""COMPUTED_VALUE"""),"256GB SSD")</f>
        <v>256GB SSD</v>
      </c>
      <c r="J89" s="2" t="str">
        <f ca="1">IFERROR(__xludf.DUMMYFUNCTION("""COMPUTED_VALUE"""),"Intel HD Graphics 620")</f>
        <v>Intel HD Graphics 620</v>
      </c>
      <c r="K89" s="2" t="str">
        <f ca="1">IFERROR(__xludf.DUMMYFUNCTION("""COMPUTED_VALUE"""),"Windows 10")</f>
        <v>Windows 10</v>
      </c>
      <c r="L89" s="2" t="str">
        <f ca="1">IFERROR(__xludf.DUMMYFUNCTION("""COMPUTED_VALUE"""),"1.96kg")</f>
        <v>1.96kg</v>
      </c>
      <c r="M89" s="2">
        <f ca="1">IFERROR(__xludf.DUMMYFUNCTION("""COMPUTED_VALUE"""),598.99)</f>
        <v>598.99</v>
      </c>
    </row>
    <row r="90" spans="1:13">
      <c r="A90" s="2">
        <f ca="1">IFERROR(__xludf.DUMMYFUNCTION("""COMPUTED_VALUE"""),90)</f>
        <v>90</v>
      </c>
      <c r="B90" s="2" t="str">
        <f ca="1">IFERROR(__xludf.DUMMYFUNCTION("""COMPUTED_VALUE"""),"Asus")</f>
        <v>Asus</v>
      </c>
      <c r="C90" s="2" t="str">
        <f ca="1">IFERROR(__xludf.DUMMYFUNCTION("""COMPUTED_VALUE"""),"FX503VM-E4007T (i7-7700HQ/16GB/1TB")</f>
        <v>FX503VM-E4007T (i7-7700HQ/16GB/1TB</v>
      </c>
      <c r="D90" s="2" t="str">
        <f ca="1">IFERROR(__xludf.DUMMYFUNCTION("""COMPUTED_VALUE"""),"Gaming")</f>
        <v>Gaming</v>
      </c>
      <c r="E90" s="2">
        <f ca="1">IFERROR(__xludf.DUMMYFUNCTION("""COMPUTED_VALUE"""),15.6)</f>
        <v>15.6</v>
      </c>
      <c r="F90" s="2" t="str">
        <f ca="1">IFERROR(__xludf.DUMMYFUNCTION("""COMPUTED_VALUE"""),"IPS Panel Full HD 1920x1080")</f>
        <v>IPS Panel Full HD 1920x1080</v>
      </c>
      <c r="G90" s="2" t="str">
        <f ca="1">IFERROR(__xludf.DUMMYFUNCTION("""COMPUTED_VALUE"""),"Intel Core i7 7700HQ 2.8GHz")</f>
        <v>Intel Core i7 7700HQ 2.8GHz</v>
      </c>
      <c r="H90" s="2" t="str">
        <f ca="1">IFERROR(__xludf.DUMMYFUNCTION("""COMPUTED_VALUE"""),"16GB")</f>
        <v>16GB</v>
      </c>
      <c r="I90" s="2" t="str">
        <f ca="1">IFERROR(__xludf.DUMMYFUNCTION("""COMPUTED_VALUE"""),"128GB SSD +  1TB HDD")</f>
        <v>128GB SSD +  1TB HDD</v>
      </c>
      <c r="J90" s="2" t="str">
        <f ca="1">IFERROR(__xludf.DUMMYFUNCTION("""COMPUTED_VALUE"""),"Nvidia GeForce GTX 1060")</f>
        <v>Nvidia GeForce GTX 1060</v>
      </c>
      <c r="K90" s="2" t="str">
        <f ca="1">IFERROR(__xludf.DUMMYFUNCTION("""COMPUTED_VALUE"""),"Windows 10")</f>
        <v>Windows 10</v>
      </c>
      <c r="L90" s="2" t="str">
        <f ca="1">IFERROR(__xludf.DUMMYFUNCTION("""COMPUTED_VALUE"""),"2.2kg")</f>
        <v>2.2kg</v>
      </c>
      <c r="M90" s="2">
        <f ca="1">IFERROR(__xludf.DUMMYFUNCTION("""COMPUTED_VALUE"""),1449)</f>
        <v>1449</v>
      </c>
    </row>
    <row r="91" spans="1:13">
      <c r="A91" s="2">
        <f ca="1">IFERROR(__xludf.DUMMYFUNCTION("""COMPUTED_VALUE"""),91)</f>
        <v>91</v>
      </c>
      <c r="B91" s="2" t="str">
        <f ca="1">IFERROR(__xludf.DUMMYFUNCTION("""COMPUTED_VALUE"""),"Dell")</f>
        <v>Dell</v>
      </c>
      <c r="C91" s="2" t="str">
        <f ca="1">IFERROR(__xludf.DUMMYFUNCTION("""COMPUTED_VALUE"""),"XPS 13")</f>
        <v>XPS 13</v>
      </c>
      <c r="D91" s="2" t="str">
        <f ca="1">IFERROR(__xludf.DUMMYFUNCTION("""COMPUTED_VALUE"""),"Ultrabook")</f>
        <v>Ultrabook</v>
      </c>
      <c r="E91" s="2">
        <f ca="1">IFERROR(__xludf.DUMMYFUNCTION("""COMPUTED_VALUE"""),13.3)</f>
        <v>13.3</v>
      </c>
      <c r="F91" s="2" t="str">
        <f ca="1">IFERROR(__xludf.DUMMYFUNCTION("""COMPUTED_VALUE"""),"IPS Panel Full HD 1920x1080")</f>
        <v>IPS Panel Full HD 1920x1080</v>
      </c>
      <c r="G91" s="2" t="str">
        <f ca="1">IFERROR(__xludf.DUMMYFUNCTION("""COMPUTED_VALUE"""),"Intel Core i7 8550U 1.8GHz")</f>
        <v>Intel Core i7 8550U 1.8GHz</v>
      </c>
      <c r="H91" s="2" t="str">
        <f ca="1">IFERROR(__xludf.DUMMYFUNCTION("""COMPUTED_VALUE"""),"8GB")</f>
        <v>8GB</v>
      </c>
      <c r="I91" s="2" t="str">
        <f ca="1">IFERROR(__xludf.DUMMYFUNCTION("""COMPUTED_VALUE"""),"256GB SSD")</f>
        <v>256GB SSD</v>
      </c>
      <c r="J91" s="2" t="str">
        <f ca="1">IFERROR(__xludf.DUMMYFUNCTION("""COMPUTED_VALUE"""),"Intel UHD Graphics 620")</f>
        <v>Intel UHD Graphics 620</v>
      </c>
      <c r="K91" s="2" t="str">
        <f ca="1">IFERROR(__xludf.DUMMYFUNCTION("""COMPUTED_VALUE"""),"Windows 10")</f>
        <v>Windows 10</v>
      </c>
      <c r="L91" s="2" t="str">
        <f ca="1">IFERROR(__xludf.DUMMYFUNCTION("""COMPUTED_VALUE"""),"1.21kg")</f>
        <v>1.21kg</v>
      </c>
      <c r="M91" s="2">
        <f ca="1">IFERROR(__xludf.DUMMYFUNCTION("""COMPUTED_VALUE"""),1649)</f>
        <v>1649</v>
      </c>
    </row>
    <row r="92" spans="1:13">
      <c r="A92" s="2">
        <f ca="1">IFERROR(__xludf.DUMMYFUNCTION("""COMPUTED_VALUE"""),92)</f>
        <v>92</v>
      </c>
      <c r="B92" s="2" t="str">
        <f ca="1">IFERROR(__xludf.DUMMYFUNCTION("""COMPUTED_VALUE"""),"Asus")</f>
        <v>Asus</v>
      </c>
      <c r="C92" s="2" t="str">
        <f ca="1">IFERROR(__xludf.DUMMYFUNCTION("""COMPUTED_VALUE"""),"FX550IK-DM018T (FX-9830P/8GB/1TB/Radeon")</f>
        <v>FX550IK-DM018T (FX-9830P/8GB/1TB/Radeon</v>
      </c>
      <c r="D92" s="2" t="str">
        <f ca="1">IFERROR(__xludf.DUMMYFUNCTION("""COMPUTED_VALUE"""),"Gaming")</f>
        <v>Gaming</v>
      </c>
      <c r="E92" s="2">
        <f ca="1">IFERROR(__xludf.DUMMYFUNCTION("""COMPUTED_VALUE"""),15.6)</f>
        <v>15.6</v>
      </c>
      <c r="F92" s="2" t="str">
        <f ca="1">IFERROR(__xludf.DUMMYFUNCTION("""COMPUTED_VALUE"""),"Full HD 1920x1080")</f>
        <v>Full HD 1920x1080</v>
      </c>
      <c r="G92" s="2" t="str">
        <f ca="1">IFERROR(__xludf.DUMMYFUNCTION("""COMPUTED_VALUE"""),"AMD FX 9830P 3GHz")</f>
        <v>AMD FX 9830P 3GHz</v>
      </c>
      <c r="H92" s="2" t="str">
        <f ca="1">IFERROR(__xludf.DUMMYFUNCTION("""COMPUTED_VALUE"""),"8GB")</f>
        <v>8GB</v>
      </c>
      <c r="I92" s="2" t="str">
        <f ca="1">IFERROR(__xludf.DUMMYFUNCTION("""COMPUTED_VALUE"""),"1TB HDD")</f>
        <v>1TB HDD</v>
      </c>
      <c r="J92" s="2" t="str">
        <f ca="1">IFERROR(__xludf.DUMMYFUNCTION("""COMPUTED_VALUE"""),"AMD Radeon RX 560")</f>
        <v>AMD Radeon RX 560</v>
      </c>
      <c r="K92" s="2" t="str">
        <f ca="1">IFERROR(__xludf.DUMMYFUNCTION("""COMPUTED_VALUE"""),"Windows 10")</f>
        <v>Windows 10</v>
      </c>
      <c r="L92" s="2" t="str">
        <f ca="1">IFERROR(__xludf.DUMMYFUNCTION("""COMPUTED_VALUE"""),"2.45kg")</f>
        <v>2.45kg</v>
      </c>
      <c r="M92" s="2">
        <f ca="1">IFERROR(__xludf.DUMMYFUNCTION("""COMPUTED_VALUE"""),699)</f>
        <v>699</v>
      </c>
    </row>
    <row r="93" spans="1:13">
      <c r="A93" s="2">
        <f ca="1">IFERROR(__xludf.DUMMYFUNCTION("""COMPUTED_VALUE"""),93)</f>
        <v>93</v>
      </c>
      <c r="B93" s="2" t="str">
        <f ca="1">IFERROR(__xludf.DUMMYFUNCTION("""COMPUTED_VALUE"""),"Acer")</f>
        <v>Acer</v>
      </c>
      <c r="C93" s="2" t="str">
        <f ca="1">IFERROR(__xludf.DUMMYFUNCTION("""COMPUTED_VALUE"""),"Aspire 5")</f>
        <v>Aspire 5</v>
      </c>
      <c r="D93" s="2" t="str">
        <f ca="1">IFERROR(__xludf.DUMMYFUNCTION("""COMPUTED_VALUE"""),"Notebook")</f>
        <v>Notebook</v>
      </c>
      <c r="E93" s="2">
        <f ca="1">IFERROR(__xludf.DUMMYFUNCTION("""COMPUTED_VALUE"""),15.6)</f>
        <v>15.6</v>
      </c>
      <c r="F93" s="2" t="str">
        <f ca="1">IFERROR(__xludf.DUMMYFUNCTION("""COMPUTED_VALUE"""),"Full HD 1920x1080")</f>
        <v>Full HD 1920x1080</v>
      </c>
      <c r="G93" s="2" t="str">
        <f ca="1">IFERROR(__xludf.DUMMYFUNCTION("""COMPUTED_VALUE"""),"Intel Core i7 8550U 1.8GHz")</f>
        <v>Intel Core i7 8550U 1.8GHz</v>
      </c>
      <c r="H93" s="2" t="str">
        <f ca="1">IFERROR(__xludf.DUMMYFUNCTION("""COMPUTED_VALUE"""),"8GB")</f>
        <v>8GB</v>
      </c>
      <c r="I93" s="2" t="str">
        <f ca="1">IFERROR(__xludf.DUMMYFUNCTION("""COMPUTED_VALUE"""),"1TB HDD")</f>
        <v>1TB HDD</v>
      </c>
      <c r="J93" s="2" t="str">
        <f ca="1">IFERROR(__xludf.DUMMYFUNCTION("""COMPUTED_VALUE"""),"Nvidia GeForce MX150")</f>
        <v>Nvidia GeForce MX150</v>
      </c>
      <c r="K93" s="2" t="str">
        <f ca="1">IFERROR(__xludf.DUMMYFUNCTION("""COMPUTED_VALUE"""),"Windows 10")</f>
        <v>Windows 10</v>
      </c>
      <c r="L93" s="2" t="str">
        <f ca="1">IFERROR(__xludf.DUMMYFUNCTION("""COMPUTED_VALUE"""),"2.2kg")</f>
        <v>2.2kg</v>
      </c>
      <c r="M93" s="2">
        <f ca="1">IFERROR(__xludf.DUMMYFUNCTION("""COMPUTED_VALUE"""),689)</f>
        <v>689</v>
      </c>
    </row>
    <row r="94" spans="1:13">
      <c r="A94" s="2">
        <f ca="1">IFERROR(__xludf.DUMMYFUNCTION("""COMPUTED_VALUE"""),94)</f>
        <v>94</v>
      </c>
      <c r="B94" s="2" t="str">
        <f ca="1">IFERROR(__xludf.DUMMYFUNCTION("""COMPUTED_VALUE"""),"HP")</f>
        <v>HP</v>
      </c>
      <c r="C94" s="2" t="str">
        <f ca="1">IFERROR(__xludf.DUMMYFUNCTION("""COMPUTED_VALUE"""),"Probook 430")</f>
        <v>Probook 430</v>
      </c>
      <c r="D94" s="2" t="str">
        <f ca="1">IFERROR(__xludf.DUMMYFUNCTION("""COMPUTED_VALUE"""),"Notebook")</f>
        <v>Notebook</v>
      </c>
      <c r="E94" s="2">
        <f ca="1">IFERROR(__xludf.DUMMYFUNCTION("""COMPUTED_VALUE"""),13.3)</f>
        <v>13.3</v>
      </c>
      <c r="F94" s="2" t="str">
        <f ca="1">IFERROR(__xludf.DUMMYFUNCTION("""COMPUTED_VALUE"""),"Full HD 1920x1080")</f>
        <v>Full HD 1920x1080</v>
      </c>
      <c r="G94" s="2" t="str">
        <f ca="1">IFERROR(__xludf.DUMMYFUNCTION("""COMPUTED_VALUE"""),"Intel Core i7 8550U 1.8GHz")</f>
        <v>Intel Core i7 8550U 1.8GHz</v>
      </c>
      <c r="H94" s="2" t="str">
        <f ca="1">IFERROR(__xludf.DUMMYFUNCTION("""COMPUTED_VALUE"""),"16GB")</f>
        <v>16GB</v>
      </c>
      <c r="I94" s="2" t="str">
        <f ca="1">IFERROR(__xludf.DUMMYFUNCTION("""COMPUTED_VALUE"""),"512GB SSD")</f>
        <v>512GB SSD</v>
      </c>
      <c r="J94" s="2" t="str">
        <f ca="1">IFERROR(__xludf.DUMMYFUNCTION("""COMPUTED_VALUE"""),"Intel UHD Graphics 620")</f>
        <v>Intel UHD Graphics 620</v>
      </c>
      <c r="K94" s="2" t="str">
        <f ca="1">IFERROR(__xludf.DUMMYFUNCTION("""COMPUTED_VALUE"""),"Windows 10")</f>
        <v>Windows 10</v>
      </c>
      <c r="L94" s="2" t="str">
        <f ca="1">IFERROR(__xludf.DUMMYFUNCTION("""COMPUTED_VALUE"""),"1.49kg")</f>
        <v>1.49kg</v>
      </c>
      <c r="M94" s="2">
        <f ca="1">IFERROR(__xludf.DUMMYFUNCTION("""COMPUTED_VALUE"""),1197)</f>
        <v>1197</v>
      </c>
    </row>
    <row r="95" spans="1:13">
      <c r="A95" s="2">
        <f ca="1">IFERROR(__xludf.DUMMYFUNCTION("""COMPUTED_VALUE"""),95)</f>
        <v>95</v>
      </c>
      <c r="B95" s="2" t="str">
        <f ca="1">IFERROR(__xludf.DUMMYFUNCTION("""COMPUTED_VALUE"""),"Dell")</f>
        <v>Dell</v>
      </c>
      <c r="C95" s="2" t="str">
        <f ca="1">IFERROR(__xludf.DUMMYFUNCTION("""COMPUTED_VALUE"""),"Inspiron 7577")</f>
        <v>Inspiron 7577</v>
      </c>
      <c r="D95" s="2" t="str">
        <f ca="1">IFERROR(__xludf.DUMMYFUNCTION("""COMPUTED_VALUE"""),"Gaming")</f>
        <v>Gaming</v>
      </c>
      <c r="E95" s="2">
        <f ca="1">IFERROR(__xludf.DUMMYFUNCTION("""COMPUTED_VALUE"""),15.6)</f>
        <v>15.6</v>
      </c>
      <c r="F95" s="2" t="str">
        <f ca="1">IFERROR(__xludf.DUMMYFUNCTION("""COMPUTED_VALUE"""),"Full HD 1920x1080")</f>
        <v>Full HD 1920x1080</v>
      </c>
      <c r="G95" s="2" t="str">
        <f ca="1">IFERROR(__xludf.DUMMYFUNCTION("""COMPUTED_VALUE"""),"Intel Core i5 7300HQ 2.5GHz")</f>
        <v>Intel Core i5 7300HQ 2.5GHz</v>
      </c>
      <c r="H95" s="2" t="str">
        <f ca="1">IFERROR(__xludf.DUMMYFUNCTION("""COMPUTED_VALUE"""),"8GB")</f>
        <v>8GB</v>
      </c>
      <c r="I95" s="2" t="str">
        <f ca="1">IFERROR(__xludf.DUMMYFUNCTION("""COMPUTED_VALUE"""),"256GB SSD")</f>
        <v>256GB SSD</v>
      </c>
      <c r="J95" s="2" t="str">
        <f ca="1">IFERROR(__xludf.DUMMYFUNCTION("""COMPUTED_VALUE"""),"Nvidia GeForce GTX 1060")</f>
        <v>Nvidia GeForce GTX 1060</v>
      </c>
      <c r="K95" s="2" t="str">
        <f ca="1">IFERROR(__xludf.DUMMYFUNCTION("""COMPUTED_VALUE"""),"Windows 10")</f>
        <v>Windows 10</v>
      </c>
      <c r="L95" s="2" t="str">
        <f ca="1">IFERROR(__xludf.DUMMYFUNCTION("""COMPUTED_VALUE"""),"2.65kg")</f>
        <v>2.65kg</v>
      </c>
      <c r="M95" s="2">
        <f ca="1">IFERROR(__xludf.DUMMYFUNCTION("""COMPUTED_VALUE"""),1195)</f>
        <v>1195</v>
      </c>
    </row>
    <row r="96" spans="1:13">
      <c r="A96" s="2">
        <f ca="1">IFERROR(__xludf.DUMMYFUNCTION("""COMPUTED_VALUE"""),96)</f>
        <v>96</v>
      </c>
      <c r="B96" s="2" t="str">
        <f ca="1">IFERROR(__xludf.DUMMYFUNCTION("""COMPUTED_VALUE"""),"Asus")</f>
        <v>Asus</v>
      </c>
      <c r="C96" s="2" t="str">
        <f ca="1">IFERROR(__xludf.DUMMYFUNCTION("""COMPUTED_VALUE"""),"Zenbook UX430UA")</f>
        <v>Zenbook UX430UA</v>
      </c>
      <c r="D96" s="2" t="str">
        <f ca="1">IFERROR(__xludf.DUMMYFUNCTION("""COMPUTED_VALUE"""),"Ultrabook")</f>
        <v>Ultrabook</v>
      </c>
      <c r="E96" s="2">
        <f ca="1">IFERROR(__xludf.DUMMYFUNCTION("""COMPUTED_VALUE"""),14)</f>
        <v>14</v>
      </c>
      <c r="F96" s="2" t="str">
        <f ca="1">IFERROR(__xludf.DUMMYFUNCTION("""COMPUTED_VALUE"""),"Full HD 1920x1080")</f>
        <v>Full HD 1920x1080</v>
      </c>
      <c r="G96" s="2" t="str">
        <f ca="1">IFERROR(__xludf.DUMMYFUNCTION("""COMPUTED_VALUE"""),"Intel Core i7 7500U 2.7GHz")</f>
        <v>Intel Core i7 7500U 2.7GHz</v>
      </c>
      <c r="H96" s="2" t="str">
        <f ca="1">IFERROR(__xludf.DUMMYFUNCTION("""COMPUTED_VALUE"""),"8GB")</f>
        <v>8GB</v>
      </c>
      <c r="I96" s="2" t="str">
        <f ca="1">IFERROR(__xludf.DUMMYFUNCTION("""COMPUTED_VALUE"""),"256GB SSD")</f>
        <v>256GB SSD</v>
      </c>
      <c r="J96" s="2" t="str">
        <f ca="1">IFERROR(__xludf.DUMMYFUNCTION("""COMPUTED_VALUE"""),"Intel HD Graphics 620")</f>
        <v>Intel HD Graphics 620</v>
      </c>
      <c r="K96" s="2" t="str">
        <f ca="1">IFERROR(__xludf.DUMMYFUNCTION("""COMPUTED_VALUE"""),"Windows 10")</f>
        <v>Windows 10</v>
      </c>
      <c r="L96" s="2" t="str">
        <f ca="1">IFERROR(__xludf.DUMMYFUNCTION("""COMPUTED_VALUE"""),"1.25kg")</f>
        <v>1.25kg</v>
      </c>
      <c r="M96" s="2">
        <f ca="1">IFERROR(__xludf.DUMMYFUNCTION("""COMPUTED_VALUE"""),1049)</f>
        <v>1049</v>
      </c>
    </row>
    <row r="97" spans="1:13">
      <c r="A97" s="2">
        <f ca="1">IFERROR(__xludf.DUMMYFUNCTION("""COMPUTED_VALUE"""),97)</f>
        <v>97</v>
      </c>
      <c r="B97" s="2" t="str">
        <f ca="1">IFERROR(__xludf.DUMMYFUNCTION("""COMPUTED_VALUE"""),"Acer")</f>
        <v>Acer</v>
      </c>
      <c r="C97" s="2" t="str">
        <f ca="1">IFERROR(__xludf.DUMMYFUNCTION("""COMPUTED_VALUE"""),"Spin 5")</f>
        <v>Spin 5</v>
      </c>
      <c r="D97" s="2" t="str">
        <f ca="1">IFERROR(__xludf.DUMMYFUNCTION("""COMPUTED_VALUE"""),"2 in 1 Convertible")</f>
        <v>2 in 1 Convertible</v>
      </c>
      <c r="E97" s="2">
        <f ca="1">IFERROR(__xludf.DUMMYFUNCTION("""COMPUTED_VALUE"""),13.3)</f>
        <v>13.3</v>
      </c>
      <c r="F97" s="2" t="str">
        <f ca="1">IFERROR(__xludf.DUMMYFUNCTION("""COMPUTED_VALUE"""),"IPS Panel Full HD / Touchscreen 1920x1080")</f>
        <v>IPS Panel Full HD / Touchscreen 1920x1080</v>
      </c>
      <c r="G97" s="2" t="str">
        <f ca="1">IFERROR(__xludf.DUMMYFUNCTION("""COMPUTED_VALUE"""),"Intel Core i5 8250U 1.6GHz")</f>
        <v>Intel Core i5 8250U 1.6GHz</v>
      </c>
      <c r="H97" s="2" t="str">
        <f ca="1">IFERROR(__xludf.DUMMYFUNCTION("""COMPUTED_VALUE"""),"8GB")</f>
        <v>8GB</v>
      </c>
      <c r="I97" s="2" t="str">
        <f ca="1">IFERROR(__xludf.DUMMYFUNCTION("""COMPUTED_VALUE"""),"256GB SSD")</f>
        <v>256GB SSD</v>
      </c>
      <c r="J97" s="2" t="str">
        <f ca="1">IFERROR(__xludf.DUMMYFUNCTION("""COMPUTED_VALUE"""),"Intel UHD Graphics 620")</f>
        <v>Intel UHD Graphics 620</v>
      </c>
      <c r="K97" s="2" t="str">
        <f ca="1">IFERROR(__xludf.DUMMYFUNCTION("""COMPUTED_VALUE"""),"Windows 10")</f>
        <v>Windows 10</v>
      </c>
      <c r="L97" s="2" t="str">
        <f ca="1">IFERROR(__xludf.DUMMYFUNCTION("""COMPUTED_VALUE"""),"1.5kg")</f>
        <v>1.5kg</v>
      </c>
      <c r="M97" s="2">
        <f ca="1">IFERROR(__xludf.DUMMYFUNCTION("""COMPUTED_VALUE"""),847)</f>
        <v>847</v>
      </c>
    </row>
    <row r="98" spans="1:13">
      <c r="A98" s="2">
        <f ca="1">IFERROR(__xludf.DUMMYFUNCTION("""COMPUTED_VALUE"""),98)</f>
        <v>98</v>
      </c>
      <c r="B98" s="2" t="str">
        <f ca="1">IFERROR(__xludf.DUMMYFUNCTION("""COMPUTED_VALUE"""),"Dell")</f>
        <v>Dell</v>
      </c>
      <c r="C98" s="2" t="str">
        <f ca="1">IFERROR(__xludf.DUMMYFUNCTION("""COMPUTED_VALUE"""),"Inspiron 3567")</f>
        <v>Inspiron 3567</v>
      </c>
      <c r="D98" s="2" t="str">
        <f ca="1">IFERROR(__xludf.DUMMYFUNCTION("""COMPUTED_VALUE"""),"Notebook")</f>
        <v>Notebook</v>
      </c>
      <c r="E98" s="2">
        <f ca="1">IFERROR(__xludf.DUMMYFUNCTION("""COMPUTED_VALUE"""),15.6)</f>
        <v>15.6</v>
      </c>
      <c r="F98" s="2" t="str">
        <f ca="1">IFERROR(__xludf.DUMMYFUNCTION("""COMPUTED_VALUE"""),"Full HD 1920x1080")</f>
        <v>Full HD 1920x1080</v>
      </c>
      <c r="G98" s="2" t="str">
        <f ca="1">IFERROR(__xludf.DUMMYFUNCTION("""COMPUTED_VALUE"""),"Intel Core i7 7500U 2.7GHz")</f>
        <v>Intel Core i7 7500U 2.7GHz</v>
      </c>
      <c r="H98" s="2" t="str">
        <f ca="1">IFERROR(__xludf.DUMMYFUNCTION("""COMPUTED_VALUE"""),"8GB")</f>
        <v>8GB</v>
      </c>
      <c r="I98" s="2" t="str">
        <f ca="1">IFERROR(__xludf.DUMMYFUNCTION("""COMPUTED_VALUE"""),"1TB HDD")</f>
        <v>1TB HDD</v>
      </c>
      <c r="J98" s="2" t="str">
        <f ca="1">IFERROR(__xludf.DUMMYFUNCTION("""COMPUTED_VALUE"""),"AMD Radeon R5 M430")</f>
        <v>AMD Radeon R5 M430</v>
      </c>
      <c r="K98" s="2" t="str">
        <f ca="1">IFERROR(__xludf.DUMMYFUNCTION("""COMPUTED_VALUE"""),"Linux")</f>
        <v>Linux</v>
      </c>
      <c r="L98" s="2" t="str">
        <f ca="1">IFERROR(__xludf.DUMMYFUNCTION("""COMPUTED_VALUE"""),"2.2kg")</f>
        <v>2.2kg</v>
      </c>
      <c r="M98" s="2">
        <f ca="1">IFERROR(__xludf.DUMMYFUNCTION("""COMPUTED_VALUE"""),599.9)</f>
        <v>599.9</v>
      </c>
    </row>
    <row r="99" spans="1:13">
      <c r="A99" s="2">
        <f ca="1">IFERROR(__xludf.DUMMYFUNCTION("""COMPUTED_VALUE"""),99)</f>
        <v>99</v>
      </c>
      <c r="B99" s="2" t="str">
        <f ca="1">IFERROR(__xludf.DUMMYFUNCTION("""COMPUTED_VALUE"""),"Dell")</f>
        <v>Dell</v>
      </c>
      <c r="C99" s="2" t="str">
        <f ca="1">IFERROR(__xludf.DUMMYFUNCTION("""COMPUTED_VALUE"""),"Inspiron 3567")</f>
        <v>Inspiron 3567</v>
      </c>
      <c r="D99" s="2" t="str">
        <f ca="1">IFERROR(__xludf.DUMMYFUNCTION("""COMPUTED_VALUE"""),"Notebook")</f>
        <v>Notebook</v>
      </c>
      <c r="E99" s="2">
        <f ca="1">IFERROR(__xludf.DUMMYFUNCTION("""COMPUTED_VALUE"""),15.6)</f>
        <v>15.6</v>
      </c>
      <c r="F99" s="2" t="str">
        <f ca="1">IFERROR(__xludf.DUMMYFUNCTION("""COMPUTED_VALUE"""),"Full HD 1920x1080")</f>
        <v>Full HD 1920x1080</v>
      </c>
      <c r="G99" s="2" t="str">
        <f ca="1">IFERROR(__xludf.DUMMYFUNCTION("""COMPUTED_VALUE"""),"Intel Core i3 6006U 2GHz")</f>
        <v>Intel Core i3 6006U 2GHz</v>
      </c>
      <c r="H99" s="2" t="str">
        <f ca="1">IFERROR(__xludf.DUMMYFUNCTION("""COMPUTED_VALUE"""),"4GB")</f>
        <v>4GB</v>
      </c>
      <c r="I99" s="2" t="str">
        <f ca="1">IFERROR(__xludf.DUMMYFUNCTION("""COMPUTED_VALUE"""),"256GB SSD")</f>
        <v>256GB SSD</v>
      </c>
      <c r="J99" s="2" t="str">
        <f ca="1">IFERROR(__xludf.DUMMYFUNCTION("""COMPUTED_VALUE"""),"AMD Radeon R5 M430")</f>
        <v>AMD Radeon R5 M430</v>
      </c>
      <c r="K99" s="2" t="str">
        <f ca="1">IFERROR(__xludf.DUMMYFUNCTION("""COMPUTED_VALUE"""),"Linux")</f>
        <v>Linux</v>
      </c>
      <c r="L99" s="2" t="str">
        <f ca="1">IFERROR(__xludf.DUMMYFUNCTION("""COMPUTED_VALUE"""),"2.2kg")</f>
        <v>2.2kg</v>
      </c>
      <c r="M99" s="2">
        <f ca="1">IFERROR(__xludf.DUMMYFUNCTION("""COMPUTED_VALUE"""),485)</f>
        <v>485</v>
      </c>
    </row>
    <row r="100" spans="1:13">
      <c r="A100" s="2">
        <f ca="1">IFERROR(__xludf.DUMMYFUNCTION("""COMPUTED_VALUE"""),100)</f>
        <v>100</v>
      </c>
      <c r="B100" s="2" t="str">
        <f ca="1">IFERROR(__xludf.DUMMYFUNCTION("""COMPUTED_VALUE"""),"Asus")</f>
        <v>Asus</v>
      </c>
      <c r="C100" s="2" t="str">
        <f ca="1">IFERROR(__xludf.DUMMYFUNCTION("""COMPUTED_VALUE"""),"X541UV-DM1439T (i3-7100U/6GB/256GB/GeForce")</f>
        <v>X541UV-DM1439T (i3-7100U/6GB/256GB/GeForce</v>
      </c>
      <c r="D100" s="2" t="str">
        <f ca="1">IFERROR(__xludf.DUMMYFUNCTION("""COMPUTED_VALUE"""),"Notebook")</f>
        <v>Notebook</v>
      </c>
      <c r="E100" s="2">
        <f ca="1">IFERROR(__xludf.DUMMYFUNCTION("""COMPUTED_VALUE"""),15.6)</f>
        <v>15.6</v>
      </c>
      <c r="F100" s="2" t="str">
        <f ca="1">IFERROR(__xludf.DUMMYFUNCTION("""COMPUTED_VALUE"""),"Full HD 1920x1080")</f>
        <v>Full HD 1920x1080</v>
      </c>
      <c r="G100" s="2" t="str">
        <f ca="1">IFERROR(__xludf.DUMMYFUNCTION("""COMPUTED_VALUE"""),"Intel Core i3 7100U 2.4GHz")</f>
        <v>Intel Core i3 7100U 2.4GHz</v>
      </c>
      <c r="H100" s="2" t="str">
        <f ca="1">IFERROR(__xludf.DUMMYFUNCTION("""COMPUTED_VALUE"""),"6GB")</f>
        <v>6GB</v>
      </c>
      <c r="I100" s="2" t="str">
        <f ca="1">IFERROR(__xludf.DUMMYFUNCTION("""COMPUTED_VALUE"""),"256GB SSD")</f>
        <v>256GB SSD</v>
      </c>
      <c r="J100" s="2" t="str">
        <f ca="1">IFERROR(__xludf.DUMMYFUNCTION("""COMPUTED_VALUE"""),"Nvidia GeForce 920M")</f>
        <v>Nvidia GeForce 920M</v>
      </c>
      <c r="K100" s="2" t="str">
        <f ca="1">IFERROR(__xludf.DUMMYFUNCTION("""COMPUTED_VALUE"""),"Windows 10")</f>
        <v>Windows 10</v>
      </c>
      <c r="L100" s="2" t="str">
        <f ca="1">IFERROR(__xludf.DUMMYFUNCTION("""COMPUTED_VALUE"""),"2kg")</f>
        <v>2kg</v>
      </c>
      <c r="M100" s="2">
        <f ca="1">IFERROR(__xludf.DUMMYFUNCTION("""COMPUTED_VALUE"""),577)</f>
        <v>577</v>
      </c>
    </row>
    <row r="101" spans="1:13">
      <c r="A101" s="2">
        <f ca="1">IFERROR(__xludf.DUMMYFUNCTION("""COMPUTED_VALUE"""),102)</f>
        <v>102</v>
      </c>
      <c r="B101" s="2" t="str">
        <f ca="1">IFERROR(__xludf.DUMMYFUNCTION("""COMPUTED_VALUE"""),"HP")</f>
        <v>HP</v>
      </c>
      <c r="C101" s="2" t="str">
        <f ca="1">IFERROR(__xludf.DUMMYFUNCTION("""COMPUTED_VALUE"""),"Omen 15-ce007nv")</f>
        <v>Omen 15-ce007nv</v>
      </c>
      <c r="D101" s="2" t="str">
        <f ca="1">IFERROR(__xludf.DUMMYFUNCTION("""COMPUTED_VALUE"""),"Gaming")</f>
        <v>Gaming</v>
      </c>
      <c r="E101" s="2">
        <f ca="1">IFERROR(__xludf.DUMMYFUNCTION("""COMPUTED_VALUE"""),15.6)</f>
        <v>15.6</v>
      </c>
      <c r="F101" s="2" t="str">
        <f ca="1">IFERROR(__xludf.DUMMYFUNCTION("""COMPUTED_VALUE"""),"IPS Panel Full HD 1920x1080")</f>
        <v>IPS Panel Full HD 1920x1080</v>
      </c>
      <c r="G101" s="2" t="str">
        <f ca="1">IFERROR(__xludf.DUMMYFUNCTION("""COMPUTED_VALUE"""),"Intel Core i7 7700HQ 2.8GHz")</f>
        <v>Intel Core i7 7700HQ 2.8GHz</v>
      </c>
      <c r="H101" s="2" t="str">
        <f ca="1">IFERROR(__xludf.DUMMYFUNCTION("""COMPUTED_VALUE"""),"12GB")</f>
        <v>12GB</v>
      </c>
      <c r="I101" s="2" t="str">
        <f ca="1">IFERROR(__xludf.DUMMYFUNCTION("""COMPUTED_VALUE"""),"128GB SSD +  1TB HDD")</f>
        <v>128GB SSD +  1TB HDD</v>
      </c>
      <c r="J101" s="2" t="str">
        <f ca="1">IFERROR(__xludf.DUMMYFUNCTION("""COMPUTED_VALUE"""),"Nvidia GeForce GTX 1050")</f>
        <v>Nvidia GeForce GTX 1050</v>
      </c>
      <c r="K101" s="2" t="str">
        <f ca="1">IFERROR(__xludf.DUMMYFUNCTION("""COMPUTED_VALUE"""),"Windows 10")</f>
        <v>Windows 10</v>
      </c>
      <c r="L101" s="2" t="str">
        <f ca="1">IFERROR(__xludf.DUMMYFUNCTION("""COMPUTED_VALUE"""),"2.62kg")</f>
        <v>2.62kg</v>
      </c>
      <c r="M101" s="2">
        <f ca="1">IFERROR(__xludf.DUMMYFUNCTION("""COMPUTED_VALUE"""),1249)</f>
        <v>1249</v>
      </c>
    </row>
    <row r="102" spans="1:13">
      <c r="A102" s="2">
        <f ca="1">IFERROR(__xludf.DUMMYFUNCTION("""COMPUTED_VALUE"""),103)</f>
        <v>103</v>
      </c>
      <c r="B102" s="2" t="str">
        <f ca="1">IFERROR(__xludf.DUMMYFUNCTION("""COMPUTED_VALUE"""),"HP")</f>
        <v>HP</v>
      </c>
      <c r="C102" s="2" t="str">
        <f ca="1">IFERROR(__xludf.DUMMYFUNCTION("""COMPUTED_VALUE"""),"15-bs017nv (i7-7500U/8GB/256GB/Radeon")</f>
        <v>15-bs017nv (i7-7500U/8GB/256GB/Radeon</v>
      </c>
      <c r="D102" s="2" t="str">
        <f ca="1">IFERROR(__xludf.DUMMYFUNCTION("""COMPUTED_VALUE"""),"Notebook")</f>
        <v>Notebook</v>
      </c>
      <c r="E102" s="2">
        <f ca="1">IFERROR(__xludf.DUMMYFUNCTION("""COMPUTED_VALUE"""),15.6)</f>
        <v>15.6</v>
      </c>
      <c r="F102" s="2" t="str">
        <f ca="1">IFERROR(__xludf.DUMMYFUNCTION("""COMPUTED_VALUE"""),"Full HD 1920x1080")</f>
        <v>Full HD 1920x1080</v>
      </c>
      <c r="G102" s="2" t="str">
        <f ca="1">IFERROR(__xludf.DUMMYFUNCTION("""COMPUTED_VALUE"""),"Intel Core i7 7500U 2.7GHz")</f>
        <v>Intel Core i7 7500U 2.7GHz</v>
      </c>
      <c r="H102" s="2" t="str">
        <f ca="1">IFERROR(__xludf.DUMMYFUNCTION("""COMPUTED_VALUE"""),"8GB")</f>
        <v>8GB</v>
      </c>
      <c r="I102" s="2" t="str">
        <f ca="1">IFERROR(__xludf.DUMMYFUNCTION("""COMPUTED_VALUE"""),"256GB SSD")</f>
        <v>256GB SSD</v>
      </c>
      <c r="J102" s="2" t="str">
        <f ca="1">IFERROR(__xludf.DUMMYFUNCTION("""COMPUTED_VALUE"""),"AMD Radeon 530")</f>
        <v>AMD Radeon 530</v>
      </c>
      <c r="K102" s="2" t="str">
        <f ca="1">IFERROR(__xludf.DUMMYFUNCTION("""COMPUTED_VALUE"""),"Windows 10")</f>
        <v>Windows 10</v>
      </c>
      <c r="L102" s="2" t="str">
        <f ca="1">IFERROR(__xludf.DUMMYFUNCTION("""COMPUTED_VALUE"""),"1.91kg")</f>
        <v>1.91kg</v>
      </c>
      <c r="M102" s="2">
        <f ca="1">IFERROR(__xludf.DUMMYFUNCTION("""COMPUTED_VALUE"""),719)</f>
        <v>719</v>
      </c>
    </row>
    <row r="103" spans="1:13">
      <c r="A103" s="2">
        <f ca="1">IFERROR(__xludf.DUMMYFUNCTION("""COMPUTED_VALUE"""),104)</f>
        <v>104</v>
      </c>
      <c r="B103" s="2" t="str">
        <f ca="1">IFERROR(__xludf.DUMMYFUNCTION("""COMPUTED_VALUE"""),"HP")</f>
        <v>HP</v>
      </c>
      <c r="C103" s="2" t="str">
        <f ca="1">IFERROR(__xludf.DUMMYFUNCTION("""COMPUTED_VALUE"""),"15-bw000nv (E2-9000e/4GB/500GB/Radeon")</f>
        <v>15-bw000nv (E2-9000e/4GB/500GB/Radeon</v>
      </c>
      <c r="D103" s="2" t="str">
        <f ca="1">IFERROR(__xludf.DUMMYFUNCTION("""COMPUTED_VALUE"""),"Notebook")</f>
        <v>Notebook</v>
      </c>
      <c r="E103" s="2">
        <f ca="1">IFERROR(__xludf.DUMMYFUNCTION("""COMPUTED_VALUE"""),15.6)</f>
        <v>15.6</v>
      </c>
      <c r="F103" s="2" t="str">
        <f ca="1">IFERROR(__xludf.DUMMYFUNCTION("""COMPUTED_VALUE"""),"Full HD 1920x1080")</f>
        <v>Full HD 1920x1080</v>
      </c>
      <c r="G103" s="2" t="str">
        <f ca="1">IFERROR(__xludf.DUMMYFUNCTION("""COMPUTED_VALUE"""),"AMD E-Series E2-9000e 1.5GHz")</f>
        <v>AMD E-Series E2-9000e 1.5GHz</v>
      </c>
      <c r="H103" s="2" t="str">
        <f ca="1">IFERROR(__xludf.DUMMYFUNCTION("""COMPUTED_VALUE"""),"4GB")</f>
        <v>4GB</v>
      </c>
      <c r="I103" s="2" t="str">
        <f ca="1">IFERROR(__xludf.DUMMYFUNCTION("""COMPUTED_VALUE"""),"500GB HDD")</f>
        <v>500GB HDD</v>
      </c>
      <c r="J103" s="2" t="str">
        <f ca="1">IFERROR(__xludf.DUMMYFUNCTION("""COMPUTED_VALUE"""),"AMD Radeon R2")</f>
        <v>AMD Radeon R2</v>
      </c>
      <c r="K103" s="2" t="str">
        <f ca="1">IFERROR(__xludf.DUMMYFUNCTION("""COMPUTED_VALUE"""),"Windows 10")</f>
        <v>Windows 10</v>
      </c>
      <c r="L103" s="2" t="str">
        <f ca="1">IFERROR(__xludf.DUMMYFUNCTION("""COMPUTED_VALUE"""),"2.1kg")</f>
        <v>2.1kg</v>
      </c>
      <c r="M103" s="2">
        <f ca="1">IFERROR(__xludf.DUMMYFUNCTION("""COMPUTED_VALUE"""),349)</f>
        <v>349</v>
      </c>
    </row>
    <row r="104" spans="1:13">
      <c r="A104" s="2">
        <f ca="1">IFERROR(__xludf.DUMMYFUNCTION("""COMPUTED_VALUE"""),105)</f>
        <v>105</v>
      </c>
      <c r="B104" s="2" t="str">
        <f ca="1">IFERROR(__xludf.DUMMYFUNCTION("""COMPUTED_VALUE"""),"Dell")</f>
        <v>Dell</v>
      </c>
      <c r="C104" s="2" t="str">
        <f ca="1">IFERROR(__xludf.DUMMYFUNCTION("""COMPUTED_VALUE"""),"Inspiron 3576")</f>
        <v>Inspiron 3576</v>
      </c>
      <c r="D104" s="2" t="str">
        <f ca="1">IFERROR(__xludf.DUMMYFUNCTION("""COMPUTED_VALUE"""),"Notebook")</f>
        <v>Notebook</v>
      </c>
      <c r="E104" s="2">
        <f ca="1">IFERROR(__xludf.DUMMYFUNCTION("""COMPUTED_VALUE"""),15.6)</f>
        <v>15.6</v>
      </c>
      <c r="F104" s="2" t="str">
        <f ca="1">IFERROR(__xludf.DUMMYFUNCTION("""COMPUTED_VALUE"""),"Full HD 1920x1080")</f>
        <v>Full HD 1920x1080</v>
      </c>
      <c r="G104" s="2" t="str">
        <f ca="1">IFERROR(__xludf.DUMMYFUNCTION("""COMPUTED_VALUE"""),"Intel Core i5 8250U 1.6GHz")</f>
        <v>Intel Core i5 8250U 1.6GHz</v>
      </c>
      <c r="H104" s="2" t="str">
        <f ca="1">IFERROR(__xludf.DUMMYFUNCTION("""COMPUTED_VALUE"""),"8GB")</f>
        <v>8GB</v>
      </c>
      <c r="I104" s="2" t="str">
        <f ca="1">IFERROR(__xludf.DUMMYFUNCTION("""COMPUTED_VALUE"""),"1TB HDD")</f>
        <v>1TB HDD</v>
      </c>
      <c r="J104" s="2" t="str">
        <f ca="1">IFERROR(__xludf.DUMMYFUNCTION("""COMPUTED_VALUE"""),"AMD Radeon 520")</f>
        <v>AMD Radeon 520</v>
      </c>
      <c r="K104" s="2" t="str">
        <f ca="1">IFERROR(__xludf.DUMMYFUNCTION("""COMPUTED_VALUE"""),"Linux")</f>
        <v>Linux</v>
      </c>
      <c r="L104" s="2" t="str">
        <f ca="1">IFERROR(__xludf.DUMMYFUNCTION("""COMPUTED_VALUE"""),"2.2kg")</f>
        <v>2.2kg</v>
      </c>
      <c r="M104" s="2">
        <f ca="1">IFERROR(__xludf.DUMMYFUNCTION("""COMPUTED_VALUE"""),647)</f>
        <v>647</v>
      </c>
    </row>
    <row r="105" spans="1:13">
      <c r="A105" s="2">
        <f ca="1">IFERROR(__xludf.DUMMYFUNCTION("""COMPUTED_VALUE"""),106)</f>
        <v>106</v>
      </c>
      <c r="B105" s="2" t="str">
        <f ca="1">IFERROR(__xludf.DUMMYFUNCTION("""COMPUTED_VALUE"""),"HP")</f>
        <v>HP</v>
      </c>
      <c r="C105" s="2" t="str">
        <f ca="1">IFERROR(__xludf.DUMMYFUNCTION("""COMPUTED_VALUE"""),"Envy 13-ad009n")</f>
        <v>Envy 13-ad009n</v>
      </c>
      <c r="D105" s="2" t="str">
        <f ca="1">IFERROR(__xludf.DUMMYFUNCTION("""COMPUTED_VALUE"""),"Ultrabook")</f>
        <v>Ultrabook</v>
      </c>
      <c r="E105" s="2">
        <f ca="1">IFERROR(__xludf.DUMMYFUNCTION("""COMPUTED_VALUE"""),13.3)</f>
        <v>13.3</v>
      </c>
      <c r="F105" s="2" t="str">
        <f ca="1">IFERROR(__xludf.DUMMYFUNCTION("""COMPUTED_VALUE"""),"IPS Panel Full HD 1920x1080")</f>
        <v>IPS Panel Full HD 1920x1080</v>
      </c>
      <c r="G105" s="2" t="str">
        <f ca="1">IFERROR(__xludf.DUMMYFUNCTION("""COMPUTED_VALUE"""),"Intel Core i7 7500U 2.7GHz")</f>
        <v>Intel Core i7 7500U 2.7GHz</v>
      </c>
      <c r="H105" s="2" t="str">
        <f ca="1">IFERROR(__xludf.DUMMYFUNCTION("""COMPUTED_VALUE"""),"8GB")</f>
        <v>8GB</v>
      </c>
      <c r="I105" s="2" t="str">
        <f ca="1">IFERROR(__xludf.DUMMYFUNCTION("""COMPUTED_VALUE"""),"256GB SSD")</f>
        <v>256GB SSD</v>
      </c>
      <c r="J105" s="2" t="str">
        <f ca="1">IFERROR(__xludf.DUMMYFUNCTION("""COMPUTED_VALUE"""),"Nvidia GeForce MX150")</f>
        <v>Nvidia GeForce MX150</v>
      </c>
      <c r="K105" s="2" t="str">
        <f ca="1">IFERROR(__xludf.DUMMYFUNCTION("""COMPUTED_VALUE"""),"Windows 10")</f>
        <v>Windows 10</v>
      </c>
      <c r="L105" s="2" t="str">
        <f ca="1">IFERROR(__xludf.DUMMYFUNCTION("""COMPUTED_VALUE"""),"1.38kg")</f>
        <v>1.38kg</v>
      </c>
      <c r="M105" s="2">
        <f ca="1">IFERROR(__xludf.DUMMYFUNCTION("""COMPUTED_VALUE"""),1119)</f>
        <v>1119</v>
      </c>
    </row>
    <row r="106" spans="1:13">
      <c r="A106" s="2">
        <f ca="1">IFERROR(__xludf.DUMMYFUNCTION("""COMPUTED_VALUE"""),107)</f>
        <v>107</v>
      </c>
      <c r="B106" s="2" t="str">
        <f ca="1">IFERROR(__xludf.DUMMYFUNCTION("""COMPUTED_VALUE"""),"Microsoft")</f>
        <v>Microsoft</v>
      </c>
      <c r="C106" s="2" t="str">
        <f ca="1">IFERROR(__xludf.DUMMYFUNCTION("""COMPUTED_VALUE"""),"Surface Laptop")</f>
        <v>Surface Laptop</v>
      </c>
      <c r="D106" s="2" t="str">
        <f ca="1">IFERROR(__xludf.DUMMYFUNCTION("""COMPUTED_VALUE"""),"Ultrabook")</f>
        <v>Ultrabook</v>
      </c>
      <c r="E106" s="2">
        <f ca="1">IFERROR(__xludf.DUMMYFUNCTION("""COMPUTED_VALUE"""),13.5)</f>
        <v>13.5</v>
      </c>
      <c r="F106" s="2" t="str">
        <f ca="1">IFERROR(__xludf.DUMMYFUNCTION("""COMPUTED_VALUE"""),"Touchscreen 2256x1504")</f>
        <v>Touchscreen 2256x1504</v>
      </c>
      <c r="G106" s="2" t="str">
        <f ca="1">IFERROR(__xludf.DUMMYFUNCTION("""COMPUTED_VALUE"""),"Intel Core i5 7200U 2.5GHz")</f>
        <v>Intel Core i5 7200U 2.5GHz</v>
      </c>
      <c r="H106" s="2" t="str">
        <f ca="1">IFERROR(__xludf.DUMMYFUNCTION("""COMPUTED_VALUE"""),"8GB")</f>
        <v>8GB</v>
      </c>
      <c r="I106" s="2" t="str">
        <f ca="1">IFERROR(__xludf.DUMMYFUNCTION("""COMPUTED_VALUE"""),"256GB SSD")</f>
        <v>256GB SSD</v>
      </c>
      <c r="J106" s="2" t="str">
        <f ca="1">IFERROR(__xludf.DUMMYFUNCTION("""COMPUTED_VALUE"""),"Intel HD Graphics 620")</f>
        <v>Intel HD Graphics 620</v>
      </c>
      <c r="K106" s="2" t="str">
        <f ca="1">IFERROR(__xludf.DUMMYFUNCTION("""COMPUTED_VALUE"""),"Windows 10 S")</f>
        <v>Windows 10 S</v>
      </c>
      <c r="L106" s="2" t="str">
        <f ca="1">IFERROR(__xludf.DUMMYFUNCTION("""COMPUTED_VALUE"""),"1.252kg")</f>
        <v>1.252kg</v>
      </c>
      <c r="M106" s="2">
        <f ca="1">IFERROR(__xludf.DUMMYFUNCTION("""COMPUTED_VALUE"""),1340)</f>
        <v>1340</v>
      </c>
    </row>
    <row r="107" spans="1:13">
      <c r="A107" s="2">
        <f ca="1">IFERROR(__xludf.DUMMYFUNCTION("""COMPUTED_VALUE"""),108)</f>
        <v>108</v>
      </c>
      <c r="B107" s="2" t="str">
        <f ca="1">IFERROR(__xludf.DUMMYFUNCTION("""COMPUTED_VALUE"""),"HP")</f>
        <v>HP</v>
      </c>
      <c r="C107" s="2" t="str">
        <f ca="1">IFERROR(__xludf.DUMMYFUNCTION("""COMPUTED_VALUE"""),"Pavilion 14-BK001nv")</f>
        <v>Pavilion 14-BK001nv</v>
      </c>
      <c r="D107" s="2" t="str">
        <f ca="1">IFERROR(__xludf.DUMMYFUNCTION("""COMPUTED_VALUE"""),"Notebook")</f>
        <v>Notebook</v>
      </c>
      <c r="E107" s="2">
        <f ca="1">IFERROR(__xludf.DUMMYFUNCTION("""COMPUTED_VALUE"""),14)</f>
        <v>14</v>
      </c>
      <c r="F107" s="2" t="str">
        <f ca="1">IFERROR(__xludf.DUMMYFUNCTION("""COMPUTED_VALUE"""),"IPS Panel Full HD 1920x1080")</f>
        <v>IPS Panel Full HD 1920x1080</v>
      </c>
      <c r="G107" s="2" t="str">
        <f ca="1">IFERROR(__xludf.DUMMYFUNCTION("""COMPUTED_VALUE"""),"Intel Core i5 7200U 2.5GHz")</f>
        <v>Intel Core i5 7200U 2.5GHz</v>
      </c>
      <c r="H107" s="2" t="str">
        <f ca="1">IFERROR(__xludf.DUMMYFUNCTION("""COMPUTED_VALUE"""),"6GB")</f>
        <v>6GB</v>
      </c>
      <c r="I107" s="2" t="str">
        <f ca="1">IFERROR(__xludf.DUMMYFUNCTION("""COMPUTED_VALUE"""),"256GB SSD")</f>
        <v>256GB SSD</v>
      </c>
      <c r="J107" s="2" t="str">
        <f ca="1">IFERROR(__xludf.DUMMYFUNCTION("""COMPUTED_VALUE"""),"Nvidia GeForce 940MX")</f>
        <v>Nvidia GeForce 940MX</v>
      </c>
      <c r="K107" s="2" t="str">
        <f ca="1">IFERROR(__xludf.DUMMYFUNCTION("""COMPUTED_VALUE"""),"Windows 10")</f>
        <v>Windows 10</v>
      </c>
      <c r="L107" s="2" t="str">
        <f ca="1">IFERROR(__xludf.DUMMYFUNCTION("""COMPUTED_VALUE"""),"1.58kg")</f>
        <v>1.58kg</v>
      </c>
      <c r="M107" s="2">
        <f ca="1">IFERROR(__xludf.DUMMYFUNCTION("""COMPUTED_VALUE"""),659)</f>
        <v>659</v>
      </c>
    </row>
    <row r="108" spans="1:13">
      <c r="A108" s="2">
        <f ca="1">IFERROR(__xludf.DUMMYFUNCTION("""COMPUTED_VALUE"""),109)</f>
        <v>109</v>
      </c>
      <c r="B108" s="2" t="str">
        <f ca="1">IFERROR(__xludf.DUMMYFUNCTION("""COMPUTED_VALUE"""),"Lenovo")</f>
        <v>Lenovo</v>
      </c>
      <c r="C108" s="2" t="str">
        <f ca="1">IFERROR(__xludf.DUMMYFUNCTION("""COMPUTED_VALUE"""),"Ideapad 310-15ISK")</f>
        <v>Ideapad 310-15ISK</v>
      </c>
      <c r="D108" s="2" t="str">
        <f ca="1">IFERROR(__xludf.DUMMYFUNCTION("""COMPUTED_VALUE"""),"Notebook")</f>
        <v>Notebook</v>
      </c>
      <c r="E108" s="2">
        <f ca="1">IFERROR(__xludf.DUMMYFUNCTION("""COMPUTED_VALUE"""),15.6)</f>
        <v>15.6</v>
      </c>
      <c r="F108" s="2" t="str">
        <f ca="1">IFERROR(__xludf.DUMMYFUNCTION("""COMPUTED_VALUE"""),"Full HD 1920x1080")</f>
        <v>Full HD 1920x1080</v>
      </c>
      <c r="G108" s="2" t="str">
        <f ca="1">IFERROR(__xludf.DUMMYFUNCTION("""COMPUTED_VALUE"""),"Intel Core i3 6006U 2GHz")</f>
        <v>Intel Core i3 6006U 2GHz</v>
      </c>
      <c r="H108" s="2" t="str">
        <f ca="1">IFERROR(__xludf.DUMMYFUNCTION("""COMPUTED_VALUE"""),"4GB")</f>
        <v>4GB</v>
      </c>
      <c r="I108" s="2" t="str">
        <f ca="1">IFERROR(__xludf.DUMMYFUNCTION("""COMPUTED_VALUE"""),"1TB HDD")</f>
        <v>1TB HDD</v>
      </c>
      <c r="J108" s="2" t="str">
        <f ca="1">IFERROR(__xludf.DUMMYFUNCTION("""COMPUTED_VALUE"""),"Intel HD Graphics 520")</f>
        <v>Intel HD Graphics 520</v>
      </c>
      <c r="K108" s="2" t="str">
        <f ca="1">IFERROR(__xludf.DUMMYFUNCTION("""COMPUTED_VALUE"""),"Windows 10")</f>
        <v>Windows 10</v>
      </c>
      <c r="L108" s="2" t="str">
        <f ca="1">IFERROR(__xludf.DUMMYFUNCTION("""COMPUTED_VALUE"""),"1.85kg")</f>
        <v>1.85kg</v>
      </c>
      <c r="M108" s="2">
        <f ca="1">IFERROR(__xludf.DUMMYFUNCTION("""COMPUTED_VALUE"""),414.9)</f>
        <v>414.9</v>
      </c>
    </row>
    <row r="109" spans="1:13">
      <c r="A109" s="2">
        <f ca="1">IFERROR(__xludf.DUMMYFUNCTION("""COMPUTED_VALUE"""),110)</f>
        <v>110</v>
      </c>
      <c r="B109" s="2" t="str">
        <f ca="1">IFERROR(__xludf.DUMMYFUNCTION("""COMPUTED_VALUE"""),"Asus")</f>
        <v>Asus</v>
      </c>
      <c r="C109" s="2" t="str">
        <f ca="1">IFERROR(__xludf.DUMMYFUNCTION("""COMPUTED_VALUE"""),"UX430UQ-GV209R (i7-7500U/8GB/256GB/GeForce")</f>
        <v>UX430UQ-GV209R (i7-7500U/8GB/256GB/GeForce</v>
      </c>
      <c r="D109" s="2" t="str">
        <f ca="1">IFERROR(__xludf.DUMMYFUNCTION("""COMPUTED_VALUE"""),"Ultrabook")</f>
        <v>Ultrabook</v>
      </c>
      <c r="E109" s="2">
        <f ca="1">IFERROR(__xludf.DUMMYFUNCTION("""COMPUTED_VALUE"""),14)</f>
        <v>14</v>
      </c>
      <c r="F109" s="2" t="str">
        <f ca="1">IFERROR(__xludf.DUMMYFUNCTION("""COMPUTED_VALUE"""),"IPS Panel Full HD 1920x1080")</f>
        <v>IPS Panel Full HD 1920x1080</v>
      </c>
      <c r="G109" s="2" t="str">
        <f ca="1">IFERROR(__xludf.DUMMYFUNCTION("""COMPUTED_VALUE"""),"Intel Core i7 7500U 2.7GHz")</f>
        <v>Intel Core i7 7500U 2.7GHz</v>
      </c>
      <c r="H109" s="2" t="str">
        <f ca="1">IFERROR(__xludf.DUMMYFUNCTION("""COMPUTED_VALUE"""),"8GB")</f>
        <v>8GB</v>
      </c>
      <c r="I109" s="2" t="str">
        <f ca="1">IFERROR(__xludf.DUMMYFUNCTION("""COMPUTED_VALUE"""),"256GB SSD")</f>
        <v>256GB SSD</v>
      </c>
      <c r="J109" s="2" t="str">
        <f ca="1">IFERROR(__xludf.DUMMYFUNCTION("""COMPUTED_VALUE"""),"Nvidia GeForce 940MX")</f>
        <v>Nvidia GeForce 940MX</v>
      </c>
      <c r="K109" s="2" t="str">
        <f ca="1">IFERROR(__xludf.DUMMYFUNCTION("""COMPUTED_VALUE"""),"Windows 10")</f>
        <v>Windows 10</v>
      </c>
      <c r="L109" s="2" t="str">
        <f ca="1">IFERROR(__xludf.DUMMYFUNCTION("""COMPUTED_VALUE"""),"1.3kg")</f>
        <v>1.3kg</v>
      </c>
      <c r="M109" s="2">
        <f ca="1">IFERROR(__xludf.DUMMYFUNCTION("""COMPUTED_VALUE"""),1193)</f>
        <v>1193</v>
      </c>
    </row>
    <row r="110" spans="1:13">
      <c r="A110" s="2">
        <f ca="1">IFERROR(__xludf.DUMMYFUNCTION("""COMPUTED_VALUE"""),111)</f>
        <v>111</v>
      </c>
      <c r="B110" s="2" t="str">
        <f ca="1">IFERROR(__xludf.DUMMYFUNCTION("""COMPUTED_VALUE"""),"MSI")</f>
        <v>MSI</v>
      </c>
      <c r="C110" s="2" t="str">
        <f ca="1">IFERROR(__xludf.DUMMYFUNCTION("""COMPUTED_VALUE"""),"GP62M 7REX")</f>
        <v>GP62M 7REX</v>
      </c>
      <c r="D110" s="2" t="str">
        <f ca="1">IFERROR(__xludf.DUMMYFUNCTION("""COMPUTED_VALUE"""),"Gaming")</f>
        <v>Gaming</v>
      </c>
      <c r="E110" s="2">
        <f ca="1">IFERROR(__xludf.DUMMYFUNCTION("""COMPUTED_VALUE"""),15.6)</f>
        <v>15.6</v>
      </c>
      <c r="F110" s="2" t="str">
        <f ca="1">IFERROR(__xludf.DUMMYFUNCTION("""COMPUTED_VALUE"""),"Full HD 1920x1080")</f>
        <v>Full HD 1920x1080</v>
      </c>
      <c r="G110" s="2" t="str">
        <f ca="1">IFERROR(__xludf.DUMMYFUNCTION("""COMPUTED_VALUE"""),"Intel Core i7 7700HQ 2.8GHz")</f>
        <v>Intel Core i7 7700HQ 2.8GHz</v>
      </c>
      <c r="H110" s="2" t="str">
        <f ca="1">IFERROR(__xludf.DUMMYFUNCTION("""COMPUTED_VALUE"""),"16GB")</f>
        <v>16GB</v>
      </c>
      <c r="I110" s="2" t="str">
        <f ca="1">IFERROR(__xludf.DUMMYFUNCTION("""COMPUTED_VALUE"""),"256GB SSD +  1TB HDD")</f>
        <v>256GB SSD +  1TB HDD</v>
      </c>
      <c r="J110" s="2" t="str">
        <f ca="1">IFERROR(__xludf.DUMMYFUNCTION("""COMPUTED_VALUE"""),"Nvidia GeForce GTX 1050 Ti")</f>
        <v>Nvidia GeForce GTX 1050 Ti</v>
      </c>
      <c r="K110" s="2" t="str">
        <f ca="1">IFERROR(__xludf.DUMMYFUNCTION("""COMPUTED_VALUE"""),"Windows 10")</f>
        <v>Windows 10</v>
      </c>
      <c r="L110" s="2" t="str">
        <f ca="1">IFERROR(__xludf.DUMMYFUNCTION("""COMPUTED_VALUE"""),"2.2kg")</f>
        <v>2.2kg</v>
      </c>
      <c r="M110" s="2">
        <f ca="1">IFERROR(__xludf.DUMMYFUNCTION("""COMPUTED_VALUE"""),1299)</f>
        <v>1299</v>
      </c>
    </row>
    <row r="111" spans="1:13">
      <c r="A111" s="2">
        <f ca="1">IFERROR(__xludf.DUMMYFUNCTION("""COMPUTED_VALUE"""),112)</f>
        <v>112</v>
      </c>
      <c r="B111" s="2" t="str">
        <f ca="1">IFERROR(__xludf.DUMMYFUNCTION("""COMPUTED_VALUE"""),"Lenovo")</f>
        <v>Lenovo</v>
      </c>
      <c r="C111" s="2" t="str">
        <f ca="1">IFERROR(__xludf.DUMMYFUNCTION("""COMPUTED_VALUE"""),"Thinkpad T470")</f>
        <v>Thinkpad T470</v>
      </c>
      <c r="D111" s="2" t="str">
        <f ca="1">IFERROR(__xludf.DUMMYFUNCTION("""COMPUTED_VALUE"""),"Notebook")</f>
        <v>Notebook</v>
      </c>
      <c r="E111" s="2">
        <f ca="1">IFERROR(__xludf.DUMMYFUNCTION("""COMPUTED_VALUE"""),14)</f>
        <v>14</v>
      </c>
      <c r="F111" s="2" t="str">
        <f ca="1">IFERROR(__xludf.DUMMYFUNCTION("""COMPUTED_VALUE"""),"IPS Panel Full HD 1920x1080")</f>
        <v>IPS Panel Full HD 1920x1080</v>
      </c>
      <c r="G111" s="2" t="str">
        <f ca="1">IFERROR(__xludf.DUMMYFUNCTION("""COMPUTED_VALUE"""),"Intel Core i7 7500U 2.7GHz")</f>
        <v>Intel Core i7 7500U 2.7GHz</v>
      </c>
      <c r="H111" s="2" t="str">
        <f ca="1">IFERROR(__xludf.DUMMYFUNCTION("""COMPUTED_VALUE"""),"8GB")</f>
        <v>8GB</v>
      </c>
      <c r="I111" s="2" t="str">
        <f ca="1">IFERROR(__xludf.DUMMYFUNCTION("""COMPUTED_VALUE"""),"256GB SSD")</f>
        <v>256GB SSD</v>
      </c>
      <c r="J111" s="2" t="str">
        <f ca="1">IFERROR(__xludf.DUMMYFUNCTION("""COMPUTED_VALUE"""),"Intel HD Graphics 620")</f>
        <v>Intel HD Graphics 620</v>
      </c>
      <c r="K111" s="2" t="str">
        <f ca="1">IFERROR(__xludf.DUMMYFUNCTION("""COMPUTED_VALUE"""),"Windows 10")</f>
        <v>Windows 10</v>
      </c>
      <c r="L111" s="2" t="str">
        <f ca="1">IFERROR(__xludf.DUMMYFUNCTION("""COMPUTED_VALUE"""),"1.58kg")</f>
        <v>1.58kg</v>
      </c>
      <c r="M111" s="2">
        <f ca="1">IFERROR(__xludf.DUMMYFUNCTION("""COMPUTED_VALUE"""),1480)</f>
        <v>1480</v>
      </c>
    </row>
    <row r="112" spans="1:13">
      <c r="A112" s="2">
        <f ca="1">IFERROR(__xludf.DUMMYFUNCTION("""COMPUTED_VALUE"""),113)</f>
        <v>113</v>
      </c>
      <c r="B112" s="2" t="str">
        <f ca="1">IFERROR(__xludf.DUMMYFUNCTION("""COMPUTED_VALUE"""),"Asus")</f>
        <v>Asus</v>
      </c>
      <c r="C112" s="2" t="str">
        <f ca="1">IFERROR(__xludf.DUMMYFUNCTION("""COMPUTED_VALUE"""),"VivoBook S15")</f>
        <v>VivoBook S15</v>
      </c>
      <c r="D112" s="2" t="str">
        <f ca="1">IFERROR(__xludf.DUMMYFUNCTION("""COMPUTED_VALUE"""),"Ultrabook")</f>
        <v>Ultrabook</v>
      </c>
      <c r="E112" s="2">
        <f ca="1">IFERROR(__xludf.DUMMYFUNCTION("""COMPUTED_VALUE"""),15.6)</f>
        <v>15.6</v>
      </c>
      <c r="F112" s="2" t="str">
        <f ca="1">IFERROR(__xludf.DUMMYFUNCTION("""COMPUTED_VALUE"""),"Full HD 1920x1080")</f>
        <v>Full HD 1920x1080</v>
      </c>
      <c r="G112" s="2" t="str">
        <f ca="1">IFERROR(__xludf.DUMMYFUNCTION("""COMPUTED_VALUE"""),"Intel Core i7 8550U 1.8GHz")</f>
        <v>Intel Core i7 8550U 1.8GHz</v>
      </c>
      <c r="H112" s="2" t="str">
        <f ca="1">IFERROR(__xludf.DUMMYFUNCTION("""COMPUTED_VALUE"""),"16GB")</f>
        <v>16GB</v>
      </c>
      <c r="I112" s="2" t="str">
        <f ca="1">IFERROR(__xludf.DUMMYFUNCTION("""COMPUTED_VALUE"""),"256GB SSD +  1TB HDD")</f>
        <v>256GB SSD +  1TB HDD</v>
      </c>
      <c r="J112" s="2" t="str">
        <f ca="1">IFERROR(__xludf.DUMMYFUNCTION("""COMPUTED_VALUE"""),"Nvidia GeForce MX150")</f>
        <v>Nvidia GeForce MX150</v>
      </c>
      <c r="K112" s="2" t="str">
        <f ca="1">IFERROR(__xludf.DUMMYFUNCTION("""COMPUTED_VALUE"""),"Windows 10")</f>
        <v>Windows 10</v>
      </c>
      <c r="L112" s="2" t="str">
        <f ca="1">IFERROR(__xludf.DUMMYFUNCTION("""COMPUTED_VALUE"""),"1.5kg")</f>
        <v>1.5kg</v>
      </c>
      <c r="M112" s="2">
        <f ca="1">IFERROR(__xludf.DUMMYFUNCTION("""COMPUTED_VALUE"""),1262)</f>
        <v>1262</v>
      </c>
    </row>
    <row r="113" spans="1:13">
      <c r="A113" s="2">
        <f ca="1">IFERROR(__xludf.DUMMYFUNCTION("""COMPUTED_VALUE"""),114)</f>
        <v>114</v>
      </c>
      <c r="B113" s="2" t="str">
        <f ca="1">IFERROR(__xludf.DUMMYFUNCTION("""COMPUTED_VALUE"""),"Dell")</f>
        <v>Dell</v>
      </c>
      <c r="C113" s="2" t="str">
        <f ca="1">IFERROR(__xludf.DUMMYFUNCTION("""COMPUTED_VALUE"""),"XPS 13")</f>
        <v>XPS 13</v>
      </c>
      <c r="D113" s="2" t="str">
        <f ca="1">IFERROR(__xludf.DUMMYFUNCTION("""COMPUTED_VALUE"""),"Ultrabook")</f>
        <v>Ultrabook</v>
      </c>
      <c r="E113" s="2">
        <f ca="1">IFERROR(__xludf.DUMMYFUNCTION("""COMPUTED_VALUE"""),13.3)</f>
        <v>13.3</v>
      </c>
      <c r="F113" s="2" t="str">
        <f ca="1">IFERROR(__xludf.DUMMYFUNCTION("""COMPUTED_VALUE"""),"Quad HD+ / Touchscreen 3200x1800")</f>
        <v>Quad HD+ / Touchscreen 3200x1800</v>
      </c>
      <c r="G113" s="2" t="str">
        <f ca="1">IFERROR(__xludf.DUMMYFUNCTION("""COMPUTED_VALUE"""),"Intel Core i7 7560U 2.4GHz")</f>
        <v>Intel Core i7 7560U 2.4GHz</v>
      </c>
      <c r="H113" s="2" t="str">
        <f ca="1">IFERROR(__xludf.DUMMYFUNCTION("""COMPUTED_VALUE"""),"8GB")</f>
        <v>8GB</v>
      </c>
      <c r="I113" s="2" t="str">
        <f ca="1">IFERROR(__xludf.DUMMYFUNCTION("""COMPUTED_VALUE"""),"256GB SSD")</f>
        <v>256GB SSD</v>
      </c>
      <c r="J113" s="2" t="str">
        <f ca="1">IFERROR(__xludf.DUMMYFUNCTION("""COMPUTED_VALUE"""),"Intel Iris Plus Graphics 640")</f>
        <v>Intel Iris Plus Graphics 640</v>
      </c>
      <c r="K113" s="2" t="str">
        <f ca="1">IFERROR(__xludf.DUMMYFUNCTION("""COMPUTED_VALUE"""),"Windows 10")</f>
        <v>Windows 10</v>
      </c>
      <c r="L113" s="2" t="str">
        <f ca="1">IFERROR(__xludf.DUMMYFUNCTION("""COMPUTED_VALUE"""),"1.23kg")</f>
        <v>1.23kg</v>
      </c>
      <c r="M113" s="2">
        <f ca="1">IFERROR(__xludf.DUMMYFUNCTION("""COMPUTED_VALUE"""),1379)</f>
        <v>1379</v>
      </c>
    </row>
    <row r="114" spans="1:13">
      <c r="A114" s="2">
        <f ca="1">IFERROR(__xludf.DUMMYFUNCTION("""COMPUTED_VALUE"""),115)</f>
        <v>115</v>
      </c>
      <c r="B114" s="2" t="str">
        <f ca="1">IFERROR(__xludf.DUMMYFUNCTION("""COMPUTED_VALUE"""),"Lenovo")</f>
        <v>Lenovo</v>
      </c>
      <c r="C114" s="2" t="str">
        <f ca="1">IFERROR(__xludf.DUMMYFUNCTION("""COMPUTED_VALUE"""),"ThinkPad Yoga")</f>
        <v>ThinkPad Yoga</v>
      </c>
      <c r="D114" s="2" t="str">
        <f ca="1">IFERROR(__xludf.DUMMYFUNCTION("""COMPUTED_VALUE"""),"2 in 1 Convertible")</f>
        <v>2 in 1 Convertible</v>
      </c>
      <c r="E114" s="2">
        <f ca="1">IFERROR(__xludf.DUMMYFUNCTION("""COMPUTED_VALUE"""),13.3)</f>
        <v>13.3</v>
      </c>
      <c r="F114" s="2" t="str">
        <f ca="1">IFERROR(__xludf.DUMMYFUNCTION("""COMPUTED_VALUE"""),"IPS Panel Full HD / Touchscreen 1920x1080")</f>
        <v>IPS Panel Full HD / Touchscreen 1920x1080</v>
      </c>
      <c r="G114" s="2" t="str">
        <f ca="1">IFERROR(__xludf.DUMMYFUNCTION("""COMPUTED_VALUE"""),"Intel Core i5 7200U 2.5GHz")</f>
        <v>Intel Core i5 7200U 2.5GHz</v>
      </c>
      <c r="H114" s="2" t="str">
        <f ca="1">IFERROR(__xludf.DUMMYFUNCTION("""COMPUTED_VALUE"""),"8GB")</f>
        <v>8GB</v>
      </c>
      <c r="I114" s="2" t="str">
        <f ca="1">IFERROR(__xludf.DUMMYFUNCTION("""COMPUTED_VALUE"""),"256GB SSD")</f>
        <v>256GB SSD</v>
      </c>
      <c r="J114" s="2" t="str">
        <f ca="1">IFERROR(__xludf.DUMMYFUNCTION("""COMPUTED_VALUE"""),"Intel HD Graphics 620")</f>
        <v>Intel HD Graphics 620</v>
      </c>
      <c r="K114" s="2" t="str">
        <f ca="1">IFERROR(__xludf.DUMMYFUNCTION("""COMPUTED_VALUE"""),"Windows 10")</f>
        <v>Windows 10</v>
      </c>
      <c r="L114" s="2" t="str">
        <f ca="1">IFERROR(__xludf.DUMMYFUNCTION("""COMPUTED_VALUE"""),"1.37kg")</f>
        <v>1.37kg</v>
      </c>
      <c r="M114" s="2">
        <f ca="1">IFERROR(__xludf.DUMMYFUNCTION("""COMPUTED_VALUE"""),1399)</f>
        <v>1399</v>
      </c>
    </row>
    <row r="115" spans="1:13">
      <c r="A115" s="2">
        <f ca="1">IFERROR(__xludf.DUMMYFUNCTION("""COMPUTED_VALUE"""),116)</f>
        <v>116</v>
      </c>
      <c r="B115" s="2" t="str">
        <f ca="1">IFERROR(__xludf.DUMMYFUNCTION("""COMPUTED_VALUE"""),"HP")</f>
        <v>HP</v>
      </c>
      <c r="C115" s="2" t="str">
        <f ca="1">IFERROR(__xludf.DUMMYFUNCTION("""COMPUTED_VALUE"""),"Probook 440")</f>
        <v>Probook 440</v>
      </c>
      <c r="D115" s="2" t="str">
        <f ca="1">IFERROR(__xludf.DUMMYFUNCTION("""COMPUTED_VALUE"""),"Notebook")</f>
        <v>Notebook</v>
      </c>
      <c r="E115" s="2">
        <f ca="1">IFERROR(__xludf.DUMMYFUNCTION("""COMPUTED_VALUE"""),14)</f>
        <v>14</v>
      </c>
      <c r="F115" s="2" t="str">
        <f ca="1">IFERROR(__xludf.DUMMYFUNCTION("""COMPUTED_VALUE"""),"IPS Panel 1366x768")</f>
        <v>IPS Panel 1366x768</v>
      </c>
      <c r="G115" s="2" t="str">
        <f ca="1">IFERROR(__xludf.DUMMYFUNCTION("""COMPUTED_VALUE"""),"Intel Core i5 8250U 1.6GHz")</f>
        <v>Intel Core i5 8250U 1.6GHz</v>
      </c>
      <c r="H115" s="2" t="str">
        <f ca="1">IFERROR(__xludf.DUMMYFUNCTION("""COMPUTED_VALUE"""),"4GB")</f>
        <v>4GB</v>
      </c>
      <c r="I115" s="2" t="str">
        <f ca="1">IFERROR(__xludf.DUMMYFUNCTION("""COMPUTED_VALUE"""),"500GB HDD")</f>
        <v>500GB HDD</v>
      </c>
      <c r="J115" s="2" t="str">
        <f ca="1">IFERROR(__xludf.DUMMYFUNCTION("""COMPUTED_VALUE"""),"Intel UHD Graphics 620")</f>
        <v>Intel UHD Graphics 620</v>
      </c>
      <c r="K115" s="2" t="str">
        <f ca="1">IFERROR(__xludf.DUMMYFUNCTION("""COMPUTED_VALUE"""),"Windows 10")</f>
        <v>Windows 10</v>
      </c>
      <c r="L115" s="2" t="str">
        <f ca="1">IFERROR(__xludf.DUMMYFUNCTION("""COMPUTED_VALUE"""),"1.63kg")</f>
        <v>1.63kg</v>
      </c>
      <c r="M115" s="2">
        <f ca="1">IFERROR(__xludf.DUMMYFUNCTION("""COMPUTED_VALUE"""),722)</f>
        <v>722</v>
      </c>
    </row>
    <row r="116" spans="1:13">
      <c r="A116" s="2">
        <f ca="1">IFERROR(__xludf.DUMMYFUNCTION("""COMPUTED_VALUE"""),117)</f>
        <v>117</v>
      </c>
      <c r="B116" s="2" t="str">
        <f ca="1">IFERROR(__xludf.DUMMYFUNCTION("""COMPUTED_VALUE"""),"Dell")</f>
        <v>Dell</v>
      </c>
      <c r="C116" s="2" t="str">
        <f ca="1">IFERROR(__xludf.DUMMYFUNCTION("""COMPUTED_VALUE"""),"XPS 13")</f>
        <v>XPS 13</v>
      </c>
      <c r="D116" s="2" t="str">
        <f ca="1">IFERROR(__xludf.DUMMYFUNCTION("""COMPUTED_VALUE"""),"Ultrabook")</f>
        <v>Ultrabook</v>
      </c>
      <c r="E116" s="2">
        <f ca="1">IFERROR(__xludf.DUMMYFUNCTION("""COMPUTED_VALUE"""),13.3)</f>
        <v>13.3</v>
      </c>
      <c r="F116" s="2" t="str">
        <f ca="1">IFERROR(__xludf.DUMMYFUNCTION("""COMPUTED_VALUE"""),"IPS Panel Full HD 1920x1080")</f>
        <v>IPS Panel Full HD 1920x1080</v>
      </c>
      <c r="G116" s="2" t="str">
        <f ca="1">IFERROR(__xludf.DUMMYFUNCTION("""COMPUTED_VALUE"""),"Intel Core i5 8250U 1.6GHz")</f>
        <v>Intel Core i5 8250U 1.6GHz</v>
      </c>
      <c r="H116" s="2" t="str">
        <f ca="1">IFERROR(__xludf.DUMMYFUNCTION("""COMPUTED_VALUE"""),"8GB")</f>
        <v>8GB</v>
      </c>
      <c r="I116" s="2" t="str">
        <f ca="1">IFERROR(__xludf.DUMMYFUNCTION("""COMPUTED_VALUE"""),"256GB SSD")</f>
        <v>256GB SSD</v>
      </c>
      <c r="J116" s="2" t="str">
        <f ca="1">IFERROR(__xludf.DUMMYFUNCTION("""COMPUTED_VALUE"""),"Intel UHD Graphics 620")</f>
        <v>Intel UHD Graphics 620</v>
      </c>
      <c r="K116" s="2" t="str">
        <f ca="1">IFERROR(__xludf.DUMMYFUNCTION("""COMPUTED_VALUE"""),"Windows 10")</f>
        <v>Windows 10</v>
      </c>
      <c r="L116" s="2" t="str">
        <f ca="1">IFERROR(__xludf.DUMMYFUNCTION("""COMPUTED_VALUE"""),"1.21kg")</f>
        <v>1.21kg</v>
      </c>
      <c r="M116" s="2">
        <f ca="1">IFERROR(__xludf.DUMMYFUNCTION("""COMPUTED_VALUE"""),1629)</f>
        <v>1629</v>
      </c>
    </row>
    <row r="117" spans="1:13">
      <c r="A117" s="2">
        <f ca="1">IFERROR(__xludf.DUMMYFUNCTION("""COMPUTED_VALUE"""),118)</f>
        <v>118</v>
      </c>
      <c r="B117" s="2" t="str">
        <f ca="1">IFERROR(__xludf.DUMMYFUNCTION("""COMPUTED_VALUE"""),"HP")</f>
        <v>HP</v>
      </c>
      <c r="C117" s="2" t="str">
        <f ca="1">IFERROR(__xludf.DUMMYFUNCTION("""COMPUTED_VALUE"""),"Spectre x360")</f>
        <v>Spectre x360</v>
      </c>
      <c r="D117" s="2" t="str">
        <f ca="1">IFERROR(__xludf.DUMMYFUNCTION("""COMPUTED_VALUE"""),"2 in 1 Convertible")</f>
        <v>2 in 1 Convertible</v>
      </c>
      <c r="E117" s="2">
        <f ca="1">IFERROR(__xludf.DUMMYFUNCTION("""COMPUTED_VALUE"""),13.3)</f>
        <v>13.3</v>
      </c>
      <c r="F117" s="2" t="str">
        <f ca="1">IFERROR(__xludf.DUMMYFUNCTION("""COMPUTED_VALUE"""),"IPS Panel Full HD / Touchscreen 1920x1080")</f>
        <v>IPS Panel Full HD / Touchscreen 1920x1080</v>
      </c>
      <c r="G117" s="2" t="str">
        <f ca="1">IFERROR(__xludf.DUMMYFUNCTION("""COMPUTED_VALUE"""),"Intel Core i5 8250U 1.6GHz")</f>
        <v>Intel Core i5 8250U 1.6GHz</v>
      </c>
      <c r="H117" s="2" t="str">
        <f ca="1">IFERROR(__xludf.DUMMYFUNCTION("""COMPUTED_VALUE"""),"8GB")</f>
        <v>8GB</v>
      </c>
      <c r="I117" s="2" t="str">
        <f ca="1">IFERROR(__xludf.DUMMYFUNCTION("""COMPUTED_VALUE"""),"256GB SSD")</f>
        <v>256GB SSD</v>
      </c>
      <c r="J117" s="2" t="str">
        <f ca="1">IFERROR(__xludf.DUMMYFUNCTION("""COMPUTED_VALUE"""),"Intel UHD Graphics 620")</f>
        <v>Intel UHD Graphics 620</v>
      </c>
      <c r="K117" s="2" t="str">
        <f ca="1">IFERROR(__xludf.DUMMYFUNCTION("""COMPUTED_VALUE"""),"Windows 10")</f>
        <v>Windows 10</v>
      </c>
      <c r="L117" s="2" t="str">
        <f ca="1">IFERROR(__xludf.DUMMYFUNCTION("""COMPUTED_VALUE"""),"1.26kg")</f>
        <v>1.26kg</v>
      </c>
      <c r="M117" s="2">
        <f ca="1">IFERROR(__xludf.DUMMYFUNCTION("""COMPUTED_VALUE"""),1398.99)</f>
        <v>1398.99</v>
      </c>
    </row>
    <row r="118" spans="1:13">
      <c r="A118" s="2">
        <f ca="1">IFERROR(__xludf.DUMMYFUNCTION("""COMPUTED_VALUE"""),119)</f>
        <v>119</v>
      </c>
      <c r="B118" s="2" t="str">
        <f ca="1">IFERROR(__xludf.DUMMYFUNCTION("""COMPUTED_VALUE"""),"HP")</f>
        <v>HP</v>
      </c>
      <c r="C118" s="2" t="str">
        <f ca="1">IFERROR(__xludf.DUMMYFUNCTION("""COMPUTED_VALUE"""),"Probook 440")</f>
        <v>Probook 440</v>
      </c>
      <c r="D118" s="2" t="str">
        <f ca="1">IFERROR(__xludf.DUMMYFUNCTION("""COMPUTED_VALUE"""),"Notebook")</f>
        <v>Notebook</v>
      </c>
      <c r="E118" s="2">
        <f ca="1">IFERROR(__xludf.DUMMYFUNCTION("""COMPUTED_VALUE"""),14)</f>
        <v>14</v>
      </c>
      <c r="F118" s="2" t="str">
        <f ca="1">IFERROR(__xludf.DUMMYFUNCTION("""COMPUTED_VALUE"""),"Full HD 1920x1080")</f>
        <v>Full HD 1920x1080</v>
      </c>
      <c r="G118" s="2" t="str">
        <f ca="1">IFERROR(__xludf.DUMMYFUNCTION("""COMPUTED_VALUE"""),"Intel Core i7 8550U 1.8GHz")</f>
        <v>Intel Core i7 8550U 1.8GHz</v>
      </c>
      <c r="H118" s="2" t="str">
        <f ca="1">IFERROR(__xludf.DUMMYFUNCTION("""COMPUTED_VALUE"""),"8GB")</f>
        <v>8GB</v>
      </c>
      <c r="I118" s="2" t="str">
        <f ca="1">IFERROR(__xludf.DUMMYFUNCTION("""COMPUTED_VALUE"""),"512GB SSD")</f>
        <v>512GB SSD</v>
      </c>
      <c r="J118" s="2" t="str">
        <f ca="1">IFERROR(__xludf.DUMMYFUNCTION("""COMPUTED_VALUE"""),"Intel UHD Graphics 620")</f>
        <v>Intel UHD Graphics 620</v>
      </c>
      <c r="K118" s="2" t="str">
        <f ca="1">IFERROR(__xludf.DUMMYFUNCTION("""COMPUTED_VALUE"""),"Windows 10")</f>
        <v>Windows 10</v>
      </c>
      <c r="L118" s="2" t="str">
        <f ca="1">IFERROR(__xludf.DUMMYFUNCTION("""COMPUTED_VALUE"""),"1.63kg")</f>
        <v>1.63kg</v>
      </c>
      <c r="M118" s="2">
        <f ca="1">IFERROR(__xludf.DUMMYFUNCTION("""COMPUTED_VALUE"""),1084)</f>
        <v>1084</v>
      </c>
    </row>
    <row r="119" spans="1:13">
      <c r="A119" s="2">
        <f ca="1">IFERROR(__xludf.DUMMYFUNCTION("""COMPUTED_VALUE"""),120)</f>
        <v>120</v>
      </c>
      <c r="B119" s="2" t="str">
        <f ca="1">IFERROR(__xludf.DUMMYFUNCTION("""COMPUTED_VALUE"""),"Dell")</f>
        <v>Dell</v>
      </c>
      <c r="C119" s="2" t="str">
        <f ca="1">IFERROR(__xludf.DUMMYFUNCTION("""COMPUTED_VALUE"""),"Inspiron 7570")</f>
        <v>Inspiron 7570</v>
      </c>
      <c r="D119" s="2" t="str">
        <f ca="1">IFERROR(__xludf.DUMMYFUNCTION("""COMPUTED_VALUE"""),"Notebook")</f>
        <v>Notebook</v>
      </c>
      <c r="E119" s="2">
        <f ca="1">IFERROR(__xludf.DUMMYFUNCTION("""COMPUTED_VALUE"""),15.6)</f>
        <v>15.6</v>
      </c>
      <c r="F119" s="2" t="str">
        <f ca="1">IFERROR(__xludf.DUMMYFUNCTION("""COMPUTED_VALUE"""),"IPS Panel Full HD 1920x1080")</f>
        <v>IPS Panel Full HD 1920x1080</v>
      </c>
      <c r="G119" s="2" t="str">
        <f ca="1">IFERROR(__xludf.DUMMYFUNCTION("""COMPUTED_VALUE"""),"Intel Core i7 8550U 1.8GHz")</f>
        <v>Intel Core i7 8550U 1.8GHz</v>
      </c>
      <c r="H119" s="2" t="str">
        <f ca="1">IFERROR(__xludf.DUMMYFUNCTION("""COMPUTED_VALUE"""),"8GB")</f>
        <v>8GB</v>
      </c>
      <c r="I119" s="2" t="str">
        <f ca="1">IFERROR(__xludf.DUMMYFUNCTION("""COMPUTED_VALUE"""),"256GB SSD +  1TB HDD")</f>
        <v>256GB SSD +  1TB HDD</v>
      </c>
      <c r="J119" s="2" t="str">
        <f ca="1">IFERROR(__xludf.DUMMYFUNCTION("""COMPUTED_VALUE"""),"Nvidia GeForce 940MX")</f>
        <v>Nvidia GeForce 940MX</v>
      </c>
      <c r="K119" s="2" t="str">
        <f ca="1">IFERROR(__xludf.DUMMYFUNCTION("""COMPUTED_VALUE"""),"Windows 10")</f>
        <v>Windows 10</v>
      </c>
      <c r="L119" s="2" t="str">
        <f ca="1">IFERROR(__xludf.DUMMYFUNCTION("""COMPUTED_VALUE"""),"2.16kg")</f>
        <v>2.16kg</v>
      </c>
      <c r="M119" s="2">
        <f ca="1">IFERROR(__xludf.DUMMYFUNCTION("""COMPUTED_VALUE"""),1130.33)</f>
        <v>1130.33</v>
      </c>
    </row>
    <row r="120" spans="1:13">
      <c r="A120" s="2">
        <f ca="1">IFERROR(__xludf.DUMMYFUNCTION("""COMPUTED_VALUE"""),121)</f>
        <v>121</v>
      </c>
      <c r="B120" s="2" t="str">
        <f ca="1">IFERROR(__xludf.DUMMYFUNCTION("""COMPUTED_VALUE"""),"Asus")</f>
        <v>Asus</v>
      </c>
      <c r="C120" s="2" t="str">
        <f ca="1">IFERROR(__xludf.DUMMYFUNCTION("""COMPUTED_VALUE"""),"X705UV-BX074T (i3-6006U/4GB/1TB/GeForce")</f>
        <v>X705UV-BX074T (i3-6006U/4GB/1TB/GeForce</v>
      </c>
      <c r="D120" s="2" t="str">
        <f ca="1">IFERROR(__xludf.DUMMYFUNCTION("""COMPUTED_VALUE"""),"Notebook")</f>
        <v>Notebook</v>
      </c>
      <c r="E120" s="2">
        <f ca="1">IFERROR(__xludf.DUMMYFUNCTION("""COMPUTED_VALUE"""),17.3)</f>
        <v>17.3</v>
      </c>
      <c r="F120" s="2" t="str">
        <f ca="1">IFERROR(__xludf.DUMMYFUNCTION("""COMPUTED_VALUE"""),"Full HD 1920x1080")</f>
        <v>Full HD 1920x1080</v>
      </c>
      <c r="G120" s="2" t="str">
        <f ca="1">IFERROR(__xludf.DUMMYFUNCTION("""COMPUTED_VALUE"""),"Intel Core i3 6006U 2GHz")</f>
        <v>Intel Core i3 6006U 2GHz</v>
      </c>
      <c r="H120" s="2" t="str">
        <f ca="1">IFERROR(__xludf.DUMMYFUNCTION("""COMPUTED_VALUE"""),"4GB")</f>
        <v>4GB</v>
      </c>
      <c r="I120" s="2" t="str">
        <f ca="1">IFERROR(__xludf.DUMMYFUNCTION("""COMPUTED_VALUE"""),"1TB HDD")</f>
        <v>1TB HDD</v>
      </c>
      <c r="J120" s="2" t="str">
        <f ca="1">IFERROR(__xludf.DUMMYFUNCTION("""COMPUTED_VALUE"""),"Nvidia GeForce 920MX")</f>
        <v>Nvidia GeForce 920MX</v>
      </c>
      <c r="K120" s="2" t="str">
        <f ca="1">IFERROR(__xludf.DUMMYFUNCTION("""COMPUTED_VALUE"""),"Windows 10")</f>
        <v>Windows 10</v>
      </c>
      <c r="L120" s="2" t="str">
        <f ca="1">IFERROR(__xludf.DUMMYFUNCTION("""COMPUTED_VALUE"""),"2kg")</f>
        <v>2kg</v>
      </c>
      <c r="M120" s="2">
        <f ca="1">IFERROR(__xludf.DUMMYFUNCTION("""COMPUTED_VALUE"""),564)</f>
        <v>564</v>
      </c>
    </row>
    <row r="121" spans="1:13">
      <c r="A121" s="2">
        <f ca="1">IFERROR(__xludf.DUMMYFUNCTION("""COMPUTED_VALUE"""),122)</f>
        <v>122</v>
      </c>
      <c r="B121" s="2" t="str">
        <f ca="1">IFERROR(__xludf.DUMMYFUNCTION("""COMPUTED_VALUE"""),"Asus")</f>
        <v>Asus</v>
      </c>
      <c r="C121" s="2" t="str">
        <f ca="1">IFERROR(__xludf.DUMMYFUNCTION("""COMPUTED_VALUE"""),"VivoBook S15")</f>
        <v>VivoBook S15</v>
      </c>
      <c r="D121" s="2" t="str">
        <f ca="1">IFERROR(__xludf.DUMMYFUNCTION("""COMPUTED_VALUE"""),"Notebook")</f>
        <v>Notebook</v>
      </c>
      <c r="E121" s="2">
        <f ca="1">IFERROR(__xludf.DUMMYFUNCTION("""COMPUTED_VALUE"""),15.6)</f>
        <v>15.6</v>
      </c>
      <c r="F121" s="2" t="str">
        <f ca="1">IFERROR(__xludf.DUMMYFUNCTION("""COMPUTED_VALUE"""),"Full HD 1920x1080")</f>
        <v>Full HD 1920x1080</v>
      </c>
      <c r="G121" s="2" t="str">
        <f ca="1">IFERROR(__xludf.DUMMYFUNCTION("""COMPUTED_VALUE"""),"Intel Core i7 8550U 1.8GHz")</f>
        <v>Intel Core i7 8550U 1.8GHz</v>
      </c>
      <c r="H121" s="2" t="str">
        <f ca="1">IFERROR(__xludf.DUMMYFUNCTION("""COMPUTED_VALUE"""),"8GB")</f>
        <v>8GB</v>
      </c>
      <c r="I121" s="2" t="str">
        <f ca="1">IFERROR(__xludf.DUMMYFUNCTION("""COMPUTED_VALUE"""),"256GB SSD")</f>
        <v>256GB SSD</v>
      </c>
      <c r="J121" s="2" t="str">
        <f ca="1">IFERROR(__xludf.DUMMYFUNCTION("""COMPUTED_VALUE"""),"Nvidia GeForce 940MX")</f>
        <v>Nvidia GeForce 940MX</v>
      </c>
      <c r="K121" s="2" t="str">
        <f ca="1">IFERROR(__xludf.DUMMYFUNCTION("""COMPUTED_VALUE"""),"Windows 10")</f>
        <v>Windows 10</v>
      </c>
      <c r="L121" s="2" t="str">
        <f ca="1">IFERROR(__xludf.DUMMYFUNCTION("""COMPUTED_VALUE"""),"1.7kg")</f>
        <v>1.7kg</v>
      </c>
      <c r="M121" s="2">
        <f ca="1">IFERROR(__xludf.DUMMYFUNCTION("""COMPUTED_VALUE"""),1118)</f>
        <v>1118</v>
      </c>
    </row>
    <row r="122" spans="1:13">
      <c r="A122" s="2">
        <f ca="1">IFERROR(__xludf.DUMMYFUNCTION("""COMPUTED_VALUE"""),123)</f>
        <v>123</v>
      </c>
      <c r="B122" s="2" t="str">
        <f ca="1">IFERROR(__xludf.DUMMYFUNCTION("""COMPUTED_VALUE"""),"Acer")</f>
        <v>Acer</v>
      </c>
      <c r="C122" s="2" t="str">
        <f ca="1">IFERROR(__xludf.DUMMYFUNCTION("""COMPUTED_VALUE"""),"Spin 3")</f>
        <v>Spin 3</v>
      </c>
      <c r="D122" s="2" t="str">
        <f ca="1">IFERROR(__xludf.DUMMYFUNCTION("""COMPUTED_VALUE"""),"Notebook")</f>
        <v>Notebook</v>
      </c>
      <c r="E122" s="2">
        <f ca="1">IFERROR(__xludf.DUMMYFUNCTION("""COMPUTED_VALUE"""),15.6)</f>
        <v>15.6</v>
      </c>
      <c r="F122" s="2" t="str">
        <f ca="1">IFERROR(__xludf.DUMMYFUNCTION("""COMPUTED_VALUE"""),"IPS Panel Full HD / Touchscreen 1920x1080")</f>
        <v>IPS Panel Full HD / Touchscreen 1920x1080</v>
      </c>
      <c r="G122" s="2" t="str">
        <f ca="1">IFERROR(__xludf.DUMMYFUNCTION("""COMPUTED_VALUE"""),"Intel Core i3 7100U 2.4GHz")</f>
        <v>Intel Core i3 7100U 2.4GHz</v>
      </c>
      <c r="H122" s="2" t="str">
        <f ca="1">IFERROR(__xludf.DUMMYFUNCTION("""COMPUTED_VALUE"""),"6GB")</f>
        <v>6GB</v>
      </c>
      <c r="I122" s="2" t="str">
        <f ca="1">IFERROR(__xludf.DUMMYFUNCTION("""COMPUTED_VALUE"""),"1TB HDD")</f>
        <v>1TB HDD</v>
      </c>
      <c r="J122" s="2" t="str">
        <f ca="1">IFERROR(__xludf.DUMMYFUNCTION("""COMPUTED_VALUE"""),"Intel HD Graphics 620")</f>
        <v>Intel HD Graphics 620</v>
      </c>
      <c r="K122" s="2" t="str">
        <f ca="1">IFERROR(__xludf.DUMMYFUNCTION("""COMPUTED_VALUE"""),"Windows 10")</f>
        <v>Windows 10</v>
      </c>
      <c r="L122" s="2" t="str">
        <f ca="1">IFERROR(__xludf.DUMMYFUNCTION("""COMPUTED_VALUE"""),"2.1kg")</f>
        <v>2.1kg</v>
      </c>
      <c r="M122" s="2">
        <f ca="1">IFERROR(__xludf.DUMMYFUNCTION("""COMPUTED_VALUE"""),479)</f>
        <v>479</v>
      </c>
    </row>
    <row r="123" spans="1:13">
      <c r="A123" s="2">
        <f ca="1">IFERROR(__xludf.DUMMYFUNCTION("""COMPUTED_VALUE"""),124)</f>
        <v>124</v>
      </c>
      <c r="B123" s="2" t="str">
        <f ca="1">IFERROR(__xludf.DUMMYFUNCTION("""COMPUTED_VALUE"""),"MSI")</f>
        <v>MSI</v>
      </c>
      <c r="C123" s="2" t="str">
        <f ca="1">IFERROR(__xludf.DUMMYFUNCTION("""COMPUTED_VALUE"""),"GS63VR 7RG")</f>
        <v>GS63VR 7RG</v>
      </c>
      <c r="D123" s="2" t="str">
        <f ca="1">IFERROR(__xludf.DUMMYFUNCTION("""COMPUTED_VALUE"""),"Gaming")</f>
        <v>Gaming</v>
      </c>
      <c r="E123" s="2">
        <f ca="1">IFERROR(__xludf.DUMMYFUNCTION("""COMPUTED_VALUE"""),15.6)</f>
        <v>15.6</v>
      </c>
      <c r="F123" s="2" t="str">
        <f ca="1">IFERROR(__xludf.DUMMYFUNCTION("""COMPUTED_VALUE"""),"Full HD 1920x1080")</f>
        <v>Full HD 1920x1080</v>
      </c>
      <c r="G123" s="2" t="str">
        <f ca="1">IFERROR(__xludf.DUMMYFUNCTION("""COMPUTED_VALUE"""),"Intel Core i7 7700HQ 2.8GHz")</f>
        <v>Intel Core i7 7700HQ 2.8GHz</v>
      </c>
      <c r="H123" s="2" t="str">
        <f ca="1">IFERROR(__xludf.DUMMYFUNCTION("""COMPUTED_VALUE"""),"16GB")</f>
        <v>16GB</v>
      </c>
      <c r="I123" s="2" t="str">
        <f ca="1">IFERROR(__xludf.DUMMYFUNCTION("""COMPUTED_VALUE"""),"256GB SSD +  2TB HDD")</f>
        <v>256GB SSD +  2TB HDD</v>
      </c>
      <c r="J123" s="2" t="str">
        <f ca="1">IFERROR(__xludf.DUMMYFUNCTION("""COMPUTED_VALUE"""),"Nvidia GeForce GTX 1070")</f>
        <v>Nvidia GeForce GTX 1070</v>
      </c>
      <c r="K123" s="2" t="str">
        <f ca="1">IFERROR(__xludf.DUMMYFUNCTION("""COMPUTED_VALUE"""),"Windows 10")</f>
        <v>Windows 10</v>
      </c>
      <c r="L123" s="2" t="str">
        <f ca="1">IFERROR(__xludf.DUMMYFUNCTION("""COMPUTED_VALUE"""),"1.8kg")</f>
        <v>1.8kg</v>
      </c>
      <c r="M123" s="2">
        <f ca="1">IFERROR(__xludf.DUMMYFUNCTION("""COMPUTED_VALUE"""),2241.5)</f>
        <v>2241.5</v>
      </c>
    </row>
    <row r="124" spans="1:13">
      <c r="A124" s="2">
        <f ca="1">IFERROR(__xludf.DUMMYFUNCTION("""COMPUTED_VALUE"""),125)</f>
        <v>125</v>
      </c>
      <c r="B124" s="2" t="str">
        <f ca="1">IFERROR(__xludf.DUMMYFUNCTION("""COMPUTED_VALUE"""),"Lenovo")</f>
        <v>Lenovo</v>
      </c>
      <c r="C124" s="2" t="str">
        <f ca="1">IFERROR(__xludf.DUMMYFUNCTION("""COMPUTED_VALUE"""),"IdeaPad 320-15IKBN")</f>
        <v>IdeaPad 320-15IKBN</v>
      </c>
      <c r="D124" s="2" t="str">
        <f ca="1">IFERROR(__xludf.DUMMYFUNCTION("""COMPUTED_VALUE"""),"Notebook")</f>
        <v>Notebook</v>
      </c>
      <c r="E124" s="2">
        <f ca="1">IFERROR(__xludf.DUMMYFUNCTION("""COMPUTED_VALUE"""),15.6)</f>
        <v>15.6</v>
      </c>
      <c r="F124" s="2" t="str">
        <f ca="1">IFERROR(__xludf.DUMMYFUNCTION("""COMPUTED_VALUE"""),"Full HD 1920x1080")</f>
        <v>Full HD 1920x1080</v>
      </c>
      <c r="G124" s="2" t="str">
        <f ca="1">IFERROR(__xludf.DUMMYFUNCTION("""COMPUTED_VALUE"""),"Intel Core i5 7200U 2.5GHz")</f>
        <v>Intel Core i5 7200U 2.5GHz</v>
      </c>
      <c r="H124" s="2" t="str">
        <f ca="1">IFERROR(__xludf.DUMMYFUNCTION("""COMPUTED_VALUE"""),"8GB")</f>
        <v>8GB</v>
      </c>
      <c r="I124" s="2" t="str">
        <f ca="1">IFERROR(__xludf.DUMMYFUNCTION("""COMPUTED_VALUE"""),"256GB SSD")</f>
        <v>256GB SSD</v>
      </c>
      <c r="J124" s="2" t="str">
        <f ca="1">IFERROR(__xludf.DUMMYFUNCTION("""COMPUTED_VALUE"""),"Nvidia GeForce 940MX")</f>
        <v>Nvidia GeForce 940MX</v>
      </c>
      <c r="K124" s="2" t="str">
        <f ca="1">IFERROR(__xludf.DUMMYFUNCTION("""COMPUTED_VALUE"""),"No OS")</f>
        <v>No OS</v>
      </c>
      <c r="L124" s="2" t="str">
        <f ca="1">IFERROR(__xludf.DUMMYFUNCTION("""COMPUTED_VALUE"""),"2.2kg")</f>
        <v>2.2kg</v>
      </c>
      <c r="M124" s="2">
        <f ca="1">IFERROR(__xludf.DUMMYFUNCTION("""COMPUTED_VALUE"""),629)</f>
        <v>629</v>
      </c>
    </row>
    <row r="125" spans="1:13">
      <c r="A125" s="2">
        <f ca="1">IFERROR(__xludf.DUMMYFUNCTION("""COMPUTED_VALUE"""),126)</f>
        <v>126</v>
      </c>
      <c r="B125" s="2" t="str">
        <f ca="1">IFERROR(__xludf.DUMMYFUNCTION("""COMPUTED_VALUE"""),"HP")</f>
        <v>HP</v>
      </c>
      <c r="C125" s="2" t="str">
        <f ca="1">IFERROR(__xludf.DUMMYFUNCTION("""COMPUTED_VALUE"""),"Probook 470")</f>
        <v>Probook 470</v>
      </c>
      <c r="D125" s="2" t="str">
        <f ca="1">IFERROR(__xludf.DUMMYFUNCTION("""COMPUTED_VALUE"""),"Notebook")</f>
        <v>Notebook</v>
      </c>
      <c r="E125" s="2">
        <f ca="1">IFERROR(__xludf.DUMMYFUNCTION("""COMPUTED_VALUE"""),17.3)</f>
        <v>17.3</v>
      </c>
      <c r="F125" s="2" t="str">
        <f ca="1">IFERROR(__xludf.DUMMYFUNCTION("""COMPUTED_VALUE"""),"Full HD 1920x1080")</f>
        <v>Full HD 1920x1080</v>
      </c>
      <c r="G125" s="2" t="str">
        <f ca="1">IFERROR(__xludf.DUMMYFUNCTION("""COMPUTED_VALUE"""),"Intel Core i7 8550U 1.8GHz")</f>
        <v>Intel Core i7 8550U 1.8GHz</v>
      </c>
      <c r="H125" s="2" t="str">
        <f ca="1">IFERROR(__xludf.DUMMYFUNCTION("""COMPUTED_VALUE"""),"16GB")</f>
        <v>16GB</v>
      </c>
      <c r="I125" s="2" t="str">
        <f ca="1">IFERROR(__xludf.DUMMYFUNCTION("""COMPUTED_VALUE"""),"512GB SSD")</f>
        <v>512GB SSD</v>
      </c>
      <c r="J125" s="2" t="str">
        <f ca="1">IFERROR(__xludf.DUMMYFUNCTION("""COMPUTED_VALUE"""),"Nvidia GeForce 930MX ")</f>
        <v xml:space="preserve">Nvidia GeForce 930MX </v>
      </c>
      <c r="K125" s="2" t="str">
        <f ca="1">IFERROR(__xludf.DUMMYFUNCTION("""COMPUTED_VALUE"""),"Windows 10")</f>
        <v>Windows 10</v>
      </c>
      <c r="L125" s="2" t="str">
        <f ca="1">IFERROR(__xludf.DUMMYFUNCTION("""COMPUTED_VALUE"""),"2.5kg")</f>
        <v>2.5kg</v>
      </c>
      <c r="M125" s="2">
        <f ca="1">IFERROR(__xludf.DUMMYFUNCTION("""COMPUTED_VALUE"""),1271)</f>
        <v>1271</v>
      </c>
    </row>
    <row r="126" spans="1:13">
      <c r="A126" s="2">
        <f ca="1">IFERROR(__xludf.DUMMYFUNCTION("""COMPUTED_VALUE"""),127)</f>
        <v>127</v>
      </c>
      <c r="B126" s="2" t="str">
        <f ca="1">IFERROR(__xludf.DUMMYFUNCTION("""COMPUTED_VALUE"""),"Acer")</f>
        <v>Acer</v>
      </c>
      <c r="C126" s="2" t="str">
        <f ca="1">IFERROR(__xludf.DUMMYFUNCTION("""COMPUTED_VALUE"""),"Aspire 3")</f>
        <v>Aspire 3</v>
      </c>
      <c r="D126" s="2" t="str">
        <f ca="1">IFERROR(__xludf.DUMMYFUNCTION("""COMPUTED_VALUE"""),"Notebook")</f>
        <v>Notebook</v>
      </c>
      <c r="E126" s="2">
        <f ca="1">IFERROR(__xludf.DUMMYFUNCTION("""COMPUTED_VALUE"""),15.6)</f>
        <v>15.6</v>
      </c>
      <c r="F126" s="2" t="str">
        <f ca="1">IFERROR(__xludf.DUMMYFUNCTION("""COMPUTED_VALUE"""),"1366x768")</f>
        <v>1366x768</v>
      </c>
      <c r="G126" s="2" t="str">
        <f ca="1">IFERROR(__xludf.DUMMYFUNCTION("""COMPUTED_VALUE"""),"AMD A9-Series 9420 3GHz")</f>
        <v>AMD A9-Series 9420 3GHz</v>
      </c>
      <c r="H126" s="2" t="str">
        <f ca="1">IFERROR(__xludf.DUMMYFUNCTION("""COMPUTED_VALUE"""),"4GB")</f>
        <v>4GB</v>
      </c>
      <c r="I126" s="2" t="str">
        <f ca="1">IFERROR(__xludf.DUMMYFUNCTION("""COMPUTED_VALUE"""),"256GB SSD")</f>
        <v>256GB SSD</v>
      </c>
      <c r="J126" s="2" t="str">
        <f ca="1">IFERROR(__xludf.DUMMYFUNCTION("""COMPUTED_VALUE"""),"AMD Radeon R5")</f>
        <v>AMD Radeon R5</v>
      </c>
      <c r="K126" s="2" t="str">
        <f ca="1">IFERROR(__xludf.DUMMYFUNCTION("""COMPUTED_VALUE"""),"Windows 10")</f>
        <v>Windows 10</v>
      </c>
      <c r="L126" s="2" t="str">
        <f ca="1">IFERROR(__xludf.DUMMYFUNCTION("""COMPUTED_VALUE"""),"2.1kg")</f>
        <v>2.1kg</v>
      </c>
      <c r="M126" s="2">
        <f ca="1">IFERROR(__xludf.DUMMYFUNCTION("""COMPUTED_VALUE"""),451)</f>
        <v>451</v>
      </c>
    </row>
    <row r="127" spans="1:13">
      <c r="A127" s="2">
        <f ca="1">IFERROR(__xludf.DUMMYFUNCTION("""COMPUTED_VALUE"""),128)</f>
        <v>128</v>
      </c>
      <c r="B127" s="2" t="str">
        <f ca="1">IFERROR(__xludf.DUMMYFUNCTION("""COMPUTED_VALUE"""),"HP")</f>
        <v>HP</v>
      </c>
      <c r="C127" s="2" t="str">
        <f ca="1">IFERROR(__xludf.DUMMYFUNCTION("""COMPUTED_VALUE"""),"250 G6")</f>
        <v>250 G6</v>
      </c>
      <c r="D127" s="2" t="str">
        <f ca="1">IFERROR(__xludf.DUMMYFUNCTION("""COMPUTED_VALUE"""),"Notebook")</f>
        <v>Notebook</v>
      </c>
      <c r="E127" s="2">
        <f ca="1">IFERROR(__xludf.DUMMYFUNCTION("""COMPUTED_VALUE"""),15.6)</f>
        <v>15.6</v>
      </c>
      <c r="F127" s="2" t="str">
        <f ca="1">IFERROR(__xludf.DUMMYFUNCTION("""COMPUTED_VALUE"""),"1366x768")</f>
        <v>1366x768</v>
      </c>
      <c r="G127" s="2" t="str">
        <f ca="1">IFERROR(__xludf.DUMMYFUNCTION("""COMPUTED_VALUE"""),"Intel Celeron Dual Core N3060 1.6GHz")</f>
        <v>Intel Celeron Dual Core N3060 1.6GHz</v>
      </c>
      <c r="H127" s="2" t="str">
        <f ca="1">IFERROR(__xludf.DUMMYFUNCTION("""COMPUTED_VALUE"""),"4GB")</f>
        <v>4GB</v>
      </c>
      <c r="I127" s="2" t="str">
        <f ca="1">IFERROR(__xludf.DUMMYFUNCTION("""COMPUTED_VALUE"""),"500GB HDD")</f>
        <v>500GB HDD</v>
      </c>
      <c r="J127" s="2" t="str">
        <f ca="1">IFERROR(__xludf.DUMMYFUNCTION("""COMPUTED_VALUE"""),"Intel HD Graphics 400")</f>
        <v>Intel HD Graphics 400</v>
      </c>
      <c r="K127" s="2" t="str">
        <f ca="1">IFERROR(__xludf.DUMMYFUNCTION("""COMPUTED_VALUE"""),"No OS")</f>
        <v>No OS</v>
      </c>
      <c r="L127" s="2" t="str">
        <f ca="1">IFERROR(__xludf.DUMMYFUNCTION("""COMPUTED_VALUE"""),"1.86kg")</f>
        <v>1.86kg</v>
      </c>
      <c r="M127" s="2">
        <f ca="1">IFERROR(__xludf.DUMMYFUNCTION("""COMPUTED_VALUE"""),259)</f>
        <v>259</v>
      </c>
    </row>
    <row r="128" spans="1:13">
      <c r="A128" s="2">
        <f ca="1">IFERROR(__xludf.DUMMYFUNCTION("""COMPUTED_VALUE"""),129)</f>
        <v>129</v>
      </c>
      <c r="B128" s="2" t="str">
        <f ca="1">IFERROR(__xludf.DUMMYFUNCTION("""COMPUTED_VALUE"""),"HP")</f>
        <v>HP</v>
      </c>
      <c r="C128" s="2" t="str">
        <f ca="1">IFERROR(__xludf.DUMMYFUNCTION("""COMPUTED_VALUE"""),"Probook 440")</f>
        <v>Probook 440</v>
      </c>
      <c r="D128" s="2" t="str">
        <f ca="1">IFERROR(__xludf.DUMMYFUNCTION("""COMPUTED_VALUE"""),"Notebook")</f>
        <v>Notebook</v>
      </c>
      <c r="E128" s="2">
        <f ca="1">IFERROR(__xludf.DUMMYFUNCTION("""COMPUTED_VALUE"""),14)</f>
        <v>14</v>
      </c>
      <c r="F128" s="2" t="str">
        <f ca="1">IFERROR(__xludf.DUMMYFUNCTION("""COMPUTED_VALUE"""),"Full HD 1920x1080")</f>
        <v>Full HD 1920x1080</v>
      </c>
      <c r="G128" s="2" t="str">
        <f ca="1">IFERROR(__xludf.DUMMYFUNCTION("""COMPUTED_VALUE"""),"Intel Core i5 8250U 1.6GHz")</f>
        <v>Intel Core i5 8250U 1.6GHz</v>
      </c>
      <c r="H128" s="2" t="str">
        <f ca="1">IFERROR(__xludf.DUMMYFUNCTION("""COMPUTED_VALUE"""),"8GB")</f>
        <v>8GB</v>
      </c>
      <c r="I128" s="2" t="str">
        <f ca="1">IFERROR(__xludf.DUMMYFUNCTION("""COMPUTED_VALUE"""),"1TB HDD")</f>
        <v>1TB HDD</v>
      </c>
      <c r="J128" s="2" t="str">
        <f ca="1">IFERROR(__xludf.DUMMYFUNCTION("""COMPUTED_VALUE"""),"Intel UHD Graphics 620")</f>
        <v>Intel UHD Graphics 620</v>
      </c>
      <c r="K128" s="2" t="str">
        <f ca="1">IFERROR(__xludf.DUMMYFUNCTION("""COMPUTED_VALUE"""),"Windows 10")</f>
        <v>Windows 10</v>
      </c>
      <c r="L128" s="2" t="str">
        <f ca="1">IFERROR(__xludf.DUMMYFUNCTION("""COMPUTED_VALUE"""),"1.63kg")</f>
        <v>1.63kg</v>
      </c>
      <c r="M128" s="2">
        <f ca="1">IFERROR(__xludf.DUMMYFUNCTION("""COMPUTED_VALUE"""),812)</f>
        <v>812</v>
      </c>
    </row>
    <row r="129" spans="1:13">
      <c r="A129" s="2">
        <f ca="1">IFERROR(__xludf.DUMMYFUNCTION("""COMPUTED_VALUE"""),130)</f>
        <v>130</v>
      </c>
      <c r="B129" s="2" t="str">
        <f ca="1">IFERROR(__xludf.DUMMYFUNCTION("""COMPUTED_VALUE"""),"Asus")</f>
        <v>Asus</v>
      </c>
      <c r="C129" s="2" t="str">
        <f ca="1">IFERROR(__xludf.DUMMYFUNCTION("""COMPUTED_VALUE"""),"E402WA-GA007T (E2-6110/4GB/64GB/W10")</f>
        <v>E402WA-GA007T (E2-6110/4GB/64GB/W10</v>
      </c>
      <c r="D129" s="2" t="str">
        <f ca="1">IFERROR(__xludf.DUMMYFUNCTION("""COMPUTED_VALUE"""),"Notebook")</f>
        <v>Notebook</v>
      </c>
      <c r="E129" s="2">
        <f ca="1">IFERROR(__xludf.DUMMYFUNCTION("""COMPUTED_VALUE"""),14)</f>
        <v>14</v>
      </c>
      <c r="F129" s="2" t="str">
        <f ca="1">IFERROR(__xludf.DUMMYFUNCTION("""COMPUTED_VALUE"""),"1366x768")</f>
        <v>1366x768</v>
      </c>
      <c r="G129" s="2" t="str">
        <f ca="1">IFERROR(__xludf.DUMMYFUNCTION("""COMPUTED_VALUE"""),"AMD E-Series 6110 1.5GHz")</f>
        <v>AMD E-Series 6110 1.5GHz</v>
      </c>
      <c r="H129" s="2" t="str">
        <f ca="1">IFERROR(__xludf.DUMMYFUNCTION("""COMPUTED_VALUE"""),"4GB")</f>
        <v>4GB</v>
      </c>
      <c r="I129" s="2" t="str">
        <f ca="1">IFERROR(__xludf.DUMMYFUNCTION("""COMPUTED_VALUE"""),"64GB SSD")</f>
        <v>64GB SSD</v>
      </c>
      <c r="J129" s="2" t="str">
        <f ca="1">IFERROR(__xludf.DUMMYFUNCTION("""COMPUTED_VALUE"""),"AMD Radeon R2")</f>
        <v>AMD Radeon R2</v>
      </c>
      <c r="K129" s="2" t="str">
        <f ca="1">IFERROR(__xludf.DUMMYFUNCTION("""COMPUTED_VALUE"""),"Windows 10 S")</f>
        <v>Windows 10 S</v>
      </c>
      <c r="L129" s="2" t="str">
        <f ca="1">IFERROR(__xludf.DUMMYFUNCTION("""COMPUTED_VALUE"""),"1.65kg")</f>
        <v>1.65kg</v>
      </c>
      <c r="M129" s="2">
        <f ca="1">IFERROR(__xludf.DUMMYFUNCTION("""COMPUTED_VALUE"""),277.99)</f>
        <v>277.99</v>
      </c>
    </row>
    <row r="130" spans="1:13">
      <c r="A130" s="2">
        <f ca="1">IFERROR(__xludf.DUMMYFUNCTION("""COMPUTED_VALUE"""),131)</f>
        <v>131</v>
      </c>
      <c r="B130" s="2" t="str">
        <f ca="1">IFERROR(__xludf.DUMMYFUNCTION("""COMPUTED_VALUE"""),"Dell")</f>
        <v>Dell</v>
      </c>
      <c r="C130" s="2" t="str">
        <f ca="1">IFERROR(__xludf.DUMMYFUNCTION("""COMPUTED_VALUE"""),"Inspiron 5770")</f>
        <v>Inspiron 5770</v>
      </c>
      <c r="D130" s="2" t="str">
        <f ca="1">IFERROR(__xludf.DUMMYFUNCTION("""COMPUTED_VALUE"""),"Notebook")</f>
        <v>Notebook</v>
      </c>
      <c r="E130" s="2">
        <f ca="1">IFERROR(__xludf.DUMMYFUNCTION("""COMPUTED_VALUE"""),17.3)</f>
        <v>17.3</v>
      </c>
      <c r="F130" s="2" t="str">
        <f ca="1">IFERROR(__xludf.DUMMYFUNCTION("""COMPUTED_VALUE"""),"Full HD 1920x1080")</f>
        <v>Full HD 1920x1080</v>
      </c>
      <c r="G130" s="2" t="str">
        <f ca="1">IFERROR(__xludf.DUMMYFUNCTION("""COMPUTED_VALUE"""),"Intel Core i7 8550U 1.8GHz")</f>
        <v>Intel Core i7 8550U 1.8GHz</v>
      </c>
      <c r="H130" s="2" t="str">
        <f ca="1">IFERROR(__xludf.DUMMYFUNCTION("""COMPUTED_VALUE"""),"16GB")</f>
        <v>16GB</v>
      </c>
      <c r="I130" s="2" t="str">
        <f ca="1">IFERROR(__xludf.DUMMYFUNCTION("""COMPUTED_VALUE"""),"256GB SSD +  2TB HDD")</f>
        <v>256GB SSD +  2TB HDD</v>
      </c>
      <c r="J130" s="2" t="str">
        <f ca="1">IFERROR(__xludf.DUMMYFUNCTION("""COMPUTED_VALUE"""),"AMD Radeon 530")</f>
        <v>AMD Radeon 530</v>
      </c>
      <c r="K130" s="2" t="str">
        <f ca="1">IFERROR(__xludf.DUMMYFUNCTION("""COMPUTED_VALUE"""),"Windows 10")</f>
        <v>Windows 10</v>
      </c>
      <c r="L130" s="2" t="str">
        <f ca="1">IFERROR(__xludf.DUMMYFUNCTION("""COMPUTED_VALUE"""),"2.8kg")</f>
        <v>2.8kg</v>
      </c>
      <c r="M130" s="2">
        <f ca="1">IFERROR(__xludf.DUMMYFUNCTION("""COMPUTED_VALUE"""),1396)</f>
        <v>1396</v>
      </c>
    </row>
    <row r="131" spans="1:13">
      <c r="A131" s="2">
        <f ca="1">IFERROR(__xludf.DUMMYFUNCTION("""COMPUTED_VALUE"""),132)</f>
        <v>132</v>
      </c>
      <c r="B131" s="2" t="str">
        <f ca="1">IFERROR(__xludf.DUMMYFUNCTION("""COMPUTED_VALUE"""),"HP")</f>
        <v>HP</v>
      </c>
      <c r="C131" s="2" t="str">
        <f ca="1">IFERROR(__xludf.DUMMYFUNCTION("""COMPUTED_VALUE"""),"ProBook 470")</f>
        <v>ProBook 470</v>
      </c>
      <c r="D131" s="2" t="str">
        <f ca="1">IFERROR(__xludf.DUMMYFUNCTION("""COMPUTED_VALUE"""),"Notebook")</f>
        <v>Notebook</v>
      </c>
      <c r="E131" s="2">
        <f ca="1">IFERROR(__xludf.DUMMYFUNCTION("""COMPUTED_VALUE"""),17.3)</f>
        <v>17.3</v>
      </c>
      <c r="F131" s="2" t="str">
        <f ca="1">IFERROR(__xludf.DUMMYFUNCTION("""COMPUTED_VALUE"""),"Full HD 1920x1080")</f>
        <v>Full HD 1920x1080</v>
      </c>
      <c r="G131" s="2" t="str">
        <f ca="1">IFERROR(__xludf.DUMMYFUNCTION("""COMPUTED_VALUE"""),"Intel Core i5 8250U 1.6GHz")</f>
        <v>Intel Core i5 8250U 1.6GHz</v>
      </c>
      <c r="H131" s="2" t="str">
        <f ca="1">IFERROR(__xludf.DUMMYFUNCTION("""COMPUTED_VALUE"""),"8GB")</f>
        <v>8GB</v>
      </c>
      <c r="I131" s="2" t="str">
        <f ca="1">IFERROR(__xludf.DUMMYFUNCTION("""COMPUTED_VALUE"""),"256GB SSD")</f>
        <v>256GB SSD</v>
      </c>
      <c r="J131" s="2" t="str">
        <f ca="1">IFERROR(__xludf.DUMMYFUNCTION("""COMPUTED_VALUE"""),"Intel UHD Graphics 620")</f>
        <v>Intel UHD Graphics 620</v>
      </c>
      <c r="K131" s="2" t="str">
        <f ca="1">IFERROR(__xludf.DUMMYFUNCTION("""COMPUTED_VALUE"""),"Windows 10")</f>
        <v>Windows 10</v>
      </c>
      <c r="L131" s="2" t="str">
        <f ca="1">IFERROR(__xludf.DUMMYFUNCTION("""COMPUTED_VALUE"""),"2.5kg")</f>
        <v>2.5kg</v>
      </c>
      <c r="M131" s="2">
        <f ca="1">IFERROR(__xludf.DUMMYFUNCTION("""COMPUTED_VALUE"""),928)</f>
        <v>928</v>
      </c>
    </row>
    <row r="132" spans="1:13">
      <c r="A132" s="2">
        <f ca="1">IFERROR(__xludf.DUMMYFUNCTION("""COMPUTED_VALUE"""),133)</f>
        <v>133</v>
      </c>
      <c r="B132" s="2" t="str">
        <f ca="1">IFERROR(__xludf.DUMMYFUNCTION("""COMPUTED_VALUE"""),"Dell")</f>
        <v>Dell</v>
      </c>
      <c r="C132" s="2" t="str">
        <f ca="1">IFERROR(__xludf.DUMMYFUNCTION("""COMPUTED_VALUE"""),"Inspiron 5567")</f>
        <v>Inspiron 5567</v>
      </c>
      <c r="D132" s="2" t="str">
        <f ca="1">IFERROR(__xludf.DUMMYFUNCTION("""COMPUTED_VALUE"""),"Notebook")</f>
        <v>Notebook</v>
      </c>
      <c r="E132" s="2">
        <f ca="1">IFERROR(__xludf.DUMMYFUNCTION("""COMPUTED_VALUE"""),15.6)</f>
        <v>15.6</v>
      </c>
      <c r="F132" s="2" t="str">
        <f ca="1">IFERROR(__xludf.DUMMYFUNCTION("""COMPUTED_VALUE"""),"1366x768")</f>
        <v>1366x768</v>
      </c>
      <c r="G132" s="2" t="str">
        <f ca="1">IFERROR(__xludf.DUMMYFUNCTION("""COMPUTED_VALUE"""),"Intel Core i5 7200U 2.5GHz")</f>
        <v>Intel Core i5 7200U 2.5GHz</v>
      </c>
      <c r="H132" s="2" t="str">
        <f ca="1">IFERROR(__xludf.DUMMYFUNCTION("""COMPUTED_VALUE"""),"8GB")</f>
        <v>8GB</v>
      </c>
      <c r="I132" s="2" t="str">
        <f ca="1">IFERROR(__xludf.DUMMYFUNCTION("""COMPUTED_VALUE"""),"1TB HDD")</f>
        <v>1TB HDD</v>
      </c>
      <c r="J132" s="2" t="str">
        <f ca="1">IFERROR(__xludf.DUMMYFUNCTION("""COMPUTED_VALUE"""),"AMD Radeon R7 M445")</f>
        <v>AMD Radeon R7 M445</v>
      </c>
      <c r="K132" s="2" t="str">
        <f ca="1">IFERROR(__xludf.DUMMYFUNCTION("""COMPUTED_VALUE"""),"Windows 10")</f>
        <v>Windows 10</v>
      </c>
      <c r="L132" s="2" t="str">
        <f ca="1">IFERROR(__xludf.DUMMYFUNCTION("""COMPUTED_VALUE"""),"2.36kg")</f>
        <v>2.36kg</v>
      </c>
      <c r="M132" s="2">
        <f ca="1">IFERROR(__xludf.DUMMYFUNCTION("""COMPUTED_VALUE"""),638.99)</f>
        <v>638.99</v>
      </c>
    </row>
    <row r="133" spans="1:13">
      <c r="A133" s="2">
        <f ca="1">IFERROR(__xludf.DUMMYFUNCTION("""COMPUTED_VALUE"""),134)</f>
        <v>134</v>
      </c>
      <c r="B133" s="2" t="str">
        <f ca="1">IFERROR(__xludf.DUMMYFUNCTION("""COMPUTED_VALUE"""),"Dell")</f>
        <v>Dell</v>
      </c>
      <c r="C133" s="2" t="str">
        <f ca="1">IFERROR(__xludf.DUMMYFUNCTION("""COMPUTED_VALUE"""),"Inspiron 3567")</f>
        <v>Inspiron 3567</v>
      </c>
      <c r="D133" s="2" t="str">
        <f ca="1">IFERROR(__xludf.DUMMYFUNCTION("""COMPUTED_VALUE"""),"Notebook")</f>
        <v>Notebook</v>
      </c>
      <c r="E133" s="2">
        <f ca="1">IFERROR(__xludf.DUMMYFUNCTION("""COMPUTED_VALUE"""),15.6)</f>
        <v>15.6</v>
      </c>
      <c r="F133" s="2" t="str">
        <f ca="1">IFERROR(__xludf.DUMMYFUNCTION("""COMPUTED_VALUE"""),"Full HD 1920x1080")</f>
        <v>Full HD 1920x1080</v>
      </c>
      <c r="G133" s="2" t="str">
        <f ca="1">IFERROR(__xludf.DUMMYFUNCTION("""COMPUTED_VALUE"""),"Intel Core i3 6006U 2GHz")</f>
        <v>Intel Core i3 6006U 2GHz</v>
      </c>
      <c r="H133" s="2" t="str">
        <f ca="1">IFERROR(__xludf.DUMMYFUNCTION("""COMPUTED_VALUE"""),"4GB")</f>
        <v>4GB</v>
      </c>
      <c r="I133" s="2" t="str">
        <f ca="1">IFERROR(__xludf.DUMMYFUNCTION("""COMPUTED_VALUE"""),"1TB HDD")</f>
        <v>1TB HDD</v>
      </c>
      <c r="J133" s="2" t="str">
        <f ca="1">IFERROR(__xludf.DUMMYFUNCTION("""COMPUTED_VALUE"""),"AMD Radeon R5 M430")</f>
        <v>AMD Radeon R5 M430</v>
      </c>
      <c r="K133" s="2" t="str">
        <f ca="1">IFERROR(__xludf.DUMMYFUNCTION("""COMPUTED_VALUE"""),"Windows 10")</f>
        <v>Windows 10</v>
      </c>
      <c r="L133" s="2" t="str">
        <f ca="1">IFERROR(__xludf.DUMMYFUNCTION("""COMPUTED_VALUE"""),"2.2kg")</f>
        <v>2.2kg</v>
      </c>
      <c r="M133" s="2">
        <f ca="1">IFERROR(__xludf.DUMMYFUNCTION("""COMPUTED_VALUE"""),449)</f>
        <v>449</v>
      </c>
    </row>
    <row r="134" spans="1:13">
      <c r="A134" s="2">
        <f ca="1">IFERROR(__xludf.DUMMYFUNCTION("""COMPUTED_VALUE"""),135)</f>
        <v>135</v>
      </c>
      <c r="B134" s="2" t="str">
        <f ca="1">IFERROR(__xludf.DUMMYFUNCTION("""COMPUTED_VALUE"""),"Acer")</f>
        <v>Acer</v>
      </c>
      <c r="C134" s="2" t="str">
        <f ca="1">IFERROR(__xludf.DUMMYFUNCTION("""COMPUTED_VALUE"""),"Swift 3")</f>
        <v>Swift 3</v>
      </c>
      <c r="D134" s="2" t="str">
        <f ca="1">IFERROR(__xludf.DUMMYFUNCTION("""COMPUTED_VALUE"""),"Ultrabook")</f>
        <v>Ultrabook</v>
      </c>
      <c r="E134" s="2">
        <f ca="1">IFERROR(__xludf.DUMMYFUNCTION("""COMPUTED_VALUE"""),14)</f>
        <v>14</v>
      </c>
      <c r="F134" s="2" t="str">
        <f ca="1">IFERROR(__xludf.DUMMYFUNCTION("""COMPUTED_VALUE"""),"IPS Panel Full HD 1920x1080")</f>
        <v>IPS Panel Full HD 1920x1080</v>
      </c>
      <c r="G134" s="2" t="str">
        <f ca="1">IFERROR(__xludf.DUMMYFUNCTION("""COMPUTED_VALUE"""),"Intel Core i7 8550U 1.8GHz")</f>
        <v>Intel Core i7 8550U 1.8GHz</v>
      </c>
      <c r="H134" s="2" t="str">
        <f ca="1">IFERROR(__xludf.DUMMYFUNCTION("""COMPUTED_VALUE"""),"8GB")</f>
        <v>8GB</v>
      </c>
      <c r="I134" s="2" t="str">
        <f ca="1">IFERROR(__xludf.DUMMYFUNCTION("""COMPUTED_VALUE"""),"256GB SSD")</f>
        <v>256GB SSD</v>
      </c>
      <c r="J134" s="2" t="str">
        <f ca="1">IFERROR(__xludf.DUMMYFUNCTION("""COMPUTED_VALUE"""),"Intel UHD Graphics 620")</f>
        <v>Intel UHD Graphics 620</v>
      </c>
      <c r="K134" s="2" t="str">
        <f ca="1">IFERROR(__xludf.DUMMYFUNCTION("""COMPUTED_VALUE"""),"Windows 10")</f>
        <v>Windows 10</v>
      </c>
      <c r="L134" s="2" t="str">
        <f ca="1">IFERROR(__xludf.DUMMYFUNCTION("""COMPUTED_VALUE"""),"1.6kg")</f>
        <v>1.6kg</v>
      </c>
      <c r="M134" s="2">
        <f ca="1">IFERROR(__xludf.DUMMYFUNCTION("""COMPUTED_VALUE"""),884)</f>
        <v>884</v>
      </c>
    </row>
    <row r="135" spans="1:13">
      <c r="A135" s="2">
        <f ca="1">IFERROR(__xludf.DUMMYFUNCTION("""COMPUTED_VALUE"""),136)</f>
        <v>136</v>
      </c>
      <c r="B135" s="2" t="str">
        <f ca="1">IFERROR(__xludf.DUMMYFUNCTION("""COMPUTED_VALUE"""),"Acer")</f>
        <v>Acer</v>
      </c>
      <c r="C135" s="2" t="str">
        <f ca="1">IFERROR(__xludf.DUMMYFUNCTION("""COMPUTED_VALUE"""),"Aspire A515-51G-37JS")</f>
        <v>Aspire A515-51G-37JS</v>
      </c>
      <c r="D135" s="2" t="str">
        <f ca="1">IFERROR(__xludf.DUMMYFUNCTION("""COMPUTED_VALUE"""),"Notebook")</f>
        <v>Notebook</v>
      </c>
      <c r="E135" s="2">
        <f ca="1">IFERROR(__xludf.DUMMYFUNCTION("""COMPUTED_VALUE"""),15.6)</f>
        <v>15.6</v>
      </c>
      <c r="F135" s="2" t="str">
        <f ca="1">IFERROR(__xludf.DUMMYFUNCTION("""COMPUTED_VALUE"""),"Full HD 1920x1080")</f>
        <v>Full HD 1920x1080</v>
      </c>
      <c r="G135" s="2" t="str">
        <f ca="1">IFERROR(__xludf.DUMMYFUNCTION("""COMPUTED_VALUE"""),"Intel Core i3 7130U 2.7GHz")</f>
        <v>Intel Core i3 7130U 2.7GHz</v>
      </c>
      <c r="H135" s="2" t="str">
        <f ca="1">IFERROR(__xludf.DUMMYFUNCTION("""COMPUTED_VALUE"""),"4GB")</f>
        <v>4GB</v>
      </c>
      <c r="I135" s="2" t="str">
        <f ca="1">IFERROR(__xludf.DUMMYFUNCTION("""COMPUTED_VALUE"""),"256GB SSD")</f>
        <v>256GB SSD</v>
      </c>
      <c r="J135" s="2" t="str">
        <f ca="1">IFERROR(__xludf.DUMMYFUNCTION("""COMPUTED_VALUE"""),"Nvidia GeForce MX130")</f>
        <v>Nvidia GeForce MX130</v>
      </c>
      <c r="K135" s="2" t="str">
        <f ca="1">IFERROR(__xludf.DUMMYFUNCTION("""COMPUTED_VALUE"""),"Windows 10")</f>
        <v>Windows 10</v>
      </c>
      <c r="L135" s="2" t="str">
        <f ca="1">IFERROR(__xludf.DUMMYFUNCTION("""COMPUTED_VALUE"""),"2.2kg")</f>
        <v>2.2kg</v>
      </c>
      <c r="M135" s="2">
        <f ca="1">IFERROR(__xludf.DUMMYFUNCTION("""COMPUTED_VALUE"""),572)</f>
        <v>572</v>
      </c>
    </row>
    <row r="136" spans="1:13">
      <c r="A136" s="2">
        <f ca="1">IFERROR(__xludf.DUMMYFUNCTION("""COMPUTED_VALUE"""),137)</f>
        <v>137</v>
      </c>
      <c r="B136" s="2" t="str">
        <f ca="1">IFERROR(__xludf.DUMMYFUNCTION("""COMPUTED_VALUE"""),"HP")</f>
        <v>HP</v>
      </c>
      <c r="C136" s="2" t="str">
        <f ca="1">IFERROR(__xludf.DUMMYFUNCTION("""COMPUTED_VALUE"""),"15-BS078nr (i7-7500U/8GB/1TB/W10)")</f>
        <v>15-BS078nr (i7-7500U/8GB/1TB/W10)</v>
      </c>
      <c r="D136" s="2" t="str">
        <f ca="1">IFERROR(__xludf.DUMMYFUNCTION("""COMPUTED_VALUE"""),"Notebook")</f>
        <v>Notebook</v>
      </c>
      <c r="E136" s="2">
        <f ca="1">IFERROR(__xludf.DUMMYFUNCTION("""COMPUTED_VALUE"""),15.6)</f>
        <v>15.6</v>
      </c>
      <c r="F136" s="2" t="str">
        <f ca="1">IFERROR(__xludf.DUMMYFUNCTION("""COMPUTED_VALUE"""),"1366x768")</f>
        <v>1366x768</v>
      </c>
      <c r="G136" s="2" t="str">
        <f ca="1">IFERROR(__xludf.DUMMYFUNCTION("""COMPUTED_VALUE"""),"Intel Core i7 7500U 2.7GHz")</f>
        <v>Intel Core i7 7500U 2.7GHz</v>
      </c>
      <c r="H136" s="2" t="str">
        <f ca="1">IFERROR(__xludf.DUMMYFUNCTION("""COMPUTED_VALUE"""),"8GB")</f>
        <v>8GB</v>
      </c>
      <c r="I136" s="2" t="str">
        <f ca="1">IFERROR(__xludf.DUMMYFUNCTION("""COMPUTED_VALUE"""),"1TB HDD")</f>
        <v>1TB HDD</v>
      </c>
      <c r="J136" s="2" t="str">
        <f ca="1">IFERROR(__xludf.DUMMYFUNCTION("""COMPUTED_VALUE"""),"Intel HD Graphics 620")</f>
        <v>Intel HD Graphics 620</v>
      </c>
      <c r="K136" s="2" t="str">
        <f ca="1">IFERROR(__xludf.DUMMYFUNCTION("""COMPUTED_VALUE"""),"Windows 10")</f>
        <v>Windows 10</v>
      </c>
      <c r="L136" s="2" t="str">
        <f ca="1">IFERROR(__xludf.DUMMYFUNCTION("""COMPUTED_VALUE"""),"2.05kg")</f>
        <v>2.05kg</v>
      </c>
      <c r="M136" s="2">
        <f ca="1">IFERROR(__xludf.DUMMYFUNCTION("""COMPUTED_VALUE"""),598)</f>
        <v>598</v>
      </c>
    </row>
    <row r="137" spans="1:13">
      <c r="A137" s="2">
        <f ca="1">IFERROR(__xludf.DUMMYFUNCTION("""COMPUTED_VALUE"""),138)</f>
        <v>138</v>
      </c>
      <c r="B137" s="2" t="str">
        <f ca="1">IFERROR(__xludf.DUMMYFUNCTION("""COMPUTED_VALUE"""),"HP")</f>
        <v>HP</v>
      </c>
      <c r="C137" s="2" t="str">
        <f ca="1">IFERROR(__xludf.DUMMYFUNCTION("""COMPUTED_VALUE"""),"Probook 440")</f>
        <v>Probook 440</v>
      </c>
      <c r="D137" s="2" t="str">
        <f ca="1">IFERROR(__xludf.DUMMYFUNCTION("""COMPUTED_VALUE"""),"Notebook")</f>
        <v>Notebook</v>
      </c>
      <c r="E137" s="2">
        <f ca="1">IFERROR(__xludf.DUMMYFUNCTION("""COMPUTED_VALUE"""),14)</f>
        <v>14</v>
      </c>
      <c r="F137" s="2" t="str">
        <f ca="1">IFERROR(__xludf.DUMMYFUNCTION("""COMPUTED_VALUE"""),"Full HD 1920x1080")</f>
        <v>Full HD 1920x1080</v>
      </c>
      <c r="G137" s="2" t="str">
        <f ca="1">IFERROR(__xludf.DUMMYFUNCTION("""COMPUTED_VALUE"""),"Intel Core i7 8550U 1.8GHz")</f>
        <v>Intel Core i7 8550U 1.8GHz</v>
      </c>
      <c r="H137" s="2" t="str">
        <f ca="1">IFERROR(__xludf.DUMMYFUNCTION("""COMPUTED_VALUE"""),"8GB")</f>
        <v>8GB</v>
      </c>
      <c r="I137" s="2" t="str">
        <f ca="1">IFERROR(__xludf.DUMMYFUNCTION("""COMPUTED_VALUE"""),"256GB SSD")</f>
        <v>256GB SSD</v>
      </c>
      <c r="J137" s="2" t="str">
        <f ca="1">IFERROR(__xludf.DUMMYFUNCTION("""COMPUTED_VALUE"""),"Intel UHD Graphics 620")</f>
        <v>Intel UHD Graphics 620</v>
      </c>
      <c r="K137" s="2" t="str">
        <f ca="1">IFERROR(__xludf.DUMMYFUNCTION("""COMPUTED_VALUE"""),"Windows 10")</f>
        <v>Windows 10</v>
      </c>
      <c r="L137" s="2" t="str">
        <f ca="1">IFERROR(__xludf.DUMMYFUNCTION("""COMPUTED_VALUE"""),"1.63kg")</f>
        <v>1.63kg</v>
      </c>
      <c r="M137" s="2">
        <f ca="1">IFERROR(__xludf.DUMMYFUNCTION("""COMPUTED_VALUE"""),988)</f>
        <v>988</v>
      </c>
    </row>
    <row r="138" spans="1:13">
      <c r="A138" s="2">
        <f ca="1">IFERROR(__xludf.DUMMYFUNCTION("""COMPUTED_VALUE"""),139)</f>
        <v>139</v>
      </c>
      <c r="B138" s="2" t="str">
        <f ca="1">IFERROR(__xludf.DUMMYFUNCTION("""COMPUTED_VALUE"""),"Lenovo")</f>
        <v>Lenovo</v>
      </c>
      <c r="C138" s="2" t="str">
        <f ca="1">IFERROR(__xludf.DUMMYFUNCTION("""COMPUTED_VALUE"""),"V110-15IAP (N3350/4GB/1TB/No")</f>
        <v>V110-15IAP (N3350/4GB/1TB/No</v>
      </c>
      <c r="D138" s="2" t="str">
        <f ca="1">IFERROR(__xludf.DUMMYFUNCTION("""COMPUTED_VALUE"""),"Notebook")</f>
        <v>Notebook</v>
      </c>
      <c r="E138" s="2">
        <f ca="1">IFERROR(__xludf.DUMMYFUNCTION("""COMPUTED_VALUE"""),15.6)</f>
        <v>15.6</v>
      </c>
      <c r="F138" s="2" t="str">
        <f ca="1">IFERROR(__xludf.DUMMYFUNCTION("""COMPUTED_VALUE"""),"1366x768")</f>
        <v>1366x768</v>
      </c>
      <c r="G138" s="2" t="str">
        <f ca="1">IFERROR(__xludf.DUMMYFUNCTION("""COMPUTED_VALUE"""),"Intel Celeron Dual Core N3350 1.1GHz")</f>
        <v>Intel Celeron Dual Core N3350 1.1GHz</v>
      </c>
      <c r="H138" s="2" t="str">
        <f ca="1">IFERROR(__xludf.DUMMYFUNCTION("""COMPUTED_VALUE"""),"4GB")</f>
        <v>4GB</v>
      </c>
      <c r="I138" s="2" t="str">
        <f ca="1">IFERROR(__xludf.DUMMYFUNCTION("""COMPUTED_VALUE"""),"1TB HDD")</f>
        <v>1TB HDD</v>
      </c>
      <c r="J138" s="2" t="str">
        <f ca="1">IFERROR(__xludf.DUMMYFUNCTION("""COMPUTED_VALUE"""),"Intel HD Graphics 500")</f>
        <v>Intel HD Graphics 500</v>
      </c>
      <c r="K138" s="2" t="str">
        <f ca="1">IFERROR(__xludf.DUMMYFUNCTION("""COMPUTED_VALUE"""),"No OS")</f>
        <v>No OS</v>
      </c>
      <c r="L138" s="2" t="str">
        <f ca="1">IFERROR(__xludf.DUMMYFUNCTION("""COMPUTED_VALUE"""),"1.9kg")</f>
        <v>1.9kg</v>
      </c>
      <c r="M138" s="2">
        <f ca="1">IFERROR(__xludf.DUMMYFUNCTION("""COMPUTED_VALUE"""),252.36)</f>
        <v>252.36</v>
      </c>
    </row>
    <row r="139" spans="1:13">
      <c r="A139" s="2">
        <f ca="1">IFERROR(__xludf.DUMMYFUNCTION("""COMPUTED_VALUE"""),140)</f>
        <v>140</v>
      </c>
      <c r="B139" s="2" t="str">
        <f ca="1">IFERROR(__xludf.DUMMYFUNCTION("""COMPUTED_VALUE"""),"Asus")</f>
        <v>Asus</v>
      </c>
      <c r="C139" s="2" t="str">
        <f ca="1">IFERROR(__xludf.DUMMYFUNCTION("""COMPUTED_VALUE"""),"FX753VD-GC086T (i5-7300HQ/8GB/1TB")</f>
        <v>FX753VD-GC086T (i5-7300HQ/8GB/1TB</v>
      </c>
      <c r="D139" s="2" t="str">
        <f ca="1">IFERROR(__xludf.DUMMYFUNCTION("""COMPUTED_VALUE"""),"Gaming")</f>
        <v>Gaming</v>
      </c>
      <c r="E139" s="2">
        <f ca="1">IFERROR(__xludf.DUMMYFUNCTION("""COMPUTED_VALUE"""),17.3)</f>
        <v>17.3</v>
      </c>
      <c r="F139" s="2" t="str">
        <f ca="1">IFERROR(__xludf.DUMMYFUNCTION("""COMPUTED_VALUE"""),"Full HD 1920x1080")</f>
        <v>Full HD 1920x1080</v>
      </c>
      <c r="G139" s="2" t="str">
        <f ca="1">IFERROR(__xludf.DUMMYFUNCTION("""COMPUTED_VALUE"""),"Intel Core i5 7300HQ 2.5GHz")</f>
        <v>Intel Core i5 7300HQ 2.5GHz</v>
      </c>
      <c r="H139" s="2" t="str">
        <f ca="1">IFERROR(__xludf.DUMMYFUNCTION("""COMPUTED_VALUE"""),"8GB")</f>
        <v>8GB</v>
      </c>
      <c r="I139" s="2" t="str">
        <f ca="1">IFERROR(__xludf.DUMMYFUNCTION("""COMPUTED_VALUE"""),"128GB SSD +  1TB HDD")</f>
        <v>128GB SSD +  1TB HDD</v>
      </c>
      <c r="J139" s="2" t="str">
        <f ca="1">IFERROR(__xludf.DUMMYFUNCTION("""COMPUTED_VALUE"""),"Nvidia GeForce GTX 1050")</f>
        <v>Nvidia GeForce GTX 1050</v>
      </c>
      <c r="K139" s="2" t="str">
        <f ca="1">IFERROR(__xludf.DUMMYFUNCTION("""COMPUTED_VALUE"""),"Windows 10")</f>
        <v>Windows 10</v>
      </c>
      <c r="L139" s="2" t="str">
        <f ca="1">IFERROR(__xludf.DUMMYFUNCTION("""COMPUTED_VALUE"""),"3kg")</f>
        <v>3kg</v>
      </c>
      <c r="M139" s="2">
        <f ca="1">IFERROR(__xludf.DUMMYFUNCTION("""COMPUTED_VALUE"""),938)</f>
        <v>938</v>
      </c>
    </row>
    <row r="140" spans="1:13">
      <c r="A140" s="2">
        <f ca="1">IFERROR(__xludf.DUMMYFUNCTION("""COMPUTED_VALUE"""),141)</f>
        <v>141</v>
      </c>
      <c r="B140" s="2" t="str">
        <f ca="1">IFERROR(__xludf.DUMMYFUNCTION("""COMPUTED_VALUE"""),"Lenovo")</f>
        <v>Lenovo</v>
      </c>
      <c r="C140" s="2" t="str">
        <f ca="1">IFERROR(__xludf.DUMMYFUNCTION("""COMPUTED_VALUE"""),"IdeaPad 320-15IKBN")</f>
        <v>IdeaPad 320-15IKBN</v>
      </c>
      <c r="D140" s="2" t="str">
        <f ca="1">IFERROR(__xludf.DUMMYFUNCTION("""COMPUTED_VALUE"""),"Notebook")</f>
        <v>Notebook</v>
      </c>
      <c r="E140" s="2">
        <f ca="1">IFERROR(__xludf.DUMMYFUNCTION("""COMPUTED_VALUE"""),15.6)</f>
        <v>15.6</v>
      </c>
      <c r="F140" s="2" t="str">
        <f ca="1">IFERROR(__xludf.DUMMYFUNCTION("""COMPUTED_VALUE"""),"Full HD 1920x1080")</f>
        <v>Full HD 1920x1080</v>
      </c>
      <c r="G140" s="2" t="str">
        <f ca="1">IFERROR(__xludf.DUMMYFUNCTION("""COMPUTED_VALUE"""),"Intel Core i5 7200U 2.5GHz")</f>
        <v>Intel Core i5 7200U 2.5GHz</v>
      </c>
      <c r="H140" s="2" t="str">
        <f ca="1">IFERROR(__xludf.DUMMYFUNCTION("""COMPUTED_VALUE"""),"4GB")</f>
        <v>4GB</v>
      </c>
      <c r="I140" s="2" t="str">
        <f ca="1">IFERROR(__xludf.DUMMYFUNCTION("""COMPUTED_VALUE"""),"1TB HDD")</f>
        <v>1TB HDD</v>
      </c>
      <c r="J140" s="2" t="str">
        <f ca="1">IFERROR(__xludf.DUMMYFUNCTION("""COMPUTED_VALUE"""),"Nvidia GeForce 920MX")</f>
        <v>Nvidia GeForce 920MX</v>
      </c>
      <c r="K140" s="2" t="str">
        <f ca="1">IFERROR(__xludf.DUMMYFUNCTION("""COMPUTED_VALUE"""),"No OS")</f>
        <v>No OS</v>
      </c>
      <c r="L140" s="2" t="str">
        <f ca="1">IFERROR(__xludf.DUMMYFUNCTION("""COMPUTED_VALUE"""),"2.2kg")</f>
        <v>2.2kg</v>
      </c>
      <c r="M140" s="2">
        <f ca="1">IFERROR(__xludf.DUMMYFUNCTION("""COMPUTED_VALUE"""),499)</f>
        <v>499</v>
      </c>
    </row>
    <row r="141" spans="1:13">
      <c r="A141" s="2">
        <f ca="1">IFERROR(__xludf.DUMMYFUNCTION("""COMPUTED_VALUE"""),142)</f>
        <v>142</v>
      </c>
      <c r="B141" s="2" t="str">
        <f ca="1">IFERROR(__xludf.DUMMYFUNCTION("""COMPUTED_VALUE"""),"HP")</f>
        <v>HP</v>
      </c>
      <c r="C141" s="2" t="str">
        <f ca="1">IFERROR(__xludf.DUMMYFUNCTION("""COMPUTED_VALUE"""),"Envy 13-AD007nv")</f>
        <v>Envy 13-AD007nv</v>
      </c>
      <c r="D141" s="2" t="str">
        <f ca="1">IFERROR(__xludf.DUMMYFUNCTION("""COMPUTED_VALUE"""),"Notebook")</f>
        <v>Notebook</v>
      </c>
      <c r="E141" s="2">
        <f ca="1">IFERROR(__xludf.DUMMYFUNCTION("""COMPUTED_VALUE"""),13.3)</f>
        <v>13.3</v>
      </c>
      <c r="F141" s="2" t="str">
        <f ca="1">IFERROR(__xludf.DUMMYFUNCTION("""COMPUTED_VALUE"""),"IPS Panel Full HD 1920x1080")</f>
        <v>IPS Panel Full HD 1920x1080</v>
      </c>
      <c r="G141" s="2" t="str">
        <f ca="1">IFERROR(__xludf.DUMMYFUNCTION("""COMPUTED_VALUE"""),"Intel Core i5 7200U 2.5GHz")</f>
        <v>Intel Core i5 7200U 2.5GHz</v>
      </c>
      <c r="H141" s="2" t="str">
        <f ca="1">IFERROR(__xludf.DUMMYFUNCTION("""COMPUTED_VALUE"""),"4GB")</f>
        <v>4GB</v>
      </c>
      <c r="I141" s="2" t="str">
        <f ca="1">IFERROR(__xludf.DUMMYFUNCTION("""COMPUTED_VALUE"""),"256GB SSD")</f>
        <v>256GB SSD</v>
      </c>
      <c r="J141" s="2" t="str">
        <f ca="1">IFERROR(__xludf.DUMMYFUNCTION("""COMPUTED_VALUE"""),"Intel HD Graphics 620")</f>
        <v>Intel HD Graphics 620</v>
      </c>
      <c r="K141" s="2" t="str">
        <f ca="1">IFERROR(__xludf.DUMMYFUNCTION("""COMPUTED_VALUE"""),"Windows 10")</f>
        <v>Windows 10</v>
      </c>
      <c r="L141" s="2" t="str">
        <f ca="1">IFERROR(__xludf.DUMMYFUNCTION("""COMPUTED_VALUE"""),"1.32kg")</f>
        <v>1.32kg</v>
      </c>
      <c r="M141" s="2">
        <f ca="1">IFERROR(__xludf.DUMMYFUNCTION("""COMPUTED_VALUE"""),699)</f>
        <v>699</v>
      </c>
    </row>
    <row r="142" spans="1:13">
      <c r="A142" s="2">
        <f ca="1">IFERROR(__xludf.DUMMYFUNCTION("""COMPUTED_VALUE"""),143)</f>
        <v>143</v>
      </c>
      <c r="B142" s="2" t="str">
        <f ca="1">IFERROR(__xludf.DUMMYFUNCTION("""COMPUTED_VALUE"""),"Acer")</f>
        <v>Acer</v>
      </c>
      <c r="C142" s="2" t="str">
        <f ca="1">IFERROR(__xludf.DUMMYFUNCTION("""COMPUTED_VALUE"""),"Aspire 5")</f>
        <v>Aspire 5</v>
      </c>
      <c r="D142" s="2" t="str">
        <f ca="1">IFERROR(__xludf.DUMMYFUNCTION("""COMPUTED_VALUE"""),"Notebook")</f>
        <v>Notebook</v>
      </c>
      <c r="E142" s="2">
        <f ca="1">IFERROR(__xludf.DUMMYFUNCTION("""COMPUTED_VALUE"""),17.3)</f>
        <v>17.3</v>
      </c>
      <c r="F142" s="2" t="str">
        <f ca="1">IFERROR(__xludf.DUMMYFUNCTION("""COMPUTED_VALUE"""),"IPS Panel Full HD 1920x1080")</f>
        <v>IPS Panel Full HD 1920x1080</v>
      </c>
      <c r="G142" s="2" t="str">
        <f ca="1">IFERROR(__xludf.DUMMYFUNCTION("""COMPUTED_VALUE"""),"Intel Core i3 7130U 2.7GHz")</f>
        <v>Intel Core i3 7130U 2.7GHz</v>
      </c>
      <c r="H142" s="2" t="str">
        <f ca="1">IFERROR(__xludf.DUMMYFUNCTION("""COMPUTED_VALUE"""),"4GB")</f>
        <v>4GB</v>
      </c>
      <c r="I142" s="2" t="str">
        <f ca="1">IFERROR(__xludf.DUMMYFUNCTION("""COMPUTED_VALUE"""),"1TB HDD")</f>
        <v>1TB HDD</v>
      </c>
      <c r="J142" s="2" t="str">
        <f ca="1">IFERROR(__xludf.DUMMYFUNCTION("""COMPUTED_VALUE"""),"Nvidia GeForce MX130")</f>
        <v>Nvidia GeForce MX130</v>
      </c>
      <c r="K142" s="2" t="str">
        <f ca="1">IFERROR(__xludf.DUMMYFUNCTION("""COMPUTED_VALUE"""),"Windows 10")</f>
        <v>Windows 10</v>
      </c>
      <c r="L142" s="2" t="str">
        <f ca="1">IFERROR(__xludf.DUMMYFUNCTION("""COMPUTED_VALUE"""),"3kg")</f>
        <v>3kg</v>
      </c>
      <c r="M142" s="2">
        <f ca="1">IFERROR(__xludf.DUMMYFUNCTION("""COMPUTED_VALUE"""),655)</f>
        <v>655</v>
      </c>
    </row>
    <row r="143" spans="1:13">
      <c r="A143" s="2">
        <f ca="1">IFERROR(__xludf.DUMMYFUNCTION("""COMPUTED_VALUE"""),144)</f>
        <v>144</v>
      </c>
      <c r="B143" s="2" t="str">
        <f ca="1">IFERROR(__xludf.DUMMYFUNCTION("""COMPUTED_VALUE"""),"Lenovo")</f>
        <v>Lenovo</v>
      </c>
      <c r="C143" s="2" t="str">
        <f ca="1">IFERROR(__xludf.DUMMYFUNCTION("""COMPUTED_VALUE"""),"ThinkPad E480")</f>
        <v>ThinkPad E480</v>
      </c>
      <c r="D143" s="2" t="str">
        <f ca="1">IFERROR(__xludf.DUMMYFUNCTION("""COMPUTED_VALUE"""),"Notebook")</f>
        <v>Notebook</v>
      </c>
      <c r="E143" s="2">
        <f ca="1">IFERROR(__xludf.DUMMYFUNCTION("""COMPUTED_VALUE"""),14)</f>
        <v>14</v>
      </c>
      <c r="F143" s="2" t="str">
        <f ca="1">IFERROR(__xludf.DUMMYFUNCTION("""COMPUTED_VALUE"""),"IPS Panel Full HD 1920x1080")</f>
        <v>IPS Panel Full HD 1920x1080</v>
      </c>
      <c r="G143" s="2" t="str">
        <f ca="1">IFERROR(__xludf.DUMMYFUNCTION("""COMPUTED_VALUE"""),"Intel Core i5 8250U 1.6GHz")</f>
        <v>Intel Core i5 8250U 1.6GHz</v>
      </c>
      <c r="H143" s="2" t="str">
        <f ca="1">IFERROR(__xludf.DUMMYFUNCTION("""COMPUTED_VALUE"""),"8GB")</f>
        <v>8GB</v>
      </c>
      <c r="I143" s="2" t="str">
        <f ca="1">IFERROR(__xludf.DUMMYFUNCTION("""COMPUTED_VALUE"""),"256GB SSD")</f>
        <v>256GB SSD</v>
      </c>
      <c r="J143" s="2" t="str">
        <f ca="1">IFERROR(__xludf.DUMMYFUNCTION("""COMPUTED_VALUE"""),"AMD Radeon RX 550")</f>
        <v>AMD Radeon RX 550</v>
      </c>
      <c r="K143" s="2" t="str">
        <f ca="1">IFERROR(__xludf.DUMMYFUNCTION("""COMPUTED_VALUE"""),"Windows 10")</f>
        <v>Windows 10</v>
      </c>
      <c r="L143" s="2" t="str">
        <f ca="1">IFERROR(__xludf.DUMMYFUNCTION("""COMPUTED_VALUE"""),"1.75kg")</f>
        <v>1.75kg</v>
      </c>
      <c r="M143" s="2">
        <f ca="1">IFERROR(__xludf.DUMMYFUNCTION("""COMPUTED_VALUE"""),1116.02)</f>
        <v>1116.02</v>
      </c>
    </row>
    <row r="144" spans="1:13">
      <c r="A144" s="2">
        <f ca="1">IFERROR(__xludf.DUMMYFUNCTION("""COMPUTED_VALUE"""),145)</f>
        <v>145</v>
      </c>
      <c r="B144" s="2" t="str">
        <f ca="1">IFERROR(__xludf.DUMMYFUNCTION("""COMPUTED_VALUE"""),"Lenovo")</f>
        <v>Lenovo</v>
      </c>
      <c r="C144" s="2" t="str">
        <f ca="1">IFERROR(__xludf.DUMMYFUNCTION("""COMPUTED_VALUE"""),"Legion Y520-15IKBN")</f>
        <v>Legion Y520-15IKBN</v>
      </c>
      <c r="D144" s="2" t="str">
        <f ca="1">IFERROR(__xludf.DUMMYFUNCTION("""COMPUTED_VALUE"""),"Gaming")</f>
        <v>Gaming</v>
      </c>
      <c r="E144" s="2">
        <f ca="1">IFERROR(__xludf.DUMMYFUNCTION("""COMPUTED_VALUE"""),15.6)</f>
        <v>15.6</v>
      </c>
      <c r="F144" s="2" t="str">
        <f ca="1">IFERROR(__xludf.DUMMYFUNCTION("""COMPUTED_VALUE"""),"IPS Panel Full HD 1920x1080")</f>
        <v>IPS Panel Full HD 1920x1080</v>
      </c>
      <c r="G144" s="2" t="str">
        <f ca="1">IFERROR(__xludf.DUMMYFUNCTION("""COMPUTED_VALUE"""),"Intel Core i7 7700HQ 2.8GHz")</f>
        <v>Intel Core i7 7700HQ 2.8GHz</v>
      </c>
      <c r="H144" s="2" t="str">
        <f ca="1">IFERROR(__xludf.DUMMYFUNCTION("""COMPUTED_VALUE"""),"8GB")</f>
        <v>8GB</v>
      </c>
      <c r="I144" s="2" t="str">
        <f ca="1">IFERROR(__xludf.DUMMYFUNCTION("""COMPUTED_VALUE"""),"256GB SSD")</f>
        <v>256GB SSD</v>
      </c>
      <c r="J144" s="2" t="str">
        <f ca="1">IFERROR(__xludf.DUMMYFUNCTION("""COMPUTED_VALUE"""),"Nvidia GeForce GTX 1050M")</f>
        <v>Nvidia GeForce GTX 1050M</v>
      </c>
      <c r="K144" s="2" t="str">
        <f ca="1">IFERROR(__xludf.DUMMYFUNCTION("""COMPUTED_VALUE"""),"No OS")</f>
        <v>No OS</v>
      </c>
      <c r="L144" s="2" t="str">
        <f ca="1">IFERROR(__xludf.DUMMYFUNCTION("""COMPUTED_VALUE"""),"2.4kg")</f>
        <v>2.4kg</v>
      </c>
      <c r="M144" s="2">
        <f ca="1">IFERROR(__xludf.DUMMYFUNCTION("""COMPUTED_VALUE"""),869)</f>
        <v>869</v>
      </c>
    </row>
    <row r="145" spans="1:13">
      <c r="A145" s="2">
        <f ca="1">IFERROR(__xludf.DUMMYFUNCTION("""COMPUTED_VALUE"""),146)</f>
        <v>146</v>
      </c>
      <c r="B145" s="2" t="str">
        <f ca="1">IFERROR(__xludf.DUMMYFUNCTION("""COMPUTED_VALUE"""),"Toshiba")</f>
        <v>Toshiba</v>
      </c>
      <c r="C145" s="2" t="str">
        <f ca="1">IFERROR(__xludf.DUMMYFUNCTION("""COMPUTED_VALUE"""),"Satellite Pro")</f>
        <v>Satellite Pro</v>
      </c>
      <c r="D145" s="2" t="str">
        <f ca="1">IFERROR(__xludf.DUMMYFUNCTION("""COMPUTED_VALUE"""),"Notebook")</f>
        <v>Notebook</v>
      </c>
      <c r="E145" s="2">
        <f ca="1">IFERROR(__xludf.DUMMYFUNCTION("""COMPUTED_VALUE"""),15.6)</f>
        <v>15.6</v>
      </c>
      <c r="F145" s="2" t="str">
        <f ca="1">IFERROR(__xludf.DUMMYFUNCTION("""COMPUTED_VALUE"""),"1366x768")</f>
        <v>1366x768</v>
      </c>
      <c r="G145" s="2" t="str">
        <f ca="1">IFERROR(__xludf.DUMMYFUNCTION("""COMPUTED_VALUE"""),"Intel Core i5 6200U 2.3GHz")</f>
        <v>Intel Core i5 6200U 2.3GHz</v>
      </c>
      <c r="H145" s="2" t="str">
        <f ca="1">IFERROR(__xludf.DUMMYFUNCTION("""COMPUTED_VALUE"""),"4GB")</f>
        <v>4GB</v>
      </c>
      <c r="I145" s="2" t="str">
        <f ca="1">IFERROR(__xludf.DUMMYFUNCTION("""COMPUTED_VALUE"""),"500GB HDD")</f>
        <v>500GB HDD</v>
      </c>
      <c r="J145" s="2" t="str">
        <f ca="1">IFERROR(__xludf.DUMMYFUNCTION("""COMPUTED_VALUE"""),"Intel HD Graphics 520")</f>
        <v>Intel HD Graphics 520</v>
      </c>
      <c r="K145" s="2" t="str">
        <f ca="1">IFERROR(__xludf.DUMMYFUNCTION("""COMPUTED_VALUE"""),"Windows 10")</f>
        <v>Windows 10</v>
      </c>
      <c r="L145" s="2" t="str">
        <f ca="1">IFERROR(__xludf.DUMMYFUNCTION("""COMPUTED_VALUE"""),"2.1kg")</f>
        <v>2.1kg</v>
      </c>
      <c r="M145" s="2">
        <f ca="1">IFERROR(__xludf.DUMMYFUNCTION("""COMPUTED_VALUE"""),602)</f>
        <v>602</v>
      </c>
    </row>
    <row r="146" spans="1:13">
      <c r="A146" s="2">
        <f ca="1">IFERROR(__xludf.DUMMYFUNCTION("""COMPUTED_VALUE"""),147)</f>
        <v>147</v>
      </c>
      <c r="B146" s="2" t="str">
        <f ca="1">IFERROR(__xludf.DUMMYFUNCTION("""COMPUTED_VALUE"""),"HP")</f>
        <v>HP</v>
      </c>
      <c r="C146" s="2" t="str">
        <f ca="1">IFERROR(__xludf.DUMMYFUNCTION("""COMPUTED_VALUE"""),"255 G6")</f>
        <v>255 G6</v>
      </c>
      <c r="D146" s="2" t="str">
        <f ca="1">IFERROR(__xludf.DUMMYFUNCTION("""COMPUTED_VALUE"""),"Notebook")</f>
        <v>Notebook</v>
      </c>
      <c r="E146" s="2">
        <f ca="1">IFERROR(__xludf.DUMMYFUNCTION("""COMPUTED_VALUE"""),15.6)</f>
        <v>15.6</v>
      </c>
      <c r="F146" s="2" t="str">
        <f ca="1">IFERROR(__xludf.DUMMYFUNCTION("""COMPUTED_VALUE"""),"1366x768")</f>
        <v>1366x768</v>
      </c>
      <c r="G146" s="2" t="str">
        <f ca="1">IFERROR(__xludf.DUMMYFUNCTION("""COMPUTED_VALUE"""),"AMD A6-Series 9220 2.5GHz")</f>
        <v>AMD A6-Series 9220 2.5GHz</v>
      </c>
      <c r="H146" s="2" t="str">
        <f ca="1">IFERROR(__xludf.DUMMYFUNCTION("""COMPUTED_VALUE"""),"4GB")</f>
        <v>4GB</v>
      </c>
      <c r="I146" s="2" t="str">
        <f ca="1">IFERROR(__xludf.DUMMYFUNCTION("""COMPUTED_VALUE"""),"256GB SSD")</f>
        <v>256GB SSD</v>
      </c>
      <c r="J146" s="2" t="str">
        <f ca="1">IFERROR(__xludf.DUMMYFUNCTION("""COMPUTED_VALUE"""),"AMD Radeon R4 Graphics")</f>
        <v>AMD Radeon R4 Graphics</v>
      </c>
      <c r="K146" s="2" t="str">
        <f ca="1">IFERROR(__xludf.DUMMYFUNCTION("""COMPUTED_VALUE"""),"Windows 10")</f>
        <v>Windows 10</v>
      </c>
      <c r="L146" s="2" t="str">
        <f ca="1">IFERROR(__xludf.DUMMYFUNCTION("""COMPUTED_VALUE"""),"1.86kg")</f>
        <v>1.86kg</v>
      </c>
      <c r="M146" s="2">
        <f ca="1">IFERROR(__xludf.DUMMYFUNCTION("""COMPUTED_VALUE"""),369)</f>
        <v>369</v>
      </c>
    </row>
    <row r="147" spans="1:13">
      <c r="A147" s="2">
        <f ca="1">IFERROR(__xludf.DUMMYFUNCTION("""COMPUTED_VALUE"""),148)</f>
        <v>148</v>
      </c>
      <c r="B147" s="2" t="str">
        <f ca="1">IFERROR(__xludf.DUMMYFUNCTION("""COMPUTED_VALUE"""),"Asus")</f>
        <v>Asus</v>
      </c>
      <c r="C147" s="2" t="str">
        <f ca="1">IFERROR(__xludf.DUMMYFUNCTION("""COMPUTED_VALUE"""),"ZenBook UX430UA")</f>
        <v>ZenBook UX430UA</v>
      </c>
      <c r="D147" s="2" t="str">
        <f ca="1">IFERROR(__xludf.DUMMYFUNCTION("""COMPUTED_VALUE"""),"Ultrabook")</f>
        <v>Ultrabook</v>
      </c>
      <c r="E147" s="2">
        <f ca="1">IFERROR(__xludf.DUMMYFUNCTION("""COMPUTED_VALUE"""),14)</f>
        <v>14</v>
      </c>
      <c r="F147" s="2" t="str">
        <f ca="1">IFERROR(__xludf.DUMMYFUNCTION("""COMPUTED_VALUE"""),"Full HD 1920x1080")</f>
        <v>Full HD 1920x1080</v>
      </c>
      <c r="G147" s="2" t="str">
        <f ca="1">IFERROR(__xludf.DUMMYFUNCTION("""COMPUTED_VALUE"""),"Intel Core i7 8550U 1.8GHz")</f>
        <v>Intel Core i7 8550U 1.8GHz</v>
      </c>
      <c r="H147" s="2" t="str">
        <f ca="1">IFERROR(__xludf.DUMMYFUNCTION("""COMPUTED_VALUE"""),"8GB")</f>
        <v>8GB</v>
      </c>
      <c r="I147" s="2" t="str">
        <f ca="1">IFERROR(__xludf.DUMMYFUNCTION("""COMPUTED_VALUE"""),"256GB SSD")</f>
        <v>256GB SSD</v>
      </c>
      <c r="J147" s="2" t="str">
        <f ca="1">IFERROR(__xludf.DUMMYFUNCTION("""COMPUTED_VALUE"""),"Intel UHD Graphics 620")</f>
        <v>Intel UHD Graphics 620</v>
      </c>
      <c r="K147" s="2" t="str">
        <f ca="1">IFERROR(__xludf.DUMMYFUNCTION("""COMPUTED_VALUE"""),"Windows 10")</f>
        <v>Windows 10</v>
      </c>
      <c r="L147" s="2" t="str">
        <f ca="1">IFERROR(__xludf.DUMMYFUNCTION("""COMPUTED_VALUE"""),"1.25kg")</f>
        <v>1.25kg</v>
      </c>
      <c r="M147" s="2">
        <f ca="1">IFERROR(__xludf.DUMMYFUNCTION("""COMPUTED_VALUE"""),1099)</f>
        <v>1099</v>
      </c>
    </row>
    <row r="148" spans="1:13">
      <c r="A148" s="2">
        <f ca="1">IFERROR(__xludf.DUMMYFUNCTION("""COMPUTED_VALUE"""),149)</f>
        <v>149</v>
      </c>
      <c r="B148" s="2" t="str">
        <f ca="1">IFERROR(__xludf.DUMMYFUNCTION("""COMPUTED_VALUE"""),"HP")</f>
        <v>HP</v>
      </c>
      <c r="C148" s="2" t="str">
        <f ca="1">IFERROR(__xludf.DUMMYFUNCTION("""COMPUTED_VALUE"""),"EliteBook Folio")</f>
        <v>EliteBook Folio</v>
      </c>
      <c r="D148" s="2" t="str">
        <f ca="1">IFERROR(__xludf.DUMMYFUNCTION("""COMPUTED_VALUE"""),"Ultrabook")</f>
        <v>Ultrabook</v>
      </c>
      <c r="E148" s="2">
        <f ca="1">IFERROR(__xludf.DUMMYFUNCTION("""COMPUTED_VALUE"""),12.5)</f>
        <v>12.5</v>
      </c>
      <c r="F148" s="2" t="str">
        <f ca="1">IFERROR(__xludf.DUMMYFUNCTION("""COMPUTED_VALUE"""),"IPS Panel 4K Ultra HD / Touchscreen 3840x2160")</f>
        <v>IPS Panel 4K Ultra HD / Touchscreen 3840x2160</v>
      </c>
      <c r="G148" s="2" t="str">
        <f ca="1">IFERROR(__xludf.DUMMYFUNCTION("""COMPUTED_VALUE"""),"Intel Core M 6Y75 1.2GHz")</f>
        <v>Intel Core M 6Y75 1.2GHz</v>
      </c>
      <c r="H148" s="2" t="str">
        <f ca="1">IFERROR(__xludf.DUMMYFUNCTION("""COMPUTED_VALUE"""),"8GB")</f>
        <v>8GB</v>
      </c>
      <c r="I148" s="2" t="str">
        <f ca="1">IFERROR(__xludf.DUMMYFUNCTION("""COMPUTED_VALUE"""),"512GB SSD")</f>
        <v>512GB SSD</v>
      </c>
      <c r="J148" s="2" t="str">
        <f ca="1">IFERROR(__xludf.DUMMYFUNCTION("""COMPUTED_VALUE"""),"Intel HD Graphics 515")</f>
        <v>Intel HD Graphics 515</v>
      </c>
      <c r="K148" s="2" t="str">
        <f ca="1">IFERROR(__xludf.DUMMYFUNCTION("""COMPUTED_VALUE"""),"Windows 10")</f>
        <v>Windows 10</v>
      </c>
      <c r="L148" s="2" t="str">
        <f ca="1">IFERROR(__xludf.DUMMYFUNCTION("""COMPUTED_VALUE"""),"0.97kg")</f>
        <v>0.97kg</v>
      </c>
      <c r="M148" s="2">
        <f ca="1">IFERROR(__xludf.DUMMYFUNCTION("""COMPUTED_VALUE"""),2014)</f>
        <v>2014</v>
      </c>
    </row>
    <row r="149" spans="1:13">
      <c r="A149" s="2">
        <f ca="1">IFERROR(__xludf.DUMMYFUNCTION("""COMPUTED_VALUE"""),150)</f>
        <v>150</v>
      </c>
      <c r="B149" s="2" t="str">
        <f ca="1">IFERROR(__xludf.DUMMYFUNCTION("""COMPUTED_VALUE"""),"Asus")</f>
        <v>Asus</v>
      </c>
      <c r="C149" s="2" t="str">
        <f ca="1">IFERROR(__xludf.DUMMYFUNCTION("""COMPUTED_VALUE"""),"X541NA (N3350/4GB/1TB/FHD/W10)")</f>
        <v>X541NA (N3350/4GB/1TB/FHD/W10)</v>
      </c>
      <c r="D149" s="2" t="str">
        <f ca="1">IFERROR(__xludf.DUMMYFUNCTION("""COMPUTED_VALUE"""),"Notebook")</f>
        <v>Notebook</v>
      </c>
      <c r="E149" s="2">
        <f ca="1">IFERROR(__xludf.DUMMYFUNCTION("""COMPUTED_VALUE"""),15.6)</f>
        <v>15.6</v>
      </c>
      <c r="F149" s="2" t="str">
        <f ca="1">IFERROR(__xludf.DUMMYFUNCTION("""COMPUTED_VALUE"""),"Full HD 1920x1080")</f>
        <v>Full HD 1920x1080</v>
      </c>
      <c r="G149" s="2" t="str">
        <f ca="1">IFERROR(__xludf.DUMMYFUNCTION("""COMPUTED_VALUE"""),"Intel Celeron Dual Core N3350 1.1GHz")</f>
        <v>Intel Celeron Dual Core N3350 1.1GHz</v>
      </c>
      <c r="H149" s="2" t="str">
        <f ca="1">IFERROR(__xludf.DUMMYFUNCTION("""COMPUTED_VALUE"""),"4GB")</f>
        <v>4GB</v>
      </c>
      <c r="I149" s="2" t="str">
        <f ca="1">IFERROR(__xludf.DUMMYFUNCTION("""COMPUTED_VALUE"""),"1TB HDD")</f>
        <v>1TB HDD</v>
      </c>
      <c r="J149" s="2" t="str">
        <f ca="1">IFERROR(__xludf.DUMMYFUNCTION("""COMPUTED_VALUE"""),"Intel HD Graphics 500")</f>
        <v>Intel HD Graphics 500</v>
      </c>
      <c r="K149" s="2" t="str">
        <f ca="1">IFERROR(__xludf.DUMMYFUNCTION("""COMPUTED_VALUE"""),"Windows 10")</f>
        <v>Windows 10</v>
      </c>
      <c r="L149" s="2" t="str">
        <f ca="1">IFERROR(__xludf.DUMMYFUNCTION("""COMPUTED_VALUE"""),"2kg")</f>
        <v>2kg</v>
      </c>
      <c r="M149" s="2">
        <f ca="1">IFERROR(__xludf.DUMMYFUNCTION("""COMPUTED_VALUE"""),344)</f>
        <v>344</v>
      </c>
    </row>
    <row r="150" spans="1:13">
      <c r="A150" s="2">
        <f ca="1">IFERROR(__xludf.DUMMYFUNCTION("""COMPUTED_VALUE"""),151)</f>
        <v>151</v>
      </c>
      <c r="B150" s="2" t="str">
        <f ca="1">IFERROR(__xludf.DUMMYFUNCTION("""COMPUTED_VALUE"""),"MSI")</f>
        <v>MSI</v>
      </c>
      <c r="C150" s="2" t="str">
        <f ca="1">IFERROR(__xludf.DUMMYFUNCTION("""COMPUTED_VALUE"""),"GE72MVR 7RG")</f>
        <v>GE72MVR 7RG</v>
      </c>
      <c r="D150" s="2" t="str">
        <f ca="1">IFERROR(__xludf.DUMMYFUNCTION("""COMPUTED_VALUE"""),"Gaming")</f>
        <v>Gaming</v>
      </c>
      <c r="E150" s="2">
        <f ca="1">IFERROR(__xludf.DUMMYFUNCTION("""COMPUTED_VALUE"""),17.3)</f>
        <v>17.3</v>
      </c>
      <c r="F150" s="2" t="str">
        <f ca="1">IFERROR(__xludf.DUMMYFUNCTION("""COMPUTED_VALUE"""),"Full HD 1920x1080")</f>
        <v>Full HD 1920x1080</v>
      </c>
      <c r="G150" s="2" t="str">
        <f ca="1">IFERROR(__xludf.DUMMYFUNCTION("""COMPUTED_VALUE"""),"Intel Core i7 7700HQ 2.8GHz")</f>
        <v>Intel Core i7 7700HQ 2.8GHz</v>
      </c>
      <c r="H150" s="2" t="str">
        <f ca="1">IFERROR(__xludf.DUMMYFUNCTION("""COMPUTED_VALUE"""),"16GB")</f>
        <v>16GB</v>
      </c>
      <c r="I150" s="2" t="str">
        <f ca="1">IFERROR(__xludf.DUMMYFUNCTION("""COMPUTED_VALUE"""),"256GB SSD +  1TB HDD")</f>
        <v>256GB SSD +  1TB HDD</v>
      </c>
      <c r="J150" s="2" t="str">
        <f ca="1">IFERROR(__xludf.DUMMYFUNCTION("""COMPUTED_VALUE"""),"Nvidia GeForce GTX 1070")</f>
        <v>Nvidia GeForce GTX 1070</v>
      </c>
      <c r="K150" s="2" t="str">
        <f ca="1">IFERROR(__xludf.DUMMYFUNCTION("""COMPUTED_VALUE"""),"Windows 10")</f>
        <v>Windows 10</v>
      </c>
      <c r="L150" s="2" t="str">
        <f ca="1">IFERROR(__xludf.DUMMYFUNCTION("""COMPUTED_VALUE"""),"2.9kg")</f>
        <v>2.9kg</v>
      </c>
      <c r="M150" s="2">
        <f ca="1">IFERROR(__xludf.DUMMYFUNCTION("""COMPUTED_VALUE"""),2029)</f>
        <v>2029</v>
      </c>
    </row>
    <row r="151" spans="1:13">
      <c r="A151" s="2">
        <f ca="1">IFERROR(__xludf.DUMMYFUNCTION("""COMPUTED_VALUE"""),152)</f>
        <v>152</v>
      </c>
      <c r="B151" s="2" t="str">
        <f ca="1">IFERROR(__xludf.DUMMYFUNCTION("""COMPUTED_VALUE"""),"Acer")</f>
        <v>Acer</v>
      </c>
      <c r="C151" s="2" t="str">
        <f ca="1">IFERROR(__xludf.DUMMYFUNCTION("""COMPUTED_VALUE"""),"Aspire A315-51")</f>
        <v>Aspire A315-51</v>
      </c>
      <c r="D151" s="2" t="str">
        <f ca="1">IFERROR(__xludf.DUMMYFUNCTION("""COMPUTED_VALUE"""),"Notebook")</f>
        <v>Notebook</v>
      </c>
      <c r="E151" s="2">
        <f ca="1">IFERROR(__xludf.DUMMYFUNCTION("""COMPUTED_VALUE"""),15.6)</f>
        <v>15.6</v>
      </c>
      <c r="F151" s="2" t="str">
        <f ca="1">IFERROR(__xludf.DUMMYFUNCTION("""COMPUTED_VALUE"""),"1366x768")</f>
        <v>1366x768</v>
      </c>
      <c r="G151" s="2" t="str">
        <f ca="1">IFERROR(__xludf.DUMMYFUNCTION("""COMPUTED_VALUE"""),"Intel Core i3 6006U 2GHz")</f>
        <v>Intel Core i3 6006U 2GHz</v>
      </c>
      <c r="H151" s="2" t="str">
        <f ca="1">IFERROR(__xludf.DUMMYFUNCTION("""COMPUTED_VALUE"""),"4GB")</f>
        <v>4GB</v>
      </c>
      <c r="I151" s="2" t="str">
        <f ca="1">IFERROR(__xludf.DUMMYFUNCTION("""COMPUTED_VALUE"""),"1TB HDD")</f>
        <v>1TB HDD</v>
      </c>
      <c r="J151" s="2" t="str">
        <f ca="1">IFERROR(__xludf.DUMMYFUNCTION("""COMPUTED_VALUE"""),"Intel HD Graphics 520")</f>
        <v>Intel HD Graphics 520</v>
      </c>
      <c r="K151" s="2" t="str">
        <f ca="1">IFERROR(__xludf.DUMMYFUNCTION("""COMPUTED_VALUE"""),"Windows 10")</f>
        <v>Windows 10</v>
      </c>
      <c r="L151" s="2" t="str">
        <f ca="1">IFERROR(__xludf.DUMMYFUNCTION("""COMPUTED_VALUE"""),"2.1kg")</f>
        <v>2.1kg</v>
      </c>
      <c r="M151" s="2">
        <f ca="1">IFERROR(__xludf.DUMMYFUNCTION("""COMPUTED_VALUE"""),447)</f>
        <v>447</v>
      </c>
    </row>
    <row r="152" spans="1:13">
      <c r="A152" s="2">
        <f ca="1">IFERROR(__xludf.DUMMYFUNCTION("""COMPUTED_VALUE"""),153)</f>
        <v>153</v>
      </c>
      <c r="B152" s="2" t="str">
        <f ca="1">IFERROR(__xludf.DUMMYFUNCTION("""COMPUTED_VALUE"""),"Dell")</f>
        <v>Dell</v>
      </c>
      <c r="C152" s="2" t="str">
        <f ca="1">IFERROR(__xludf.DUMMYFUNCTION("""COMPUTED_VALUE"""),"Inspiron 5577")</f>
        <v>Inspiron 5577</v>
      </c>
      <c r="D152" s="2" t="str">
        <f ca="1">IFERROR(__xludf.DUMMYFUNCTION("""COMPUTED_VALUE"""),"Gaming")</f>
        <v>Gaming</v>
      </c>
      <c r="E152" s="2">
        <f ca="1">IFERROR(__xludf.DUMMYFUNCTION("""COMPUTED_VALUE"""),15.6)</f>
        <v>15.6</v>
      </c>
      <c r="F152" s="2" t="str">
        <f ca="1">IFERROR(__xludf.DUMMYFUNCTION("""COMPUTED_VALUE"""),"Full HD 1920x1080")</f>
        <v>Full HD 1920x1080</v>
      </c>
      <c r="G152" s="2" t="str">
        <f ca="1">IFERROR(__xludf.DUMMYFUNCTION("""COMPUTED_VALUE"""),"Intel Core i7 7700HQ 2.8GHz")</f>
        <v>Intel Core i7 7700HQ 2.8GHz</v>
      </c>
      <c r="H152" s="2" t="str">
        <f ca="1">IFERROR(__xludf.DUMMYFUNCTION("""COMPUTED_VALUE"""),"16GB")</f>
        <v>16GB</v>
      </c>
      <c r="I152" s="2" t="str">
        <f ca="1">IFERROR(__xludf.DUMMYFUNCTION("""COMPUTED_VALUE"""),"512GB SSD")</f>
        <v>512GB SSD</v>
      </c>
      <c r="J152" s="2" t="str">
        <f ca="1">IFERROR(__xludf.DUMMYFUNCTION("""COMPUTED_VALUE"""),"Nvidia GeForce GTX 1050")</f>
        <v>Nvidia GeForce GTX 1050</v>
      </c>
      <c r="K152" s="2" t="str">
        <f ca="1">IFERROR(__xludf.DUMMYFUNCTION("""COMPUTED_VALUE"""),"Windows 10")</f>
        <v>Windows 10</v>
      </c>
      <c r="L152" s="2" t="str">
        <f ca="1">IFERROR(__xludf.DUMMYFUNCTION("""COMPUTED_VALUE"""),"2.56kg")</f>
        <v>2.56kg</v>
      </c>
      <c r="M152" s="2">
        <f ca="1">IFERROR(__xludf.DUMMYFUNCTION("""COMPUTED_VALUE"""),1249.26)</f>
        <v>1249.26</v>
      </c>
    </row>
    <row r="153" spans="1:13">
      <c r="A153" s="2">
        <f ca="1">IFERROR(__xludf.DUMMYFUNCTION("""COMPUTED_VALUE"""),154)</f>
        <v>154</v>
      </c>
      <c r="B153" s="2" t="str">
        <f ca="1">IFERROR(__xludf.DUMMYFUNCTION("""COMPUTED_VALUE"""),"Dell")</f>
        <v>Dell</v>
      </c>
      <c r="C153" s="2" t="str">
        <f ca="1">IFERROR(__xludf.DUMMYFUNCTION("""COMPUTED_VALUE"""),"Inspiron 7567")</f>
        <v>Inspiron 7567</v>
      </c>
      <c r="D153" s="2" t="str">
        <f ca="1">IFERROR(__xludf.DUMMYFUNCTION("""COMPUTED_VALUE"""),"Gaming")</f>
        <v>Gaming</v>
      </c>
      <c r="E153" s="2">
        <f ca="1">IFERROR(__xludf.DUMMYFUNCTION("""COMPUTED_VALUE"""),15.6)</f>
        <v>15.6</v>
      </c>
      <c r="F153" s="2" t="str">
        <f ca="1">IFERROR(__xludf.DUMMYFUNCTION("""COMPUTED_VALUE"""),"Full HD 1920x1080")</f>
        <v>Full HD 1920x1080</v>
      </c>
      <c r="G153" s="2" t="str">
        <f ca="1">IFERROR(__xludf.DUMMYFUNCTION("""COMPUTED_VALUE"""),"Intel Core i7 7700HQ 2.8GHz")</f>
        <v>Intel Core i7 7700HQ 2.8GHz</v>
      </c>
      <c r="H153" s="2" t="str">
        <f ca="1">IFERROR(__xludf.DUMMYFUNCTION("""COMPUTED_VALUE"""),"8GB")</f>
        <v>8GB</v>
      </c>
      <c r="I153" s="2" t="str">
        <f ca="1">IFERROR(__xludf.DUMMYFUNCTION("""COMPUTED_VALUE"""),"1.0TB Hybrid")</f>
        <v>1.0TB Hybrid</v>
      </c>
      <c r="J153" s="2" t="str">
        <f ca="1">IFERROR(__xludf.DUMMYFUNCTION("""COMPUTED_VALUE"""),"Nvidia GeForce GTX 1050")</f>
        <v>Nvidia GeForce GTX 1050</v>
      </c>
      <c r="K153" s="2" t="str">
        <f ca="1">IFERROR(__xludf.DUMMYFUNCTION("""COMPUTED_VALUE"""),"Windows 10")</f>
        <v>Windows 10</v>
      </c>
      <c r="L153" s="2" t="str">
        <f ca="1">IFERROR(__xludf.DUMMYFUNCTION("""COMPUTED_VALUE"""),"2.62kg")</f>
        <v>2.62kg</v>
      </c>
      <c r="M153" s="2">
        <f ca="1">IFERROR(__xludf.DUMMYFUNCTION("""COMPUTED_VALUE"""),899)</f>
        <v>899</v>
      </c>
    </row>
    <row r="154" spans="1:13">
      <c r="A154" s="2">
        <f ca="1">IFERROR(__xludf.DUMMYFUNCTION("""COMPUTED_VALUE"""),155)</f>
        <v>155</v>
      </c>
      <c r="B154" s="2" t="str">
        <f ca="1">IFERROR(__xludf.DUMMYFUNCTION("""COMPUTED_VALUE"""),"Lenovo")</f>
        <v>Lenovo</v>
      </c>
      <c r="C154" s="2" t="str">
        <f ca="1">IFERROR(__xludf.DUMMYFUNCTION("""COMPUTED_VALUE"""),"V110-15IKB (i5-7200U/4GB/128GB/W10)")</f>
        <v>V110-15IKB (i5-7200U/4GB/128GB/W10)</v>
      </c>
      <c r="D154" s="2" t="str">
        <f ca="1">IFERROR(__xludf.DUMMYFUNCTION("""COMPUTED_VALUE"""),"Notebook")</f>
        <v>Notebook</v>
      </c>
      <c r="E154" s="2">
        <f ca="1">IFERROR(__xludf.DUMMYFUNCTION("""COMPUTED_VALUE"""),15.6)</f>
        <v>15.6</v>
      </c>
      <c r="F154" s="2" t="str">
        <f ca="1">IFERROR(__xludf.DUMMYFUNCTION("""COMPUTED_VALUE"""),"1366x768")</f>
        <v>1366x768</v>
      </c>
      <c r="G154" s="2" t="str">
        <f ca="1">IFERROR(__xludf.DUMMYFUNCTION("""COMPUTED_VALUE"""),"Intel Core i5 7200U 2.5GHz")</f>
        <v>Intel Core i5 7200U 2.5GHz</v>
      </c>
      <c r="H154" s="2" t="str">
        <f ca="1">IFERROR(__xludf.DUMMYFUNCTION("""COMPUTED_VALUE"""),"4GB")</f>
        <v>4GB</v>
      </c>
      <c r="I154" s="2" t="str">
        <f ca="1">IFERROR(__xludf.DUMMYFUNCTION("""COMPUTED_VALUE"""),"128GB SSD")</f>
        <v>128GB SSD</v>
      </c>
      <c r="J154" s="2" t="str">
        <f ca="1">IFERROR(__xludf.DUMMYFUNCTION("""COMPUTED_VALUE"""),"Intel HD Graphics 620")</f>
        <v>Intel HD Graphics 620</v>
      </c>
      <c r="K154" s="2" t="str">
        <f ca="1">IFERROR(__xludf.DUMMYFUNCTION("""COMPUTED_VALUE"""),"Windows 10")</f>
        <v>Windows 10</v>
      </c>
      <c r="L154" s="2" t="str">
        <f ca="1">IFERROR(__xludf.DUMMYFUNCTION("""COMPUTED_VALUE"""),"1.9kg")</f>
        <v>1.9kg</v>
      </c>
      <c r="M154" s="2">
        <f ca="1">IFERROR(__xludf.DUMMYFUNCTION("""COMPUTED_VALUE"""),498)</f>
        <v>498</v>
      </c>
    </row>
    <row r="155" spans="1:13">
      <c r="A155" s="2">
        <f ca="1">IFERROR(__xludf.DUMMYFUNCTION("""COMPUTED_VALUE"""),156)</f>
        <v>156</v>
      </c>
      <c r="B155" s="2" t="str">
        <f ca="1">IFERROR(__xludf.DUMMYFUNCTION("""COMPUTED_VALUE"""),"MSI")</f>
        <v>MSI</v>
      </c>
      <c r="C155" s="2" t="str">
        <f ca="1">IFERROR(__xludf.DUMMYFUNCTION("""COMPUTED_VALUE"""),"GE73VR 7RE")</f>
        <v>GE73VR 7RE</v>
      </c>
      <c r="D155" s="2" t="str">
        <f ca="1">IFERROR(__xludf.DUMMYFUNCTION("""COMPUTED_VALUE"""),"Gaming")</f>
        <v>Gaming</v>
      </c>
      <c r="E155" s="2">
        <f ca="1">IFERROR(__xludf.DUMMYFUNCTION("""COMPUTED_VALUE"""),17.3)</f>
        <v>17.3</v>
      </c>
      <c r="F155" s="2" t="str">
        <f ca="1">IFERROR(__xludf.DUMMYFUNCTION("""COMPUTED_VALUE"""),"Full HD 1920x1080")</f>
        <v>Full HD 1920x1080</v>
      </c>
      <c r="G155" s="2" t="str">
        <f ca="1">IFERROR(__xludf.DUMMYFUNCTION("""COMPUTED_VALUE"""),"Intel Core i7 7700HQ 2.8GHz")</f>
        <v>Intel Core i7 7700HQ 2.8GHz</v>
      </c>
      <c r="H155" s="2" t="str">
        <f ca="1">IFERROR(__xludf.DUMMYFUNCTION("""COMPUTED_VALUE"""),"16GB")</f>
        <v>16GB</v>
      </c>
      <c r="I155" s="2" t="str">
        <f ca="1">IFERROR(__xludf.DUMMYFUNCTION("""COMPUTED_VALUE"""),"256GB SSD +  1TB HDD")</f>
        <v>256GB SSD +  1TB HDD</v>
      </c>
      <c r="J155" s="2" t="str">
        <f ca="1">IFERROR(__xludf.DUMMYFUNCTION("""COMPUTED_VALUE"""),"Nvidia GeForce GTX 1060")</f>
        <v>Nvidia GeForce GTX 1060</v>
      </c>
      <c r="K155" s="2" t="str">
        <f ca="1">IFERROR(__xludf.DUMMYFUNCTION("""COMPUTED_VALUE"""),"Windows 10")</f>
        <v>Windows 10</v>
      </c>
      <c r="L155" s="2" t="str">
        <f ca="1">IFERROR(__xludf.DUMMYFUNCTION("""COMPUTED_VALUE"""),"2.8kg")</f>
        <v>2.8kg</v>
      </c>
      <c r="M155" s="2">
        <f ca="1">IFERROR(__xludf.DUMMYFUNCTION("""COMPUTED_VALUE"""),1890)</f>
        <v>1890</v>
      </c>
    </row>
    <row r="156" spans="1:13">
      <c r="A156" s="2">
        <f ca="1">IFERROR(__xludf.DUMMYFUNCTION("""COMPUTED_VALUE"""),157)</f>
        <v>157</v>
      </c>
      <c r="B156" s="2" t="str">
        <f ca="1">IFERROR(__xludf.DUMMYFUNCTION("""COMPUTED_VALUE"""),"HP")</f>
        <v>HP</v>
      </c>
      <c r="C156" s="2" t="str">
        <f ca="1">IFERROR(__xludf.DUMMYFUNCTION("""COMPUTED_VALUE"""),"EliteBook 840")</f>
        <v>EliteBook 840</v>
      </c>
      <c r="D156" s="2" t="str">
        <f ca="1">IFERROR(__xludf.DUMMYFUNCTION("""COMPUTED_VALUE"""),"Ultrabook")</f>
        <v>Ultrabook</v>
      </c>
      <c r="E156" s="2">
        <f ca="1">IFERROR(__xludf.DUMMYFUNCTION("""COMPUTED_VALUE"""),14)</f>
        <v>14</v>
      </c>
      <c r="F156" s="2" t="str">
        <f ca="1">IFERROR(__xludf.DUMMYFUNCTION("""COMPUTED_VALUE"""),"Full HD 1920x1080")</f>
        <v>Full HD 1920x1080</v>
      </c>
      <c r="G156" s="2" t="str">
        <f ca="1">IFERROR(__xludf.DUMMYFUNCTION("""COMPUTED_VALUE"""),"Intel Core i5 7500U 2.7GHz")</f>
        <v>Intel Core i5 7500U 2.7GHz</v>
      </c>
      <c r="H156" s="2" t="str">
        <f ca="1">IFERROR(__xludf.DUMMYFUNCTION("""COMPUTED_VALUE"""),"4GB")</f>
        <v>4GB</v>
      </c>
      <c r="I156" s="2" t="str">
        <f ca="1">IFERROR(__xludf.DUMMYFUNCTION("""COMPUTED_VALUE"""),"256GB SSD")</f>
        <v>256GB SSD</v>
      </c>
      <c r="J156" s="2" t="str">
        <f ca="1">IFERROR(__xludf.DUMMYFUNCTION("""COMPUTED_VALUE"""),"Intel HD Graphics 620")</f>
        <v>Intel HD Graphics 620</v>
      </c>
      <c r="K156" s="2" t="str">
        <f ca="1">IFERROR(__xludf.DUMMYFUNCTION("""COMPUTED_VALUE"""),"Windows 10")</f>
        <v>Windows 10</v>
      </c>
      <c r="L156" s="2" t="str">
        <f ca="1">IFERROR(__xludf.DUMMYFUNCTION("""COMPUTED_VALUE"""),"1.48kg")</f>
        <v>1.48kg</v>
      </c>
      <c r="M156" s="2">
        <f ca="1">IFERROR(__xludf.DUMMYFUNCTION("""COMPUTED_VALUE"""),1082)</f>
        <v>1082</v>
      </c>
    </row>
    <row r="157" spans="1:13">
      <c r="A157" s="2">
        <f ca="1">IFERROR(__xludf.DUMMYFUNCTION("""COMPUTED_VALUE"""),158)</f>
        <v>158</v>
      </c>
      <c r="B157" s="2" t="str">
        <f ca="1">IFERROR(__xludf.DUMMYFUNCTION("""COMPUTED_VALUE"""),"HP")</f>
        <v>HP</v>
      </c>
      <c r="C157" s="2" t="str">
        <f ca="1">IFERROR(__xludf.DUMMYFUNCTION("""COMPUTED_VALUE"""),"15-BS103nv (i5-8250U/6GB/256GB/Radeon")</f>
        <v>15-BS103nv (i5-8250U/6GB/256GB/Radeon</v>
      </c>
      <c r="D157" s="2" t="str">
        <f ca="1">IFERROR(__xludf.DUMMYFUNCTION("""COMPUTED_VALUE"""),"Notebook")</f>
        <v>Notebook</v>
      </c>
      <c r="E157" s="2">
        <f ca="1">IFERROR(__xludf.DUMMYFUNCTION("""COMPUTED_VALUE"""),15.6)</f>
        <v>15.6</v>
      </c>
      <c r="F157" s="2" t="str">
        <f ca="1">IFERROR(__xludf.DUMMYFUNCTION("""COMPUTED_VALUE"""),"Full HD 1920x1080")</f>
        <v>Full HD 1920x1080</v>
      </c>
      <c r="G157" s="2" t="str">
        <f ca="1">IFERROR(__xludf.DUMMYFUNCTION("""COMPUTED_VALUE"""),"Intel Core i5 8250U 1.6GHz")</f>
        <v>Intel Core i5 8250U 1.6GHz</v>
      </c>
      <c r="H157" s="2" t="str">
        <f ca="1">IFERROR(__xludf.DUMMYFUNCTION("""COMPUTED_VALUE"""),"6GB")</f>
        <v>6GB</v>
      </c>
      <c r="I157" s="2" t="str">
        <f ca="1">IFERROR(__xludf.DUMMYFUNCTION("""COMPUTED_VALUE"""),"256GB SSD")</f>
        <v>256GB SSD</v>
      </c>
      <c r="J157" s="2" t="str">
        <f ca="1">IFERROR(__xludf.DUMMYFUNCTION("""COMPUTED_VALUE"""),"AMD Radeon 520")</f>
        <v>AMD Radeon 520</v>
      </c>
      <c r="K157" s="2" t="str">
        <f ca="1">IFERROR(__xludf.DUMMYFUNCTION("""COMPUTED_VALUE"""),"Windows 10")</f>
        <v>Windows 10</v>
      </c>
      <c r="L157" s="2" t="str">
        <f ca="1">IFERROR(__xludf.DUMMYFUNCTION("""COMPUTED_VALUE"""),"1.91kg")</f>
        <v>1.91kg</v>
      </c>
      <c r="M157" s="2">
        <f ca="1">IFERROR(__xludf.DUMMYFUNCTION("""COMPUTED_VALUE"""),619)</f>
        <v>619</v>
      </c>
    </row>
    <row r="158" spans="1:13">
      <c r="A158" s="2">
        <f ca="1">IFERROR(__xludf.DUMMYFUNCTION("""COMPUTED_VALUE"""),159)</f>
        <v>159</v>
      </c>
      <c r="B158" s="2" t="str">
        <f ca="1">IFERROR(__xludf.DUMMYFUNCTION("""COMPUTED_VALUE"""),"Lenovo")</f>
        <v>Lenovo</v>
      </c>
      <c r="C158" s="2" t="str">
        <f ca="1">IFERROR(__xludf.DUMMYFUNCTION("""COMPUTED_VALUE"""),"Yoga 520-14IKB")</f>
        <v>Yoga 520-14IKB</v>
      </c>
      <c r="D158" s="2" t="str">
        <f ca="1">IFERROR(__xludf.DUMMYFUNCTION("""COMPUTED_VALUE"""),"2 in 1 Convertible")</f>
        <v>2 in 1 Convertible</v>
      </c>
      <c r="E158" s="2">
        <f ca="1">IFERROR(__xludf.DUMMYFUNCTION("""COMPUTED_VALUE"""),14)</f>
        <v>14</v>
      </c>
      <c r="F158" s="2" t="str">
        <f ca="1">IFERROR(__xludf.DUMMYFUNCTION("""COMPUTED_VALUE"""),"IPS Panel Full HD / Touchscreen 1920x1080")</f>
        <v>IPS Panel Full HD / Touchscreen 1920x1080</v>
      </c>
      <c r="G158" s="2" t="str">
        <f ca="1">IFERROR(__xludf.DUMMYFUNCTION("""COMPUTED_VALUE"""),"Intel Core i3 7100U 2.4GHz")</f>
        <v>Intel Core i3 7100U 2.4GHz</v>
      </c>
      <c r="H158" s="2" t="str">
        <f ca="1">IFERROR(__xludf.DUMMYFUNCTION("""COMPUTED_VALUE"""),"4GB")</f>
        <v>4GB</v>
      </c>
      <c r="I158" s="2" t="str">
        <f ca="1">IFERROR(__xludf.DUMMYFUNCTION("""COMPUTED_VALUE"""),"256GB SSD")</f>
        <v>256GB SSD</v>
      </c>
      <c r="J158" s="2" t="str">
        <f ca="1">IFERROR(__xludf.DUMMYFUNCTION("""COMPUTED_VALUE"""),"Intel HD Graphics 620")</f>
        <v>Intel HD Graphics 620</v>
      </c>
      <c r="K158" s="2" t="str">
        <f ca="1">IFERROR(__xludf.DUMMYFUNCTION("""COMPUTED_VALUE"""),"Windows 10")</f>
        <v>Windows 10</v>
      </c>
      <c r="L158" s="2" t="str">
        <f ca="1">IFERROR(__xludf.DUMMYFUNCTION("""COMPUTED_VALUE"""),"1.74kg")</f>
        <v>1.74kg</v>
      </c>
      <c r="M158" s="2">
        <f ca="1">IFERROR(__xludf.DUMMYFUNCTION("""COMPUTED_VALUE"""),629)</f>
        <v>629</v>
      </c>
    </row>
    <row r="159" spans="1:13">
      <c r="A159" s="2">
        <f ca="1">IFERROR(__xludf.DUMMYFUNCTION("""COMPUTED_VALUE"""),160)</f>
        <v>160</v>
      </c>
      <c r="B159" s="2" t="str">
        <f ca="1">IFERROR(__xludf.DUMMYFUNCTION("""COMPUTED_VALUE"""),"Asus")</f>
        <v>Asus</v>
      </c>
      <c r="C159" s="2" t="str">
        <f ca="1">IFERROR(__xludf.DUMMYFUNCTION("""COMPUTED_VALUE"""),"ZenBook Flip")</f>
        <v>ZenBook Flip</v>
      </c>
      <c r="D159" s="2" t="str">
        <f ca="1">IFERROR(__xludf.DUMMYFUNCTION("""COMPUTED_VALUE"""),"2 in 1 Convertible")</f>
        <v>2 in 1 Convertible</v>
      </c>
      <c r="E159" s="2">
        <f ca="1">IFERROR(__xludf.DUMMYFUNCTION("""COMPUTED_VALUE"""),13.3)</f>
        <v>13.3</v>
      </c>
      <c r="F159" s="2" t="str">
        <f ca="1">IFERROR(__xludf.DUMMYFUNCTION("""COMPUTED_VALUE"""),"Full HD / Touchscreen 1920x1080")</f>
        <v>Full HD / Touchscreen 1920x1080</v>
      </c>
      <c r="G159" s="2" t="str">
        <f ca="1">IFERROR(__xludf.DUMMYFUNCTION("""COMPUTED_VALUE"""),"Intel Core i5 8250U 1.6GHz")</f>
        <v>Intel Core i5 8250U 1.6GHz</v>
      </c>
      <c r="H159" s="2" t="str">
        <f ca="1">IFERROR(__xludf.DUMMYFUNCTION("""COMPUTED_VALUE"""),"8GB")</f>
        <v>8GB</v>
      </c>
      <c r="I159" s="2" t="str">
        <f ca="1">IFERROR(__xludf.DUMMYFUNCTION("""COMPUTED_VALUE"""),"256GB SSD")</f>
        <v>256GB SSD</v>
      </c>
      <c r="J159" s="2" t="str">
        <f ca="1">IFERROR(__xludf.DUMMYFUNCTION("""COMPUTED_VALUE"""),"Intel HD Graphics 620")</f>
        <v>Intel HD Graphics 620</v>
      </c>
      <c r="K159" s="2" t="str">
        <f ca="1">IFERROR(__xludf.DUMMYFUNCTION("""COMPUTED_VALUE"""),"Windows 10")</f>
        <v>Windows 10</v>
      </c>
      <c r="L159" s="2" t="str">
        <f ca="1">IFERROR(__xludf.DUMMYFUNCTION("""COMPUTED_VALUE"""),"1.1kg")</f>
        <v>1.1kg</v>
      </c>
      <c r="M159" s="2">
        <f ca="1">IFERROR(__xludf.DUMMYFUNCTION("""COMPUTED_VALUE"""),1315)</f>
        <v>1315</v>
      </c>
    </row>
    <row r="160" spans="1:13">
      <c r="A160" s="2">
        <f ca="1">IFERROR(__xludf.DUMMYFUNCTION("""COMPUTED_VALUE"""),161)</f>
        <v>161</v>
      </c>
      <c r="B160" s="2" t="str">
        <f ca="1">IFERROR(__xludf.DUMMYFUNCTION("""COMPUTED_VALUE"""),"Dell")</f>
        <v>Dell</v>
      </c>
      <c r="C160" s="2" t="str">
        <f ca="1">IFERROR(__xludf.DUMMYFUNCTION("""COMPUTED_VALUE"""),"Inspiron 5579")</f>
        <v>Inspiron 5579</v>
      </c>
      <c r="D160" s="2" t="str">
        <f ca="1">IFERROR(__xludf.DUMMYFUNCTION("""COMPUTED_VALUE"""),"2 in 1 Convertible")</f>
        <v>2 in 1 Convertible</v>
      </c>
      <c r="E160" s="2">
        <f ca="1">IFERROR(__xludf.DUMMYFUNCTION("""COMPUTED_VALUE"""),15.6)</f>
        <v>15.6</v>
      </c>
      <c r="F160" s="2" t="str">
        <f ca="1">IFERROR(__xludf.DUMMYFUNCTION("""COMPUTED_VALUE"""),"Full HD / Touchscreen 1920x1080")</f>
        <v>Full HD / Touchscreen 1920x1080</v>
      </c>
      <c r="G160" s="2" t="str">
        <f ca="1">IFERROR(__xludf.DUMMYFUNCTION("""COMPUTED_VALUE"""),"Intel Core i7 8550U 1.8GHz")</f>
        <v>Intel Core i7 8550U 1.8GHz</v>
      </c>
      <c r="H160" s="2" t="str">
        <f ca="1">IFERROR(__xludf.DUMMYFUNCTION("""COMPUTED_VALUE"""),"8GB")</f>
        <v>8GB</v>
      </c>
      <c r="I160" s="2" t="str">
        <f ca="1">IFERROR(__xludf.DUMMYFUNCTION("""COMPUTED_VALUE"""),"256GB SSD")</f>
        <v>256GB SSD</v>
      </c>
      <c r="J160" s="2" t="str">
        <f ca="1">IFERROR(__xludf.DUMMYFUNCTION("""COMPUTED_VALUE"""),"Intel UHD Graphics 620")</f>
        <v>Intel UHD Graphics 620</v>
      </c>
      <c r="K160" s="2" t="str">
        <f ca="1">IFERROR(__xludf.DUMMYFUNCTION("""COMPUTED_VALUE"""),"Windows 10")</f>
        <v>Windows 10</v>
      </c>
      <c r="L160" s="2" t="str">
        <f ca="1">IFERROR(__xludf.DUMMYFUNCTION("""COMPUTED_VALUE"""),"1.56kg")</f>
        <v>1.56kg</v>
      </c>
      <c r="M160" s="2">
        <f ca="1">IFERROR(__xludf.DUMMYFUNCTION("""COMPUTED_VALUE"""),1049)</f>
        <v>1049</v>
      </c>
    </row>
    <row r="161" spans="1:13">
      <c r="A161" s="2">
        <f ca="1">IFERROR(__xludf.DUMMYFUNCTION("""COMPUTED_VALUE"""),163)</f>
        <v>163</v>
      </c>
      <c r="B161" s="2" t="str">
        <f ca="1">IFERROR(__xludf.DUMMYFUNCTION("""COMPUTED_VALUE"""),"Toshiba")</f>
        <v>Toshiba</v>
      </c>
      <c r="C161" s="2" t="str">
        <f ca="1">IFERROR(__xludf.DUMMYFUNCTION("""COMPUTED_VALUE"""),"Satellite Pro")</f>
        <v>Satellite Pro</v>
      </c>
      <c r="D161" s="2" t="str">
        <f ca="1">IFERROR(__xludf.DUMMYFUNCTION("""COMPUTED_VALUE"""),"Notebook")</f>
        <v>Notebook</v>
      </c>
      <c r="E161" s="2">
        <f ca="1">IFERROR(__xludf.DUMMYFUNCTION("""COMPUTED_VALUE"""),15.6)</f>
        <v>15.6</v>
      </c>
      <c r="F161" s="2" t="str">
        <f ca="1">IFERROR(__xludf.DUMMYFUNCTION("""COMPUTED_VALUE"""),"1366x768")</f>
        <v>1366x768</v>
      </c>
      <c r="G161" s="2" t="str">
        <f ca="1">IFERROR(__xludf.DUMMYFUNCTION("""COMPUTED_VALUE"""),"Intel Core i3 6006U 2.2GHz")</f>
        <v>Intel Core i3 6006U 2.2GHz</v>
      </c>
      <c r="H161" s="2" t="str">
        <f ca="1">IFERROR(__xludf.DUMMYFUNCTION("""COMPUTED_VALUE"""),"4GB")</f>
        <v>4GB</v>
      </c>
      <c r="I161" s="2" t="str">
        <f ca="1">IFERROR(__xludf.DUMMYFUNCTION("""COMPUTED_VALUE"""),"500GB HDD")</f>
        <v>500GB HDD</v>
      </c>
      <c r="J161" s="2" t="str">
        <f ca="1">IFERROR(__xludf.DUMMYFUNCTION("""COMPUTED_VALUE"""),"Intel HD Graphics 520")</f>
        <v>Intel HD Graphics 520</v>
      </c>
      <c r="K161" s="2" t="str">
        <f ca="1">IFERROR(__xludf.DUMMYFUNCTION("""COMPUTED_VALUE"""),"Windows 10")</f>
        <v>Windows 10</v>
      </c>
      <c r="L161" s="2" t="str">
        <f ca="1">IFERROR(__xludf.DUMMYFUNCTION("""COMPUTED_VALUE"""),"2.1kg")</f>
        <v>2.1kg</v>
      </c>
      <c r="M161" s="2">
        <f ca="1">IFERROR(__xludf.DUMMYFUNCTION("""COMPUTED_VALUE"""),447)</f>
        <v>447</v>
      </c>
    </row>
    <row r="162" spans="1:13">
      <c r="A162" s="2">
        <f ca="1">IFERROR(__xludf.DUMMYFUNCTION("""COMPUTED_VALUE"""),164)</f>
        <v>164</v>
      </c>
      <c r="B162" s="2" t="str">
        <f ca="1">IFERROR(__xludf.DUMMYFUNCTION("""COMPUTED_VALUE"""),"Asus")</f>
        <v>Asus</v>
      </c>
      <c r="C162" s="2" t="str">
        <f ca="1">IFERROR(__xludf.DUMMYFUNCTION("""COMPUTED_VALUE"""),"X555BP-XX180T (A9-9420/4GB/1TB/Radeon")</f>
        <v>X555BP-XX180T (A9-9420/4GB/1TB/Radeon</v>
      </c>
      <c r="D162" s="2" t="str">
        <f ca="1">IFERROR(__xludf.DUMMYFUNCTION("""COMPUTED_VALUE"""),"Notebook")</f>
        <v>Notebook</v>
      </c>
      <c r="E162" s="2">
        <f ca="1">IFERROR(__xludf.DUMMYFUNCTION("""COMPUTED_VALUE"""),15.6)</f>
        <v>15.6</v>
      </c>
      <c r="F162" s="2" t="str">
        <f ca="1">IFERROR(__xludf.DUMMYFUNCTION("""COMPUTED_VALUE"""),"1366x768")</f>
        <v>1366x768</v>
      </c>
      <c r="G162" s="2" t="str">
        <f ca="1">IFERROR(__xludf.DUMMYFUNCTION("""COMPUTED_VALUE"""),"AMD A9-Series 9420 3GHz")</f>
        <v>AMD A9-Series 9420 3GHz</v>
      </c>
      <c r="H162" s="2" t="str">
        <f ca="1">IFERROR(__xludf.DUMMYFUNCTION("""COMPUTED_VALUE"""),"4GB")</f>
        <v>4GB</v>
      </c>
      <c r="I162" s="2" t="str">
        <f ca="1">IFERROR(__xludf.DUMMYFUNCTION("""COMPUTED_VALUE"""),"1TB HDD")</f>
        <v>1TB HDD</v>
      </c>
      <c r="J162" s="2" t="str">
        <f ca="1">IFERROR(__xludf.DUMMYFUNCTION("""COMPUTED_VALUE"""),"AMD Radeon R5 M420")</f>
        <v>AMD Radeon R5 M420</v>
      </c>
      <c r="K162" s="2" t="str">
        <f ca="1">IFERROR(__xludf.DUMMYFUNCTION("""COMPUTED_VALUE"""),"Windows 10")</f>
        <v>Windows 10</v>
      </c>
      <c r="L162" s="2" t="str">
        <f ca="1">IFERROR(__xludf.DUMMYFUNCTION("""COMPUTED_VALUE"""),"2.03kg")</f>
        <v>2.03kg</v>
      </c>
      <c r="M162" s="2">
        <f ca="1">IFERROR(__xludf.DUMMYFUNCTION("""COMPUTED_VALUE"""),403)</f>
        <v>403</v>
      </c>
    </row>
    <row r="163" spans="1:13">
      <c r="A163" s="2">
        <f ca="1">IFERROR(__xludf.DUMMYFUNCTION("""COMPUTED_VALUE"""),165)</f>
        <v>165</v>
      </c>
      <c r="B163" s="2" t="str">
        <f ca="1">IFERROR(__xludf.DUMMYFUNCTION("""COMPUTED_VALUE"""),"Acer")</f>
        <v>Acer</v>
      </c>
      <c r="C163" s="2" t="str">
        <f ca="1">IFERROR(__xludf.DUMMYFUNCTION("""COMPUTED_VALUE"""),"Aspire A517-51G")</f>
        <v>Aspire A517-51G</v>
      </c>
      <c r="D163" s="2" t="str">
        <f ca="1">IFERROR(__xludf.DUMMYFUNCTION("""COMPUTED_VALUE"""),"Notebook")</f>
        <v>Notebook</v>
      </c>
      <c r="E163" s="2">
        <f ca="1">IFERROR(__xludf.DUMMYFUNCTION("""COMPUTED_VALUE"""),17.3)</f>
        <v>17.3</v>
      </c>
      <c r="F163" s="2" t="str">
        <f ca="1">IFERROR(__xludf.DUMMYFUNCTION("""COMPUTED_VALUE"""),"IPS Panel Full HD 1920x1080")</f>
        <v>IPS Panel Full HD 1920x1080</v>
      </c>
      <c r="G163" s="2" t="str">
        <f ca="1">IFERROR(__xludf.DUMMYFUNCTION("""COMPUTED_VALUE"""),"Intel Core i5 8250U 1.6GHz")</f>
        <v>Intel Core i5 8250U 1.6GHz</v>
      </c>
      <c r="H163" s="2" t="str">
        <f ca="1">IFERROR(__xludf.DUMMYFUNCTION("""COMPUTED_VALUE"""),"4GB")</f>
        <v>4GB</v>
      </c>
      <c r="I163" s="2" t="str">
        <f ca="1">IFERROR(__xludf.DUMMYFUNCTION("""COMPUTED_VALUE"""),"256GB SSD")</f>
        <v>256GB SSD</v>
      </c>
      <c r="J163" s="2" t="str">
        <f ca="1">IFERROR(__xludf.DUMMYFUNCTION("""COMPUTED_VALUE"""),"Nvidia GeForce MX150")</f>
        <v>Nvidia GeForce MX150</v>
      </c>
      <c r="K163" s="2" t="str">
        <f ca="1">IFERROR(__xludf.DUMMYFUNCTION("""COMPUTED_VALUE"""),"Windows 10")</f>
        <v>Windows 10</v>
      </c>
      <c r="L163" s="2" t="str">
        <f ca="1">IFERROR(__xludf.DUMMYFUNCTION("""COMPUTED_VALUE"""),"3kg")</f>
        <v>3kg</v>
      </c>
      <c r="M163" s="2">
        <f ca="1">IFERROR(__xludf.DUMMYFUNCTION("""COMPUTED_VALUE"""),805)</f>
        <v>805</v>
      </c>
    </row>
    <row r="164" spans="1:13">
      <c r="A164" s="2">
        <f ca="1">IFERROR(__xludf.DUMMYFUNCTION("""COMPUTED_VALUE"""),166)</f>
        <v>166</v>
      </c>
      <c r="B164" s="2" t="str">
        <f ca="1">IFERROR(__xludf.DUMMYFUNCTION("""COMPUTED_VALUE"""),"Dell")</f>
        <v>Dell</v>
      </c>
      <c r="C164" s="2" t="str">
        <f ca="1">IFERROR(__xludf.DUMMYFUNCTION("""COMPUTED_VALUE"""),"Inspiron 3576")</f>
        <v>Inspiron 3576</v>
      </c>
      <c r="D164" s="2" t="str">
        <f ca="1">IFERROR(__xludf.DUMMYFUNCTION("""COMPUTED_VALUE"""),"Notebook")</f>
        <v>Notebook</v>
      </c>
      <c r="E164" s="2">
        <f ca="1">IFERROR(__xludf.DUMMYFUNCTION("""COMPUTED_VALUE"""),15.6)</f>
        <v>15.6</v>
      </c>
      <c r="F164" s="2" t="str">
        <f ca="1">IFERROR(__xludf.DUMMYFUNCTION("""COMPUTED_VALUE"""),"Full HD 1920x1080")</f>
        <v>Full HD 1920x1080</v>
      </c>
      <c r="G164" s="2" t="str">
        <f ca="1">IFERROR(__xludf.DUMMYFUNCTION("""COMPUTED_VALUE"""),"Intel Core i5 8250U 1.6GHz")</f>
        <v>Intel Core i5 8250U 1.6GHz</v>
      </c>
      <c r="H164" s="2" t="str">
        <f ca="1">IFERROR(__xludf.DUMMYFUNCTION("""COMPUTED_VALUE"""),"8GB")</f>
        <v>8GB</v>
      </c>
      <c r="I164" s="2" t="str">
        <f ca="1">IFERROR(__xludf.DUMMYFUNCTION("""COMPUTED_VALUE"""),"256GB SSD")</f>
        <v>256GB SSD</v>
      </c>
      <c r="J164" s="2" t="str">
        <f ca="1">IFERROR(__xludf.DUMMYFUNCTION("""COMPUTED_VALUE"""),"AMD Radeon 520")</f>
        <v>AMD Radeon 520</v>
      </c>
      <c r="K164" s="2" t="str">
        <f ca="1">IFERROR(__xludf.DUMMYFUNCTION("""COMPUTED_VALUE"""),"Windows 10")</f>
        <v>Windows 10</v>
      </c>
      <c r="L164" s="2" t="str">
        <f ca="1">IFERROR(__xludf.DUMMYFUNCTION("""COMPUTED_VALUE"""),"2.13kg")</f>
        <v>2.13kg</v>
      </c>
      <c r="M164" s="2">
        <f ca="1">IFERROR(__xludf.DUMMYFUNCTION("""COMPUTED_VALUE"""),728)</f>
        <v>728</v>
      </c>
    </row>
    <row r="165" spans="1:13">
      <c r="A165" s="2">
        <f ca="1">IFERROR(__xludf.DUMMYFUNCTION("""COMPUTED_VALUE"""),167)</f>
        <v>167</v>
      </c>
      <c r="B165" s="2" t="str">
        <f ca="1">IFERROR(__xludf.DUMMYFUNCTION("""COMPUTED_VALUE"""),"Lenovo")</f>
        <v>Lenovo</v>
      </c>
      <c r="C165" s="2" t="str">
        <f ca="1">IFERROR(__xludf.DUMMYFUNCTION("""COMPUTED_VALUE"""),"Legion Y520-15IKBN")</f>
        <v>Legion Y520-15IKBN</v>
      </c>
      <c r="D165" s="2" t="str">
        <f ca="1">IFERROR(__xludf.DUMMYFUNCTION("""COMPUTED_VALUE"""),"Gaming")</f>
        <v>Gaming</v>
      </c>
      <c r="E165" s="2">
        <f ca="1">IFERROR(__xludf.DUMMYFUNCTION("""COMPUTED_VALUE"""),15.6)</f>
        <v>15.6</v>
      </c>
      <c r="F165" s="2" t="str">
        <f ca="1">IFERROR(__xludf.DUMMYFUNCTION("""COMPUTED_VALUE"""),"IPS Panel Full HD 1920x1080")</f>
        <v>IPS Panel Full HD 1920x1080</v>
      </c>
      <c r="G165" s="2" t="str">
        <f ca="1">IFERROR(__xludf.DUMMYFUNCTION("""COMPUTED_VALUE"""),"Intel Core i7 7700HQ 2.8GHz")</f>
        <v>Intel Core i7 7700HQ 2.8GHz</v>
      </c>
      <c r="H165" s="2" t="str">
        <f ca="1">IFERROR(__xludf.DUMMYFUNCTION("""COMPUTED_VALUE"""),"16GB")</f>
        <v>16GB</v>
      </c>
      <c r="I165" s="2" t="str">
        <f ca="1">IFERROR(__xludf.DUMMYFUNCTION("""COMPUTED_VALUE"""),"256GB SSD")</f>
        <v>256GB SSD</v>
      </c>
      <c r="J165" s="2" t="str">
        <f ca="1">IFERROR(__xludf.DUMMYFUNCTION("""COMPUTED_VALUE"""),"Nvidia GeForce GTX 1050 Ti")</f>
        <v>Nvidia GeForce GTX 1050 Ti</v>
      </c>
      <c r="K165" s="2" t="str">
        <f ca="1">IFERROR(__xludf.DUMMYFUNCTION("""COMPUTED_VALUE"""),"Windows 10")</f>
        <v>Windows 10</v>
      </c>
      <c r="L165" s="2" t="str">
        <f ca="1">IFERROR(__xludf.DUMMYFUNCTION("""COMPUTED_VALUE"""),"2.5kg")</f>
        <v>2.5kg</v>
      </c>
      <c r="M165" s="2">
        <f ca="1">IFERROR(__xludf.DUMMYFUNCTION("""COMPUTED_VALUE"""),1079)</f>
        <v>1079</v>
      </c>
    </row>
    <row r="166" spans="1:13">
      <c r="A166" s="2">
        <f ca="1">IFERROR(__xludf.DUMMYFUNCTION("""COMPUTED_VALUE"""),168)</f>
        <v>168</v>
      </c>
      <c r="B166" s="2" t="str">
        <f ca="1">IFERROR(__xludf.DUMMYFUNCTION("""COMPUTED_VALUE"""),"Acer")</f>
        <v>Acer</v>
      </c>
      <c r="C166" s="2" t="str">
        <f ca="1">IFERROR(__xludf.DUMMYFUNCTION("""COMPUTED_VALUE"""),"Aspire A315-31")</f>
        <v>Aspire A315-31</v>
      </c>
      <c r="D166" s="2" t="str">
        <f ca="1">IFERROR(__xludf.DUMMYFUNCTION("""COMPUTED_VALUE"""),"Notebook")</f>
        <v>Notebook</v>
      </c>
      <c r="E166" s="2">
        <f ca="1">IFERROR(__xludf.DUMMYFUNCTION("""COMPUTED_VALUE"""),15.6)</f>
        <v>15.6</v>
      </c>
      <c r="F166" s="2" t="str">
        <f ca="1">IFERROR(__xludf.DUMMYFUNCTION("""COMPUTED_VALUE"""),"1366x768")</f>
        <v>1366x768</v>
      </c>
      <c r="G166" s="2" t="str">
        <f ca="1">IFERROR(__xludf.DUMMYFUNCTION("""COMPUTED_VALUE"""),"Intel Celeron Dual Core N3350 1.1GHz")</f>
        <v>Intel Celeron Dual Core N3350 1.1GHz</v>
      </c>
      <c r="H166" s="2" t="str">
        <f ca="1">IFERROR(__xludf.DUMMYFUNCTION("""COMPUTED_VALUE"""),"4GB")</f>
        <v>4GB</v>
      </c>
      <c r="I166" s="2" t="str">
        <f ca="1">IFERROR(__xludf.DUMMYFUNCTION("""COMPUTED_VALUE"""),"1TB HDD")</f>
        <v>1TB HDD</v>
      </c>
      <c r="J166" s="2" t="str">
        <f ca="1">IFERROR(__xludf.DUMMYFUNCTION("""COMPUTED_VALUE"""),"Intel HD Graphics 500")</f>
        <v>Intel HD Graphics 500</v>
      </c>
      <c r="K166" s="2" t="str">
        <f ca="1">IFERROR(__xludf.DUMMYFUNCTION("""COMPUTED_VALUE"""),"Windows 10")</f>
        <v>Windows 10</v>
      </c>
      <c r="L166" s="2" t="str">
        <f ca="1">IFERROR(__xludf.DUMMYFUNCTION("""COMPUTED_VALUE"""),"2.1kg")</f>
        <v>2.1kg</v>
      </c>
      <c r="M166" s="2">
        <f ca="1">IFERROR(__xludf.DUMMYFUNCTION("""COMPUTED_VALUE"""),348)</f>
        <v>348</v>
      </c>
    </row>
    <row r="167" spans="1:13">
      <c r="A167" s="2">
        <f ca="1">IFERROR(__xludf.DUMMYFUNCTION("""COMPUTED_VALUE"""),169)</f>
        <v>169</v>
      </c>
      <c r="B167" s="2" t="str">
        <f ca="1">IFERROR(__xludf.DUMMYFUNCTION("""COMPUTED_VALUE"""),"MSI")</f>
        <v>MSI</v>
      </c>
      <c r="C167" s="2" t="str">
        <f ca="1">IFERROR(__xludf.DUMMYFUNCTION("""COMPUTED_VALUE"""),"GE63VR 7RE")</f>
        <v>GE63VR 7RE</v>
      </c>
      <c r="D167" s="2" t="str">
        <f ca="1">IFERROR(__xludf.DUMMYFUNCTION("""COMPUTED_VALUE"""),"Gaming")</f>
        <v>Gaming</v>
      </c>
      <c r="E167" s="2">
        <f ca="1">IFERROR(__xludf.DUMMYFUNCTION("""COMPUTED_VALUE"""),15.6)</f>
        <v>15.6</v>
      </c>
      <c r="F167" s="2" t="str">
        <f ca="1">IFERROR(__xludf.DUMMYFUNCTION("""COMPUTED_VALUE"""),"IPS Panel Full HD 1920x1080")</f>
        <v>IPS Panel Full HD 1920x1080</v>
      </c>
      <c r="G167" s="2" t="str">
        <f ca="1">IFERROR(__xludf.DUMMYFUNCTION("""COMPUTED_VALUE"""),"Intel Core i7 7700HQ 2.8GHz")</f>
        <v>Intel Core i7 7700HQ 2.8GHz</v>
      </c>
      <c r="H167" s="2" t="str">
        <f ca="1">IFERROR(__xludf.DUMMYFUNCTION("""COMPUTED_VALUE"""),"16GB")</f>
        <v>16GB</v>
      </c>
      <c r="I167" s="2" t="str">
        <f ca="1">IFERROR(__xludf.DUMMYFUNCTION("""COMPUTED_VALUE"""),"256GB SSD +  1TB HDD")</f>
        <v>256GB SSD +  1TB HDD</v>
      </c>
      <c r="J167" s="2" t="str">
        <f ca="1">IFERROR(__xludf.DUMMYFUNCTION("""COMPUTED_VALUE"""),"Nvidia GeForce GTX 1060")</f>
        <v>Nvidia GeForce GTX 1060</v>
      </c>
      <c r="K167" s="2" t="str">
        <f ca="1">IFERROR(__xludf.DUMMYFUNCTION("""COMPUTED_VALUE"""),"Windows 10")</f>
        <v>Windows 10</v>
      </c>
      <c r="L167" s="2" t="str">
        <f ca="1">IFERROR(__xludf.DUMMYFUNCTION("""COMPUTED_VALUE"""),"2.4kg")</f>
        <v>2.4kg</v>
      </c>
      <c r="M167" s="2">
        <f ca="1">IFERROR(__xludf.DUMMYFUNCTION("""COMPUTED_VALUE"""),1799)</f>
        <v>1799</v>
      </c>
    </row>
    <row r="168" spans="1:13">
      <c r="A168" s="2">
        <f ca="1">IFERROR(__xludf.DUMMYFUNCTION("""COMPUTED_VALUE"""),170)</f>
        <v>170</v>
      </c>
      <c r="B168" s="2" t="str">
        <f ca="1">IFERROR(__xludf.DUMMYFUNCTION("""COMPUTED_VALUE"""),"Acer")</f>
        <v>Acer</v>
      </c>
      <c r="C168" s="2" t="str">
        <f ca="1">IFERROR(__xludf.DUMMYFUNCTION("""COMPUTED_VALUE"""),"Aspire 3")</f>
        <v>Aspire 3</v>
      </c>
      <c r="D168" s="2" t="str">
        <f ca="1">IFERROR(__xludf.DUMMYFUNCTION("""COMPUTED_VALUE"""),"Notebook")</f>
        <v>Notebook</v>
      </c>
      <c r="E168" s="2">
        <f ca="1">IFERROR(__xludf.DUMMYFUNCTION("""COMPUTED_VALUE"""),15.6)</f>
        <v>15.6</v>
      </c>
      <c r="F168" s="2" t="str">
        <f ca="1">IFERROR(__xludf.DUMMYFUNCTION("""COMPUTED_VALUE"""),"1366x768")</f>
        <v>1366x768</v>
      </c>
      <c r="G168" s="2" t="str">
        <f ca="1">IFERROR(__xludf.DUMMYFUNCTION("""COMPUTED_VALUE"""),"Intel Pentium Quad Core N4200 1.1GHz")</f>
        <v>Intel Pentium Quad Core N4200 1.1GHz</v>
      </c>
      <c r="H168" s="2" t="str">
        <f ca="1">IFERROR(__xludf.DUMMYFUNCTION("""COMPUTED_VALUE"""),"4GB")</f>
        <v>4GB</v>
      </c>
      <c r="I168" s="2" t="str">
        <f ca="1">IFERROR(__xludf.DUMMYFUNCTION("""COMPUTED_VALUE"""),"1TB HDD")</f>
        <v>1TB HDD</v>
      </c>
      <c r="J168" s="2" t="str">
        <f ca="1">IFERROR(__xludf.DUMMYFUNCTION("""COMPUTED_VALUE"""),"Intel HD Graphics 505")</f>
        <v>Intel HD Graphics 505</v>
      </c>
      <c r="K168" s="2" t="str">
        <f ca="1">IFERROR(__xludf.DUMMYFUNCTION("""COMPUTED_VALUE"""),"Windows 10")</f>
        <v>Windows 10</v>
      </c>
      <c r="L168" s="2" t="str">
        <f ca="1">IFERROR(__xludf.DUMMYFUNCTION("""COMPUTED_VALUE"""),"2.1kg")</f>
        <v>2.1kg</v>
      </c>
      <c r="M168" s="2">
        <f ca="1">IFERROR(__xludf.DUMMYFUNCTION("""COMPUTED_VALUE"""),363.51)</f>
        <v>363.51</v>
      </c>
    </row>
    <row r="169" spans="1:13">
      <c r="A169" s="2">
        <f ca="1">IFERROR(__xludf.DUMMYFUNCTION("""COMPUTED_VALUE"""),171)</f>
        <v>171</v>
      </c>
      <c r="B169" s="2" t="str">
        <f ca="1">IFERROR(__xludf.DUMMYFUNCTION("""COMPUTED_VALUE"""),"Dell")</f>
        <v>Dell</v>
      </c>
      <c r="C169" s="2" t="str">
        <f ca="1">IFERROR(__xludf.DUMMYFUNCTION("""COMPUTED_VALUE"""),"Inspiron 5577")</f>
        <v>Inspiron 5577</v>
      </c>
      <c r="D169" s="2" t="str">
        <f ca="1">IFERROR(__xludf.DUMMYFUNCTION("""COMPUTED_VALUE"""),"Gaming")</f>
        <v>Gaming</v>
      </c>
      <c r="E169" s="2">
        <f ca="1">IFERROR(__xludf.DUMMYFUNCTION("""COMPUTED_VALUE"""),15.6)</f>
        <v>15.6</v>
      </c>
      <c r="F169" s="2" t="str">
        <f ca="1">IFERROR(__xludf.DUMMYFUNCTION("""COMPUTED_VALUE"""),"Full HD 1920x1080")</f>
        <v>Full HD 1920x1080</v>
      </c>
      <c r="G169" s="2" t="str">
        <f ca="1">IFERROR(__xludf.DUMMYFUNCTION("""COMPUTED_VALUE"""),"Intel Core i7 7700HQ 2.8GHz")</f>
        <v>Intel Core i7 7700HQ 2.8GHz</v>
      </c>
      <c r="H169" s="2" t="str">
        <f ca="1">IFERROR(__xludf.DUMMYFUNCTION("""COMPUTED_VALUE"""),"8GB")</f>
        <v>8GB</v>
      </c>
      <c r="I169" s="2" t="str">
        <f ca="1">IFERROR(__xludf.DUMMYFUNCTION("""COMPUTED_VALUE"""),"128GB SSD +  1TB HDD")</f>
        <v>128GB SSD +  1TB HDD</v>
      </c>
      <c r="J169" s="2" t="str">
        <f ca="1">IFERROR(__xludf.DUMMYFUNCTION("""COMPUTED_VALUE"""),"Nvidia GeForce GTX 1050")</f>
        <v>Nvidia GeForce GTX 1050</v>
      </c>
      <c r="K169" s="2" t="str">
        <f ca="1">IFERROR(__xludf.DUMMYFUNCTION("""COMPUTED_VALUE"""),"Windows 10")</f>
        <v>Windows 10</v>
      </c>
      <c r="L169" s="2" t="str">
        <f ca="1">IFERROR(__xludf.DUMMYFUNCTION("""COMPUTED_VALUE"""),"2.56kg")</f>
        <v>2.56kg</v>
      </c>
      <c r="M169" s="2">
        <f ca="1">IFERROR(__xludf.DUMMYFUNCTION("""COMPUTED_VALUE"""),1060.49)</f>
        <v>1060.49</v>
      </c>
    </row>
    <row r="170" spans="1:13">
      <c r="A170" s="2">
        <f ca="1">IFERROR(__xludf.DUMMYFUNCTION("""COMPUTED_VALUE"""),172)</f>
        <v>172</v>
      </c>
      <c r="B170" s="2" t="str">
        <f ca="1">IFERROR(__xludf.DUMMYFUNCTION("""COMPUTED_VALUE"""),"Acer")</f>
        <v>Acer</v>
      </c>
      <c r="C170" s="2" t="str">
        <f ca="1">IFERROR(__xludf.DUMMYFUNCTION("""COMPUTED_VALUE"""),"Aspire A517-51G")</f>
        <v>Aspire A517-51G</v>
      </c>
      <c r="D170" s="2" t="str">
        <f ca="1">IFERROR(__xludf.DUMMYFUNCTION("""COMPUTED_VALUE"""),"Notebook")</f>
        <v>Notebook</v>
      </c>
      <c r="E170" s="2">
        <f ca="1">IFERROR(__xludf.DUMMYFUNCTION("""COMPUTED_VALUE"""),17.3)</f>
        <v>17.3</v>
      </c>
      <c r="F170" s="2" t="str">
        <f ca="1">IFERROR(__xludf.DUMMYFUNCTION("""COMPUTED_VALUE"""),"IPS Panel Full HD 1920x1080")</f>
        <v>IPS Panel Full HD 1920x1080</v>
      </c>
      <c r="G170" s="2" t="str">
        <f ca="1">IFERROR(__xludf.DUMMYFUNCTION("""COMPUTED_VALUE"""),"Intel Core i5 8250U 1.6GHz")</f>
        <v>Intel Core i5 8250U 1.6GHz</v>
      </c>
      <c r="H170" s="2" t="str">
        <f ca="1">IFERROR(__xludf.DUMMYFUNCTION("""COMPUTED_VALUE"""),"8GB")</f>
        <v>8GB</v>
      </c>
      <c r="I170" s="2" t="str">
        <f ca="1">IFERROR(__xludf.DUMMYFUNCTION("""COMPUTED_VALUE"""),"256GB SSD")</f>
        <v>256GB SSD</v>
      </c>
      <c r="J170" s="2" t="str">
        <f ca="1">IFERROR(__xludf.DUMMYFUNCTION("""COMPUTED_VALUE"""),"Nvidia GeForce MX150")</f>
        <v>Nvidia GeForce MX150</v>
      </c>
      <c r="K170" s="2" t="str">
        <f ca="1">IFERROR(__xludf.DUMMYFUNCTION("""COMPUTED_VALUE"""),"Windows 10")</f>
        <v>Windows 10</v>
      </c>
      <c r="L170" s="2" t="str">
        <f ca="1">IFERROR(__xludf.DUMMYFUNCTION("""COMPUTED_VALUE"""),"3kg")</f>
        <v>3kg</v>
      </c>
      <c r="M170" s="2">
        <f ca="1">IFERROR(__xludf.DUMMYFUNCTION("""COMPUTED_VALUE"""),854)</f>
        <v>854</v>
      </c>
    </row>
    <row r="171" spans="1:13">
      <c r="A171" s="2">
        <f ca="1">IFERROR(__xludf.DUMMYFUNCTION("""COMPUTED_VALUE"""),173)</f>
        <v>173</v>
      </c>
      <c r="B171" s="2" t="str">
        <f ca="1">IFERROR(__xludf.DUMMYFUNCTION("""COMPUTED_VALUE"""),"HP")</f>
        <v>HP</v>
      </c>
      <c r="C171" s="2" t="str">
        <f ca="1">IFERROR(__xludf.DUMMYFUNCTION("""COMPUTED_VALUE"""),"ProBook 430")</f>
        <v>ProBook 430</v>
      </c>
      <c r="D171" s="2" t="str">
        <f ca="1">IFERROR(__xludf.DUMMYFUNCTION("""COMPUTED_VALUE"""),"Notebook")</f>
        <v>Notebook</v>
      </c>
      <c r="E171" s="2">
        <f ca="1">IFERROR(__xludf.DUMMYFUNCTION("""COMPUTED_VALUE"""),13.3)</f>
        <v>13.3</v>
      </c>
      <c r="F171" s="2" t="str">
        <f ca="1">IFERROR(__xludf.DUMMYFUNCTION("""COMPUTED_VALUE"""),"IPS Panel Full HD 1920x1080")</f>
        <v>IPS Panel Full HD 1920x1080</v>
      </c>
      <c r="G171" s="2" t="str">
        <f ca="1">IFERROR(__xludf.DUMMYFUNCTION("""COMPUTED_VALUE"""),"Intel Core i5 8250U 1.6GHz")</f>
        <v>Intel Core i5 8250U 1.6GHz</v>
      </c>
      <c r="H171" s="2" t="str">
        <f ca="1">IFERROR(__xludf.DUMMYFUNCTION("""COMPUTED_VALUE"""),"4GB")</f>
        <v>4GB</v>
      </c>
      <c r="I171" s="2" t="str">
        <f ca="1">IFERROR(__xludf.DUMMYFUNCTION("""COMPUTED_VALUE"""),"500GB HDD")</f>
        <v>500GB HDD</v>
      </c>
      <c r="J171" s="2" t="str">
        <f ca="1">IFERROR(__xludf.DUMMYFUNCTION("""COMPUTED_VALUE"""),"Intel UHD Graphics 620")</f>
        <v>Intel UHD Graphics 620</v>
      </c>
      <c r="K171" s="2" t="str">
        <f ca="1">IFERROR(__xludf.DUMMYFUNCTION("""COMPUTED_VALUE"""),"Windows 10")</f>
        <v>Windows 10</v>
      </c>
      <c r="L171" s="2" t="str">
        <f ca="1">IFERROR(__xludf.DUMMYFUNCTION("""COMPUTED_VALUE"""),"1.49kg")</f>
        <v>1.49kg</v>
      </c>
      <c r="M171" s="2">
        <f ca="1">IFERROR(__xludf.DUMMYFUNCTION("""COMPUTED_VALUE"""),754)</f>
        <v>754</v>
      </c>
    </row>
    <row r="172" spans="1:13">
      <c r="A172" s="2">
        <f ca="1">IFERROR(__xludf.DUMMYFUNCTION("""COMPUTED_VALUE"""),174)</f>
        <v>174</v>
      </c>
      <c r="B172" s="2" t="str">
        <f ca="1">IFERROR(__xludf.DUMMYFUNCTION("""COMPUTED_VALUE"""),"Huawei")</f>
        <v>Huawei</v>
      </c>
      <c r="C172" s="2" t="str">
        <f ca="1">IFERROR(__xludf.DUMMYFUNCTION("""COMPUTED_VALUE"""),"MateBook X")</f>
        <v>MateBook X</v>
      </c>
      <c r="D172" s="2" t="str">
        <f ca="1">IFERROR(__xludf.DUMMYFUNCTION("""COMPUTED_VALUE"""),"Ultrabook")</f>
        <v>Ultrabook</v>
      </c>
      <c r="E172" s="2">
        <f ca="1">IFERROR(__xludf.DUMMYFUNCTION("""COMPUTED_VALUE"""),13)</f>
        <v>13</v>
      </c>
      <c r="F172" s="2" t="str">
        <f ca="1">IFERROR(__xludf.DUMMYFUNCTION("""COMPUTED_VALUE"""),"IPS Panel Full HD 2160x1440")</f>
        <v>IPS Panel Full HD 2160x1440</v>
      </c>
      <c r="G172" s="2" t="str">
        <f ca="1">IFERROR(__xludf.DUMMYFUNCTION("""COMPUTED_VALUE"""),"Intel Core i5 7200U 2.5GHz")</f>
        <v>Intel Core i5 7200U 2.5GHz</v>
      </c>
      <c r="H172" s="2" t="str">
        <f ca="1">IFERROR(__xludf.DUMMYFUNCTION("""COMPUTED_VALUE"""),"8GB")</f>
        <v>8GB</v>
      </c>
      <c r="I172" s="2" t="str">
        <f ca="1">IFERROR(__xludf.DUMMYFUNCTION("""COMPUTED_VALUE"""),"256GB SSD")</f>
        <v>256GB SSD</v>
      </c>
      <c r="J172" s="2" t="str">
        <f ca="1">IFERROR(__xludf.DUMMYFUNCTION("""COMPUTED_VALUE"""),"Intel HD Graphics 620")</f>
        <v>Intel HD Graphics 620</v>
      </c>
      <c r="K172" s="2" t="str">
        <f ca="1">IFERROR(__xludf.DUMMYFUNCTION("""COMPUTED_VALUE"""),"Windows 10")</f>
        <v>Windows 10</v>
      </c>
      <c r="L172" s="2" t="str">
        <f ca="1">IFERROR(__xludf.DUMMYFUNCTION("""COMPUTED_VALUE"""),"1.05kg")</f>
        <v>1.05kg</v>
      </c>
      <c r="M172" s="2">
        <f ca="1">IFERROR(__xludf.DUMMYFUNCTION("""COMPUTED_VALUE"""),1349)</f>
        <v>1349</v>
      </c>
    </row>
    <row r="173" spans="1:13">
      <c r="A173" s="2">
        <f ca="1">IFERROR(__xludf.DUMMYFUNCTION("""COMPUTED_VALUE"""),175)</f>
        <v>175</v>
      </c>
      <c r="B173" s="2" t="str">
        <f ca="1">IFERROR(__xludf.DUMMYFUNCTION("""COMPUTED_VALUE"""),"HP")</f>
        <v>HP</v>
      </c>
      <c r="C173" s="2" t="str">
        <f ca="1">IFERROR(__xludf.DUMMYFUNCTION("""COMPUTED_VALUE"""),"17-bs001nv (i5-7200U/6GB/2TB/Radeon")</f>
        <v>17-bs001nv (i5-7200U/6GB/2TB/Radeon</v>
      </c>
      <c r="D173" s="2" t="str">
        <f ca="1">IFERROR(__xludf.DUMMYFUNCTION("""COMPUTED_VALUE"""),"Notebook")</f>
        <v>Notebook</v>
      </c>
      <c r="E173" s="2">
        <f ca="1">IFERROR(__xludf.DUMMYFUNCTION("""COMPUTED_VALUE"""),17.3)</f>
        <v>17.3</v>
      </c>
      <c r="F173" s="2" t="str">
        <f ca="1">IFERROR(__xludf.DUMMYFUNCTION("""COMPUTED_VALUE"""),"IPS Panel Full HD 1920x1080")</f>
        <v>IPS Panel Full HD 1920x1080</v>
      </c>
      <c r="G173" s="2" t="str">
        <f ca="1">IFERROR(__xludf.DUMMYFUNCTION("""COMPUTED_VALUE"""),"Intel Core i5 7200U 2.5GHz")</f>
        <v>Intel Core i5 7200U 2.5GHz</v>
      </c>
      <c r="H173" s="2" t="str">
        <f ca="1">IFERROR(__xludf.DUMMYFUNCTION("""COMPUTED_VALUE"""),"6GB")</f>
        <v>6GB</v>
      </c>
      <c r="I173" s="2" t="str">
        <f ca="1">IFERROR(__xludf.DUMMYFUNCTION("""COMPUTED_VALUE"""),"2TB HDD")</f>
        <v>2TB HDD</v>
      </c>
      <c r="J173" s="2" t="str">
        <f ca="1">IFERROR(__xludf.DUMMYFUNCTION("""COMPUTED_VALUE"""),"AMD Radeon 520")</f>
        <v>AMD Radeon 520</v>
      </c>
      <c r="K173" s="2" t="str">
        <f ca="1">IFERROR(__xludf.DUMMYFUNCTION("""COMPUTED_VALUE"""),"Windows 10")</f>
        <v>Windows 10</v>
      </c>
      <c r="L173" s="2" t="str">
        <f ca="1">IFERROR(__xludf.DUMMYFUNCTION("""COMPUTED_VALUE"""),"2.71kg")</f>
        <v>2.71kg</v>
      </c>
      <c r="M173" s="2">
        <f ca="1">IFERROR(__xludf.DUMMYFUNCTION("""COMPUTED_VALUE"""),699)</f>
        <v>699</v>
      </c>
    </row>
    <row r="174" spans="1:13">
      <c r="A174" s="2">
        <f ca="1">IFERROR(__xludf.DUMMYFUNCTION("""COMPUTED_VALUE"""),176)</f>
        <v>176</v>
      </c>
      <c r="B174" s="2" t="str">
        <f ca="1">IFERROR(__xludf.DUMMYFUNCTION("""COMPUTED_VALUE"""),"Lenovo")</f>
        <v>Lenovo</v>
      </c>
      <c r="C174" s="2" t="str">
        <f ca="1">IFERROR(__xludf.DUMMYFUNCTION("""COMPUTED_VALUE"""),"IdeaPad 320-15AST")</f>
        <v>IdeaPad 320-15AST</v>
      </c>
      <c r="D174" s="2" t="str">
        <f ca="1">IFERROR(__xludf.DUMMYFUNCTION("""COMPUTED_VALUE"""),"Notebook")</f>
        <v>Notebook</v>
      </c>
      <c r="E174" s="2">
        <f ca="1">IFERROR(__xludf.DUMMYFUNCTION("""COMPUTED_VALUE"""),15.6)</f>
        <v>15.6</v>
      </c>
      <c r="F174" s="2" t="str">
        <f ca="1">IFERROR(__xludf.DUMMYFUNCTION("""COMPUTED_VALUE"""),"1366x768")</f>
        <v>1366x768</v>
      </c>
      <c r="G174" s="2" t="str">
        <f ca="1">IFERROR(__xludf.DUMMYFUNCTION("""COMPUTED_VALUE"""),"AMD A6-Series 9220 2.9GHz")</f>
        <v>AMD A6-Series 9220 2.9GHz</v>
      </c>
      <c r="H174" s="2" t="str">
        <f ca="1">IFERROR(__xludf.DUMMYFUNCTION("""COMPUTED_VALUE"""),"4GB")</f>
        <v>4GB</v>
      </c>
      <c r="I174" s="2" t="str">
        <f ca="1">IFERROR(__xludf.DUMMYFUNCTION("""COMPUTED_VALUE"""),"500GB HDD")</f>
        <v>500GB HDD</v>
      </c>
      <c r="J174" s="2" t="str">
        <f ca="1">IFERROR(__xludf.DUMMYFUNCTION("""COMPUTED_VALUE"""),"AMD Radeon R4 Graphics")</f>
        <v>AMD Radeon R4 Graphics</v>
      </c>
      <c r="K174" s="2" t="str">
        <f ca="1">IFERROR(__xludf.DUMMYFUNCTION("""COMPUTED_VALUE"""),"No OS")</f>
        <v>No OS</v>
      </c>
      <c r="L174" s="2" t="str">
        <f ca="1">IFERROR(__xludf.DUMMYFUNCTION("""COMPUTED_VALUE"""),"2.2kg")</f>
        <v>2.2kg</v>
      </c>
      <c r="M174" s="2">
        <f ca="1">IFERROR(__xludf.DUMMYFUNCTION("""COMPUTED_VALUE"""),309)</f>
        <v>309</v>
      </c>
    </row>
    <row r="175" spans="1:13">
      <c r="A175" s="2">
        <f ca="1">IFERROR(__xludf.DUMMYFUNCTION("""COMPUTED_VALUE"""),177)</f>
        <v>177</v>
      </c>
      <c r="B175" s="2" t="str">
        <f ca="1">IFERROR(__xludf.DUMMYFUNCTION("""COMPUTED_VALUE"""),"Toshiba")</f>
        <v>Toshiba</v>
      </c>
      <c r="C175" s="2" t="str">
        <f ca="1">IFERROR(__xludf.DUMMYFUNCTION("""COMPUTED_VALUE"""),"Satellite Pro")</f>
        <v>Satellite Pro</v>
      </c>
      <c r="D175" s="2" t="str">
        <f ca="1">IFERROR(__xludf.DUMMYFUNCTION("""COMPUTED_VALUE"""),"Notebook")</f>
        <v>Notebook</v>
      </c>
      <c r="E175" s="2">
        <f ca="1">IFERROR(__xludf.DUMMYFUNCTION("""COMPUTED_VALUE"""),15.6)</f>
        <v>15.6</v>
      </c>
      <c r="F175" s="2" t="str">
        <f ca="1">IFERROR(__xludf.DUMMYFUNCTION("""COMPUTED_VALUE"""),"1366x768")</f>
        <v>1366x768</v>
      </c>
      <c r="G175" s="2" t="str">
        <f ca="1">IFERROR(__xludf.DUMMYFUNCTION("""COMPUTED_VALUE"""),"Intel Core i3 7100U 2.4GHz")</f>
        <v>Intel Core i3 7100U 2.4GHz</v>
      </c>
      <c r="H175" s="2" t="str">
        <f ca="1">IFERROR(__xludf.DUMMYFUNCTION("""COMPUTED_VALUE"""),"4GB")</f>
        <v>4GB</v>
      </c>
      <c r="I175" s="2" t="str">
        <f ca="1">IFERROR(__xludf.DUMMYFUNCTION("""COMPUTED_VALUE"""),"500GB HDD")</f>
        <v>500GB HDD</v>
      </c>
      <c r="J175" s="2" t="str">
        <f ca="1">IFERROR(__xludf.DUMMYFUNCTION("""COMPUTED_VALUE"""),"Intel HD Graphics 620")</f>
        <v>Intel HD Graphics 620</v>
      </c>
      <c r="K175" s="2" t="str">
        <f ca="1">IFERROR(__xludf.DUMMYFUNCTION("""COMPUTED_VALUE"""),"Windows 10")</f>
        <v>Windows 10</v>
      </c>
      <c r="L175" s="2" t="str">
        <f ca="1">IFERROR(__xludf.DUMMYFUNCTION("""COMPUTED_VALUE"""),"2kg")</f>
        <v>2kg</v>
      </c>
      <c r="M175" s="2">
        <f ca="1">IFERROR(__xludf.DUMMYFUNCTION("""COMPUTED_VALUE"""),489)</f>
        <v>489</v>
      </c>
    </row>
    <row r="176" spans="1:13">
      <c r="A176" s="2">
        <f ca="1">IFERROR(__xludf.DUMMYFUNCTION("""COMPUTED_VALUE"""),178)</f>
        <v>178</v>
      </c>
      <c r="B176" s="2" t="str">
        <f ca="1">IFERROR(__xludf.DUMMYFUNCTION("""COMPUTED_VALUE"""),"HP")</f>
        <v>HP</v>
      </c>
      <c r="C176" s="2" t="str">
        <f ca="1">IFERROR(__xludf.DUMMYFUNCTION("""COMPUTED_VALUE"""),"ProBook 470")</f>
        <v>ProBook 470</v>
      </c>
      <c r="D176" s="2" t="str">
        <f ca="1">IFERROR(__xludf.DUMMYFUNCTION("""COMPUTED_VALUE"""),"Notebook")</f>
        <v>Notebook</v>
      </c>
      <c r="E176" s="2">
        <f ca="1">IFERROR(__xludf.DUMMYFUNCTION("""COMPUTED_VALUE"""),17.3)</f>
        <v>17.3</v>
      </c>
      <c r="F176" s="2" t="str">
        <f ca="1">IFERROR(__xludf.DUMMYFUNCTION("""COMPUTED_VALUE"""),"Full HD 1920x1080")</f>
        <v>Full HD 1920x1080</v>
      </c>
      <c r="G176" s="2" t="str">
        <f ca="1">IFERROR(__xludf.DUMMYFUNCTION("""COMPUTED_VALUE"""),"Intel Core i5 8250U 1.6GHz")</f>
        <v>Intel Core i5 8250U 1.6GHz</v>
      </c>
      <c r="H176" s="2" t="str">
        <f ca="1">IFERROR(__xludf.DUMMYFUNCTION("""COMPUTED_VALUE"""),"8GB")</f>
        <v>8GB</v>
      </c>
      <c r="I176" s="2" t="str">
        <f ca="1">IFERROR(__xludf.DUMMYFUNCTION("""COMPUTED_VALUE"""),"256GB SSD")</f>
        <v>256GB SSD</v>
      </c>
      <c r="J176" s="2" t="str">
        <f ca="1">IFERROR(__xludf.DUMMYFUNCTION("""COMPUTED_VALUE"""),"Nvidia GeForce 930MX")</f>
        <v>Nvidia GeForce 930MX</v>
      </c>
      <c r="K176" s="2" t="str">
        <f ca="1">IFERROR(__xludf.DUMMYFUNCTION("""COMPUTED_VALUE"""),"Windows 10")</f>
        <v>Windows 10</v>
      </c>
      <c r="L176" s="2" t="str">
        <f ca="1">IFERROR(__xludf.DUMMYFUNCTION("""COMPUTED_VALUE"""),"2.5kg")</f>
        <v>2.5kg</v>
      </c>
      <c r="M176" s="2">
        <f ca="1">IFERROR(__xludf.DUMMYFUNCTION("""COMPUTED_VALUE"""),923)</f>
        <v>923</v>
      </c>
    </row>
    <row r="177" spans="1:13">
      <c r="A177" s="2">
        <f ca="1">IFERROR(__xludf.DUMMYFUNCTION("""COMPUTED_VALUE"""),179)</f>
        <v>179</v>
      </c>
      <c r="B177" s="2" t="str">
        <f ca="1">IFERROR(__xludf.DUMMYFUNCTION("""COMPUTED_VALUE"""),"Dell")</f>
        <v>Dell</v>
      </c>
      <c r="C177" s="2" t="str">
        <f ca="1">IFERROR(__xludf.DUMMYFUNCTION("""COMPUTED_VALUE"""),"Inspiron 3567")</f>
        <v>Inspiron 3567</v>
      </c>
      <c r="D177" s="2" t="str">
        <f ca="1">IFERROR(__xludf.DUMMYFUNCTION("""COMPUTED_VALUE"""),"Notebook")</f>
        <v>Notebook</v>
      </c>
      <c r="E177" s="2">
        <f ca="1">IFERROR(__xludf.DUMMYFUNCTION("""COMPUTED_VALUE"""),15.6)</f>
        <v>15.6</v>
      </c>
      <c r="F177" s="2" t="str">
        <f ca="1">IFERROR(__xludf.DUMMYFUNCTION("""COMPUTED_VALUE"""),"1366x768")</f>
        <v>1366x768</v>
      </c>
      <c r="G177" s="2" t="str">
        <f ca="1">IFERROR(__xludf.DUMMYFUNCTION("""COMPUTED_VALUE"""),"Intel Core i3 7100U 2.4GHz")</f>
        <v>Intel Core i3 7100U 2.4GHz</v>
      </c>
      <c r="H177" s="2" t="str">
        <f ca="1">IFERROR(__xludf.DUMMYFUNCTION("""COMPUTED_VALUE"""),"8GB")</f>
        <v>8GB</v>
      </c>
      <c r="I177" s="2" t="str">
        <f ca="1">IFERROR(__xludf.DUMMYFUNCTION("""COMPUTED_VALUE"""),"1TB HDD")</f>
        <v>1TB HDD</v>
      </c>
      <c r="J177" s="2" t="str">
        <f ca="1">IFERROR(__xludf.DUMMYFUNCTION("""COMPUTED_VALUE"""),"Intel HD Graphics 620")</f>
        <v>Intel HD Graphics 620</v>
      </c>
      <c r="K177" s="2" t="str">
        <f ca="1">IFERROR(__xludf.DUMMYFUNCTION("""COMPUTED_VALUE"""),"Windows 10")</f>
        <v>Windows 10</v>
      </c>
      <c r="L177" s="2" t="str">
        <f ca="1">IFERROR(__xludf.DUMMYFUNCTION("""COMPUTED_VALUE"""),"2.3kg")</f>
        <v>2.3kg</v>
      </c>
      <c r="M177" s="2">
        <f ca="1">IFERROR(__xludf.DUMMYFUNCTION("""COMPUTED_VALUE"""),459)</f>
        <v>459</v>
      </c>
    </row>
    <row r="178" spans="1:13">
      <c r="A178" s="2">
        <f ca="1">IFERROR(__xludf.DUMMYFUNCTION("""COMPUTED_VALUE"""),180)</f>
        <v>180</v>
      </c>
      <c r="B178" s="2" t="str">
        <f ca="1">IFERROR(__xludf.DUMMYFUNCTION("""COMPUTED_VALUE"""),"Acer")</f>
        <v>Acer</v>
      </c>
      <c r="C178" s="2" t="str">
        <f ca="1">IFERROR(__xludf.DUMMYFUNCTION("""COMPUTED_VALUE"""),"Aspire A315-51")</f>
        <v>Aspire A315-51</v>
      </c>
      <c r="D178" s="2" t="str">
        <f ca="1">IFERROR(__xludf.DUMMYFUNCTION("""COMPUTED_VALUE"""),"Notebook")</f>
        <v>Notebook</v>
      </c>
      <c r="E178" s="2">
        <f ca="1">IFERROR(__xludf.DUMMYFUNCTION("""COMPUTED_VALUE"""),15.6)</f>
        <v>15.6</v>
      </c>
      <c r="F178" s="2" t="str">
        <f ca="1">IFERROR(__xludf.DUMMYFUNCTION("""COMPUTED_VALUE"""),"1366x768")</f>
        <v>1366x768</v>
      </c>
      <c r="G178" s="2" t="str">
        <f ca="1">IFERROR(__xludf.DUMMYFUNCTION("""COMPUTED_VALUE"""),"Intel Core i3 6006U 2GHz")</f>
        <v>Intel Core i3 6006U 2GHz</v>
      </c>
      <c r="H178" s="2" t="str">
        <f ca="1">IFERROR(__xludf.DUMMYFUNCTION("""COMPUTED_VALUE"""),"4GB")</f>
        <v>4GB</v>
      </c>
      <c r="I178" s="2" t="str">
        <f ca="1">IFERROR(__xludf.DUMMYFUNCTION("""COMPUTED_VALUE"""),"128GB SSD")</f>
        <v>128GB SSD</v>
      </c>
      <c r="J178" s="2" t="str">
        <f ca="1">IFERROR(__xludf.DUMMYFUNCTION("""COMPUTED_VALUE"""),"Intel HD Graphics 520")</f>
        <v>Intel HD Graphics 520</v>
      </c>
      <c r="K178" s="2" t="str">
        <f ca="1">IFERROR(__xludf.DUMMYFUNCTION("""COMPUTED_VALUE"""),"Windows 10")</f>
        <v>Windows 10</v>
      </c>
      <c r="L178" s="2" t="str">
        <f ca="1">IFERROR(__xludf.DUMMYFUNCTION("""COMPUTED_VALUE"""),"2.1kg")</f>
        <v>2.1kg</v>
      </c>
      <c r="M178" s="2">
        <f ca="1">IFERROR(__xludf.DUMMYFUNCTION("""COMPUTED_VALUE"""),449)</f>
        <v>449</v>
      </c>
    </row>
    <row r="179" spans="1:13">
      <c r="A179" s="2">
        <f ca="1">IFERROR(__xludf.DUMMYFUNCTION("""COMPUTED_VALUE"""),181)</f>
        <v>181</v>
      </c>
      <c r="B179" s="2" t="str">
        <f ca="1">IFERROR(__xludf.DUMMYFUNCTION("""COMPUTED_VALUE"""),"MSI")</f>
        <v>MSI</v>
      </c>
      <c r="C179" s="2" t="str">
        <f ca="1">IFERROR(__xludf.DUMMYFUNCTION("""COMPUTED_VALUE"""),"GT80S 6QF-074US")</f>
        <v>GT80S 6QF-074US</v>
      </c>
      <c r="D179" s="2" t="str">
        <f ca="1">IFERROR(__xludf.DUMMYFUNCTION("""COMPUTED_VALUE"""),"Gaming")</f>
        <v>Gaming</v>
      </c>
      <c r="E179" s="2">
        <f ca="1">IFERROR(__xludf.DUMMYFUNCTION("""COMPUTED_VALUE"""),18.4)</f>
        <v>18.399999999999999</v>
      </c>
      <c r="F179" s="2" t="str">
        <f ca="1">IFERROR(__xludf.DUMMYFUNCTION("""COMPUTED_VALUE"""),"Full HD 1920x1080")</f>
        <v>Full HD 1920x1080</v>
      </c>
      <c r="G179" s="2" t="str">
        <f ca="1">IFERROR(__xludf.DUMMYFUNCTION("""COMPUTED_VALUE"""),"Intel Core i7 6920HQ 2.9GHz")</f>
        <v>Intel Core i7 6920HQ 2.9GHz</v>
      </c>
      <c r="H179" s="2" t="str">
        <f ca="1">IFERROR(__xludf.DUMMYFUNCTION("""COMPUTED_VALUE"""),"32GB")</f>
        <v>32GB</v>
      </c>
      <c r="I179" s="2" t="str">
        <f ca="1">IFERROR(__xludf.DUMMYFUNCTION("""COMPUTED_VALUE"""),"512GB SSD +  1TB HDD")</f>
        <v>512GB SSD +  1TB HDD</v>
      </c>
      <c r="J179" s="2" t="str">
        <f ca="1">IFERROR(__xludf.DUMMYFUNCTION("""COMPUTED_VALUE"""),"Nvidia GTX 980 SLI")</f>
        <v>Nvidia GTX 980 SLI</v>
      </c>
      <c r="K179" s="2" t="str">
        <f ca="1">IFERROR(__xludf.DUMMYFUNCTION("""COMPUTED_VALUE"""),"Windows 10")</f>
        <v>Windows 10</v>
      </c>
      <c r="L179" s="2" t="str">
        <f ca="1">IFERROR(__xludf.DUMMYFUNCTION("""COMPUTED_VALUE"""),"4.4kg")</f>
        <v>4.4kg</v>
      </c>
      <c r="M179" s="2">
        <f ca="1">IFERROR(__xludf.DUMMYFUNCTION("""COMPUTED_VALUE"""),2799)</f>
        <v>2799</v>
      </c>
    </row>
    <row r="180" spans="1:13">
      <c r="A180" s="2">
        <f ca="1">IFERROR(__xludf.DUMMYFUNCTION("""COMPUTED_VALUE"""),182)</f>
        <v>182</v>
      </c>
      <c r="B180" s="2" t="str">
        <f ca="1">IFERROR(__xludf.DUMMYFUNCTION("""COMPUTED_VALUE"""),"Lenovo")</f>
        <v>Lenovo</v>
      </c>
      <c r="C180" s="2" t="str">
        <f ca="1">IFERROR(__xludf.DUMMYFUNCTION("""COMPUTED_VALUE"""),"V310-15IKB (i5-7200U/8GB/1TB")</f>
        <v>V310-15IKB (i5-7200U/8GB/1TB</v>
      </c>
      <c r="D180" s="2" t="str">
        <f ca="1">IFERROR(__xludf.DUMMYFUNCTION("""COMPUTED_VALUE"""),"Notebook")</f>
        <v>Notebook</v>
      </c>
      <c r="E180" s="2">
        <f ca="1">IFERROR(__xludf.DUMMYFUNCTION("""COMPUTED_VALUE"""),15.6)</f>
        <v>15.6</v>
      </c>
      <c r="F180" s="2" t="str">
        <f ca="1">IFERROR(__xludf.DUMMYFUNCTION("""COMPUTED_VALUE"""),"Full HD 1920x1080")</f>
        <v>Full HD 1920x1080</v>
      </c>
      <c r="G180" s="2" t="str">
        <f ca="1">IFERROR(__xludf.DUMMYFUNCTION("""COMPUTED_VALUE"""),"Intel Core i5 7200U 2.5GHz")</f>
        <v>Intel Core i5 7200U 2.5GHz</v>
      </c>
      <c r="H180" s="2" t="str">
        <f ca="1">IFERROR(__xludf.DUMMYFUNCTION("""COMPUTED_VALUE"""),"8GB")</f>
        <v>8GB</v>
      </c>
      <c r="I180" s="2" t="str">
        <f ca="1">IFERROR(__xludf.DUMMYFUNCTION("""COMPUTED_VALUE"""),"128GB SSD +  1TB HDD")</f>
        <v>128GB SSD +  1TB HDD</v>
      </c>
      <c r="J180" s="2" t="str">
        <f ca="1">IFERROR(__xludf.DUMMYFUNCTION("""COMPUTED_VALUE"""),"AMD R17M-M1-70")</f>
        <v>AMD R17M-M1-70</v>
      </c>
      <c r="K180" s="2" t="str">
        <f ca="1">IFERROR(__xludf.DUMMYFUNCTION("""COMPUTED_VALUE"""),"Windows 10")</f>
        <v>Windows 10</v>
      </c>
      <c r="L180" s="2" t="str">
        <f ca="1">IFERROR(__xludf.DUMMYFUNCTION("""COMPUTED_VALUE"""),"1.90kg")</f>
        <v>1.90kg</v>
      </c>
      <c r="M180" s="2">
        <f ca="1">IFERROR(__xludf.DUMMYFUNCTION("""COMPUTED_VALUE"""),813)</f>
        <v>813</v>
      </c>
    </row>
    <row r="181" spans="1:13">
      <c r="A181" s="2">
        <f ca="1">IFERROR(__xludf.DUMMYFUNCTION("""COMPUTED_VALUE"""),183)</f>
        <v>183</v>
      </c>
      <c r="B181" s="2" t="str">
        <f ca="1">IFERROR(__xludf.DUMMYFUNCTION("""COMPUTED_VALUE"""),"HP")</f>
        <v>HP</v>
      </c>
      <c r="C181" s="2" t="str">
        <f ca="1">IFERROR(__xludf.DUMMYFUNCTION("""COMPUTED_VALUE"""),"Spectre x360")</f>
        <v>Spectre x360</v>
      </c>
      <c r="D181" s="2" t="str">
        <f ca="1">IFERROR(__xludf.DUMMYFUNCTION("""COMPUTED_VALUE"""),"2 in 1 Convertible")</f>
        <v>2 in 1 Convertible</v>
      </c>
      <c r="E181" s="2">
        <f ca="1">IFERROR(__xludf.DUMMYFUNCTION("""COMPUTED_VALUE"""),13.3)</f>
        <v>13.3</v>
      </c>
      <c r="F181" s="2" t="str">
        <f ca="1">IFERROR(__xludf.DUMMYFUNCTION("""COMPUTED_VALUE"""),"IPS Panel 4K Ultra HD / Touchscreen 3840x2160")</f>
        <v>IPS Panel 4K Ultra HD / Touchscreen 3840x2160</v>
      </c>
      <c r="G181" s="2" t="str">
        <f ca="1">IFERROR(__xludf.DUMMYFUNCTION("""COMPUTED_VALUE"""),"Intel Core i5 8250U 1.6GHz")</f>
        <v>Intel Core i5 8250U 1.6GHz</v>
      </c>
      <c r="H181" s="2" t="str">
        <f ca="1">IFERROR(__xludf.DUMMYFUNCTION("""COMPUTED_VALUE"""),"8GB")</f>
        <v>8GB</v>
      </c>
      <c r="I181" s="2" t="str">
        <f ca="1">IFERROR(__xludf.DUMMYFUNCTION("""COMPUTED_VALUE"""),"256GB SSD")</f>
        <v>256GB SSD</v>
      </c>
      <c r="J181" s="2" t="str">
        <f ca="1">IFERROR(__xludf.DUMMYFUNCTION("""COMPUTED_VALUE"""),"Intel UHD Graphics 620")</f>
        <v>Intel UHD Graphics 620</v>
      </c>
      <c r="K181" s="2" t="str">
        <f ca="1">IFERROR(__xludf.DUMMYFUNCTION("""COMPUTED_VALUE"""),"Windows 10")</f>
        <v>Windows 10</v>
      </c>
      <c r="L181" s="2" t="str">
        <f ca="1">IFERROR(__xludf.DUMMYFUNCTION("""COMPUTED_VALUE"""),"1.29kg")</f>
        <v>1.29kg</v>
      </c>
      <c r="M181" s="2">
        <f ca="1">IFERROR(__xludf.DUMMYFUNCTION("""COMPUTED_VALUE"""),1499)</f>
        <v>1499</v>
      </c>
    </row>
    <row r="182" spans="1:13">
      <c r="A182" s="2">
        <f ca="1">IFERROR(__xludf.DUMMYFUNCTION("""COMPUTED_VALUE"""),184)</f>
        <v>184</v>
      </c>
      <c r="B182" s="2" t="str">
        <f ca="1">IFERROR(__xludf.DUMMYFUNCTION("""COMPUTED_VALUE"""),"Dell")</f>
        <v>Dell</v>
      </c>
      <c r="C182" s="2" t="str">
        <f ca="1">IFERROR(__xludf.DUMMYFUNCTION("""COMPUTED_VALUE"""),"Inspiron 5570")</f>
        <v>Inspiron 5570</v>
      </c>
      <c r="D182" s="2" t="str">
        <f ca="1">IFERROR(__xludf.DUMMYFUNCTION("""COMPUTED_VALUE"""),"Notebook")</f>
        <v>Notebook</v>
      </c>
      <c r="E182" s="2">
        <f ca="1">IFERROR(__xludf.DUMMYFUNCTION("""COMPUTED_VALUE"""),15.6)</f>
        <v>15.6</v>
      </c>
      <c r="F182" s="2" t="str">
        <f ca="1">IFERROR(__xludf.DUMMYFUNCTION("""COMPUTED_VALUE"""),"Full HD 1920x1080")</f>
        <v>Full HD 1920x1080</v>
      </c>
      <c r="G182" s="2" t="str">
        <f ca="1">IFERROR(__xludf.DUMMYFUNCTION("""COMPUTED_VALUE"""),"Intel Core i7 8550U 1.8GHz")</f>
        <v>Intel Core i7 8550U 1.8GHz</v>
      </c>
      <c r="H182" s="2" t="str">
        <f ca="1">IFERROR(__xludf.DUMMYFUNCTION("""COMPUTED_VALUE"""),"16GB")</f>
        <v>16GB</v>
      </c>
      <c r="I182" s="2" t="str">
        <f ca="1">IFERROR(__xludf.DUMMYFUNCTION("""COMPUTED_VALUE"""),"256GB SSD +  2TB HDD")</f>
        <v>256GB SSD +  2TB HDD</v>
      </c>
      <c r="J182" s="2" t="str">
        <f ca="1">IFERROR(__xludf.DUMMYFUNCTION("""COMPUTED_VALUE"""),"AMD Radeon 530")</f>
        <v>AMD Radeon 530</v>
      </c>
      <c r="K182" s="2" t="str">
        <f ca="1">IFERROR(__xludf.DUMMYFUNCTION("""COMPUTED_VALUE"""),"Linux")</f>
        <v>Linux</v>
      </c>
      <c r="L182" s="2" t="str">
        <f ca="1">IFERROR(__xludf.DUMMYFUNCTION("""COMPUTED_VALUE"""),"2.02kg")</f>
        <v>2.02kg</v>
      </c>
      <c r="M182" s="2">
        <f ca="1">IFERROR(__xludf.DUMMYFUNCTION("""COMPUTED_VALUE"""),1049)</f>
        <v>1049</v>
      </c>
    </row>
    <row r="183" spans="1:13">
      <c r="A183" s="2">
        <f ca="1">IFERROR(__xludf.DUMMYFUNCTION("""COMPUTED_VALUE"""),185)</f>
        <v>185</v>
      </c>
      <c r="B183" s="2" t="str">
        <f ca="1">IFERROR(__xludf.DUMMYFUNCTION("""COMPUTED_VALUE"""),"Dell")</f>
        <v>Dell</v>
      </c>
      <c r="C183" s="2" t="str">
        <f ca="1">IFERROR(__xludf.DUMMYFUNCTION("""COMPUTED_VALUE"""),"XPS 13")</f>
        <v>XPS 13</v>
      </c>
      <c r="D183" s="2" t="str">
        <f ca="1">IFERROR(__xludf.DUMMYFUNCTION("""COMPUTED_VALUE"""),"Ultrabook")</f>
        <v>Ultrabook</v>
      </c>
      <c r="E183" s="2">
        <f ca="1">IFERROR(__xludf.DUMMYFUNCTION("""COMPUTED_VALUE"""),13.3)</f>
        <v>13.3</v>
      </c>
      <c r="F183" s="2" t="str">
        <f ca="1">IFERROR(__xludf.DUMMYFUNCTION("""COMPUTED_VALUE"""),"Full HD 1920x1080")</f>
        <v>Full HD 1920x1080</v>
      </c>
      <c r="G183" s="2" t="str">
        <f ca="1">IFERROR(__xludf.DUMMYFUNCTION("""COMPUTED_VALUE"""),"Intel Core i5 8250U 1.6GHz")</f>
        <v>Intel Core i5 8250U 1.6GHz</v>
      </c>
      <c r="H183" s="2" t="str">
        <f ca="1">IFERROR(__xludf.DUMMYFUNCTION("""COMPUTED_VALUE"""),"8GB")</f>
        <v>8GB</v>
      </c>
      <c r="I183" s="2" t="str">
        <f ca="1">IFERROR(__xludf.DUMMYFUNCTION("""COMPUTED_VALUE"""),"256GB SSD")</f>
        <v>256GB SSD</v>
      </c>
      <c r="J183" s="2" t="str">
        <f ca="1">IFERROR(__xludf.DUMMYFUNCTION("""COMPUTED_VALUE"""),"Intel UHD Graphics 620")</f>
        <v>Intel UHD Graphics 620</v>
      </c>
      <c r="K183" s="2" t="str">
        <f ca="1">IFERROR(__xludf.DUMMYFUNCTION("""COMPUTED_VALUE"""),"Windows 10")</f>
        <v>Windows 10</v>
      </c>
      <c r="L183" s="2" t="str">
        <f ca="1">IFERROR(__xludf.DUMMYFUNCTION("""COMPUTED_VALUE"""),"1.23kg")</f>
        <v>1.23kg</v>
      </c>
      <c r="M183" s="2">
        <f ca="1">IFERROR(__xludf.DUMMYFUNCTION("""COMPUTED_VALUE"""),1399)</f>
        <v>1399</v>
      </c>
    </row>
    <row r="184" spans="1:13">
      <c r="A184" s="2">
        <f ca="1">IFERROR(__xludf.DUMMYFUNCTION("""COMPUTED_VALUE"""),186)</f>
        <v>186</v>
      </c>
      <c r="B184" s="2" t="str">
        <f ca="1">IFERROR(__xludf.DUMMYFUNCTION("""COMPUTED_VALUE"""),"Lenovo")</f>
        <v>Lenovo</v>
      </c>
      <c r="C184" s="2" t="str">
        <f ca="1">IFERROR(__xludf.DUMMYFUNCTION("""COMPUTED_VALUE"""),"Yoga 920-13IKB")</f>
        <v>Yoga 920-13IKB</v>
      </c>
      <c r="D184" s="2" t="str">
        <f ca="1">IFERROR(__xludf.DUMMYFUNCTION("""COMPUTED_VALUE"""),"2 in 1 Convertible")</f>
        <v>2 in 1 Convertible</v>
      </c>
      <c r="E184" s="2">
        <f ca="1">IFERROR(__xludf.DUMMYFUNCTION("""COMPUTED_VALUE"""),13.9)</f>
        <v>13.9</v>
      </c>
      <c r="F184" s="2" t="str">
        <f ca="1">IFERROR(__xludf.DUMMYFUNCTION("""COMPUTED_VALUE"""),"IPS Panel 4K Ultra HD / Touchscreen 3840x2160")</f>
        <v>IPS Panel 4K Ultra HD / Touchscreen 3840x2160</v>
      </c>
      <c r="G184" s="2" t="str">
        <f ca="1">IFERROR(__xludf.DUMMYFUNCTION("""COMPUTED_VALUE"""),"Intel Core i7 8550U 1.8GHz")</f>
        <v>Intel Core i7 8550U 1.8GHz</v>
      </c>
      <c r="H184" s="2" t="str">
        <f ca="1">IFERROR(__xludf.DUMMYFUNCTION("""COMPUTED_VALUE"""),"16GB")</f>
        <v>16GB</v>
      </c>
      <c r="I184" s="2" t="str">
        <f ca="1">IFERROR(__xludf.DUMMYFUNCTION("""COMPUTED_VALUE"""),"512GB SSD")</f>
        <v>512GB SSD</v>
      </c>
      <c r="J184" s="2" t="str">
        <f ca="1">IFERROR(__xludf.DUMMYFUNCTION("""COMPUTED_VALUE"""),"Intel UHD Graphics 620")</f>
        <v>Intel UHD Graphics 620</v>
      </c>
      <c r="K184" s="2" t="str">
        <f ca="1">IFERROR(__xludf.DUMMYFUNCTION("""COMPUTED_VALUE"""),"Windows 10")</f>
        <v>Windows 10</v>
      </c>
      <c r="L184" s="2" t="str">
        <f ca="1">IFERROR(__xludf.DUMMYFUNCTION("""COMPUTED_VALUE"""),"1.4kg")</f>
        <v>1.4kg</v>
      </c>
      <c r="M184" s="2">
        <f ca="1">IFERROR(__xludf.DUMMYFUNCTION("""COMPUTED_VALUE"""),1849)</f>
        <v>1849</v>
      </c>
    </row>
    <row r="185" spans="1:13">
      <c r="A185" s="2">
        <f ca="1">IFERROR(__xludf.DUMMYFUNCTION("""COMPUTED_VALUE"""),187)</f>
        <v>187</v>
      </c>
      <c r="B185" s="2" t="str">
        <f ca="1">IFERROR(__xludf.DUMMYFUNCTION("""COMPUTED_VALUE"""),"Toshiba")</f>
        <v>Toshiba</v>
      </c>
      <c r="C185" s="2" t="str">
        <f ca="1">IFERROR(__xludf.DUMMYFUNCTION("""COMPUTED_VALUE"""),"Satellite Pro")</f>
        <v>Satellite Pro</v>
      </c>
      <c r="D185" s="2" t="str">
        <f ca="1">IFERROR(__xludf.DUMMYFUNCTION("""COMPUTED_VALUE"""),"Notebook")</f>
        <v>Notebook</v>
      </c>
      <c r="E185" s="2">
        <f ca="1">IFERROR(__xludf.DUMMYFUNCTION("""COMPUTED_VALUE"""),15.6)</f>
        <v>15.6</v>
      </c>
      <c r="F185" s="2" t="str">
        <f ca="1">IFERROR(__xludf.DUMMYFUNCTION("""COMPUTED_VALUE"""),"1366x768")</f>
        <v>1366x768</v>
      </c>
      <c r="G185" s="2" t="str">
        <f ca="1">IFERROR(__xludf.DUMMYFUNCTION("""COMPUTED_VALUE"""),"Intel Core i5 7200U 2.5GHz")</f>
        <v>Intel Core i5 7200U 2.5GHz</v>
      </c>
      <c r="H185" s="2" t="str">
        <f ca="1">IFERROR(__xludf.DUMMYFUNCTION("""COMPUTED_VALUE"""),"8GB")</f>
        <v>8GB</v>
      </c>
      <c r="I185" s="2" t="str">
        <f ca="1">IFERROR(__xludf.DUMMYFUNCTION("""COMPUTED_VALUE"""),"128GB SSD")</f>
        <v>128GB SSD</v>
      </c>
      <c r="J185" s="2" t="str">
        <f ca="1">IFERROR(__xludf.DUMMYFUNCTION("""COMPUTED_VALUE"""),"Intel HD Graphics 620")</f>
        <v>Intel HD Graphics 620</v>
      </c>
      <c r="K185" s="2" t="str">
        <f ca="1">IFERROR(__xludf.DUMMYFUNCTION("""COMPUTED_VALUE"""),"Windows 10")</f>
        <v>Windows 10</v>
      </c>
      <c r="L185" s="2" t="str">
        <f ca="1">IFERROR(__xludf.DUMMYFUNCTION("""COMPUTED_VALUE"""),"2.0kg")</f>
        <v>2.0kg</v>
      </c>
      <c r="M185" s="2">
        <f ca="1">IFERROR(__xludf.DUMMYFUNCTION("""COMPUTED_VALUE"""),793)</f>
        <v>793</v>
      </c>
    </row>
    <row r="186" spans="1:13">
      <c r="A186" s="2">
        <f ca="1">IFERROR(__xludf.DUMMYFUNCTION("""COMPUTED_VALUE"""),188)</f>
        <v>188</v>
      </c>
      <c r="B186" s="2" t="str">
        <f ca="1">IFERROR(__xludf.DUMMYFUNCTION("""COMPUTED_VALUE"""),"Xiaomi")</f>
        <v>Xiaomi</v>
      </c>
      <c r="C186" s="2" t="str">
        <f ca="1">IFERROR(__xludf.DUMMYFUNCTION("""COMPUTED_VALUE"""),"Mi Notebook")</f>
        <v>Mi Notebook</v>
      </c>
      <c r="D186" s="2" t="str">
        <f ca="1">IFERROR(__xludf.DUMMYFUNCTION("""COMPUTED_VALUE"""),"Notebook")</f>
        <v>Notebook</v>
      </c>
      <c r="E186" s="2">
        <f ca="1">IFERROR(__xludf.DUMMYFUNCTION("""COMPUTED_VALUE"""),15.6)</f>
        <v>15.6</v>
      </c>
      <c r="F186" s="2" t="str">
        <f ca="1">IFERROR(__xludf.DUMMYFUNCTION("""COMPUTED_VALUE"""),"IPS Panel Full HD 1920x1080")</f>
        <v>IPS Panel Full HD 1920x1080</v>
      </c>
      <c r="G186" s="2" t="str">
        <f ca="1">IFERROR(__xludf.DUMMYFUNCTION("""COMPUTED_VALUE"""),"Intel Core i5 8250U 1.6GHz")</f>
        <v>Intel Core i5 8250U 1.6GHz</v>
      </c>
      <c r="H186" s="2" t="str">
        <f ca="1">IFERROR(__xludf.DUMMYFUNCTION("""COMPUTED_VALUE"""),"8GB")</f>
        <v>8GB</v>
      </c>
      <c r="I186" s="2" t="str">
        <f ca="1">IFERROR(__xludf.DUMMYFUNCTION("""COMPUTED_VALUE"""),"256GB SSD")</f>
        <v>256GB SSD</v>
      </c>
      <c r="J186" s="2" t="str">
        <f ca="1">IFERROR(__xludf.DUMMYFUNCTION("""COMPUTED_VALUE"""),"Nvidia GeForce MX150")</f>
        <v>Nvidia GeForce MX150</v>
      </c>
      <c r="K186" s="2" t="str">
        <f ca="1">IFERROR(__xludf.DUMMYFUNCTION("""COMPUTED_VALUE"""),"No OS")</f>
        <v>No OS</v>
      </c>
      <c r="L186" s="2" t="str">
        <f ca="1">IFERROR(__xludf.DUMMYFUNCTION("""COMPUTED_VALUE"""),"1.95kg")</f>
        <v>1.95kg</v>
      </c>
      <c r="M186" s="2">
        <f ca="1">IFERROR(__xludf.DUMMYFUNCTION("""COMPUTED_VALUE"""),1199)</f>
        <v>1199</v>
      </c>
    </row>
    <row r="187" spans="1:13">
      <c r="A187" s="2">
        <f ca="1">IFERROR(__xludf.DUMMYFUNCTION("""COMPUTED_VALUE"""),189)</f>
        <v>189</v>
      </c>
      <c r="B187" s="2" t="str">
        <f ca="1">IFERROR(__xludf.DUMMYFUNCTION("""COMPUTED_VALUE"""),"Dell")</f>
        <v>Dell</v>
      </c>
      <c r="C187" s="2" t="str">
        <f ca="1">IFERROR(__xludf.DUMMYFUNCTION("""COMPUTED_VALUE"""),"Inspiron 7773")</f>
        <v>Inspiron 7773</v>
      </c>
      <c r="D187" s="2" t="str">
        <f ca="1">IFERROR(__xludf.DUMMYFUNCTION("""COMPUTED_VALUE"""),"Notebook")</f>
        <v>Notebook</v>
      </c>
      <c r="E187" s="2">
        <f ca="1">IFERROR(__xludf.DUMMYFUNCTION("""COMPUTED_VALUE"""),17.3)</f>
        <v>17.3</v>
      </c>
      <c r="F187" s="2" t="str">
        <f ca="1">IFERROR(__xludf.DUMMYFUNCTION("""COMPUTED_VALUE"""),"Full HD / Touchscreen 1920x1080")</f>
        <v>Full HD / Touchscreen 1920x1080</v>
      </c>
      <c r="G187" s="2" t="str">
        <f ca="1">IFERROR(__xludf.DUMMYFUNCTION("""COMPUTED_VALUE"""),"Intel Core i7 8550U 1.8GHz")</f>
        <v>Intel Core i7 8550U 1.8GHz</v>
      </c>
      <c r="H187" s="2" t="str">
        <f ca="1">IFERROR(__xludf.DUMMYFUNCTION("""COMPUTED_VALUE"""),"16GB")</f>
        <v>16GB</v>
      </c>
      <c r="I187" s="2" t="str">
        <f ca="1">IFERROR(__xludf.DUMMYFUNCTION("""COMPUTED_VALUE"""),"512GB SSD")</f>
        <v>512GB SSD</v>
      </c>
      <c r="J187" s="2" t="str">
        <f ca="1">IFERROR(__xludf.DUMMYFUNCTION("""COMPUTED_VALUE"""),"Nvidia GeForce 150MX")</f>
        <v>Nvidia GeForce 150MX</v>
      </c>
      <c r="K187" s="2" t="str">
        <f ca="1">IFERROR(__xludf.DUMMYFUNCTION("""COMPUTED_VALUE"""),"Windows 10")</f>
        <v>Windows 10</v>
      </c>
      <c r="L187" s="2" t="str">
        <f ca="1">IFERROR(__xludf.DUMMYFUNCTION("""COMPUTED_VALUE"""),"2.77kg")</f>
        <v>2.77kg</v>
      </c>
      <c r="M187" s="2">
        <f ca="1">IFERROR(__xludf.DUMMYFUNCTION("""COMPUTED_VALUE"""),1549)</f>
        <v>1549</v>
      </c>
    </row>
    <row r="188" spans="1:13">
      <c r="A188" s="2">
        <f ca="1">IFERROR(__xludf.DUMMYFUNCTION("""COMPUTED_VALUE"""),190)</f>
        <v>190</v>
      </c>
      <c r="B188" s="2" t="str">
        <f ca="1">IFERROR(__xludf.DUMMYFUNCTION("""COMPUTED_VALUE"""),"Dell")</f>
        <v>Dell</v>
      </c>
      <c r="C188" s="2" t="str">
        <f ca="1">IFERROR(__xludf.DUMMYFUNCTION("""COMPUTED_VALUE"""),"XPS 15")</f>
        <v>XPS 15</v>
      </c>
      <c r="D188" s="2" t="str">
        <f ca="1">IFERROR(__xludf.DUMMYFUNCTION("""COMPUTED_VALUE"""),"Notebook")</f>
        <v>Notebook</v>
      </c>
      <c r="E188" s="2">
        <f ca="1">IFERROR(__xludf.DUMMYFUNCTION("""COMPUTED_VALUE"""),15.6)</f>
        <v>15.6</v>
      </c>
      <c r="F188" s="2" t="str">
        <f ca="1">IFERROR(__xludf.DUMMYFUNCTION("""COMPUTED_VALUE"""),"4K Ultra HD / Touchscreen 3840x2160")</f>
        <v>4K Ultra HD / Touchscreen 3840x2160</v>
      </c>
      <c r="G188" s="2" t="str">
        <f ca="1">IFERROR(__xludf.DUMMYFUNCTION("""COMPUTED_VALUE"""),"Intel Core i7 7700HQ 2.8GHz")</f>
        <v>Intel Core i7 7700HQ 2.8GHz</v>
      </c>
      <c r="H188" s="2" t="str">
        <f ca="1">IFERROR(__xludf.DUMMYFUNCTION("""COMPUTED_VALUE"""),"16GB")</f>
        <v>16GB</v>
      </c>
      <c r="I188" s="2" t="str">
        <f ca="1">IFERROR(__xludf.DUMMYFUNCTION("""COMPUTED_VALUE"""),"512GB SSD")</f>
        <v>512GB SSD</v>
      </c>
      <c r="J188" s="2" t="str">
        <f ca="1">IFERROR(__xludf.DUMMYFUNCTION("""COMPUTED_VALUE"""),"Nvidia GeForce GTX 1050")</f>
        <v>Nvidia GeForce GTX 1050</v>
      </c>
      <c r="K188" s="2" t="str">
        <f ca="1">IFERROR(__xludf.DUMMYFUNCTION("""COMPUTED_VALUE"""),"Windows 10")</f>
        <v>Windows 10</v>
      </c>
      <c r="L188" s="2" t="str">
        <f ca="1">IFERROR(__xludf.DUMMYFUNCTION("""COMPUTED_VALUE"""),"2.06kg")</f>
        <v>2.06kg</v>
      </c>
      <c r="M188" s="2">
        <f ca="1">IFERROR(__xludf.DUMMYFUNCTION("""COMPUTED_VALUE"""),2397)</f>
        <v>2397</v>
      </c>
    </row>
    <row r="189" spans="1:13">
      <c r="A189" s="2">
        <f ca="1">IFERROR(__xludf.DUMMYFUNCTION("""COMPUTED_VALUE"""),191)</f>
        <v>191</v>
      </c>
      <c r="B189" s="2" t="str">
        <f ca="1">IFERROR(__xludf.DUMMYFUNCTION("""COMPUTED_VALUE"""),"Lenovo")</f>
        <v>Lenovo</v>
      </c>
      <c r="C189" s="2" t="str">
        <f ca="1">IFERROR(__xludf.DUMMYFUNCTION("""COMPUTED_VALUE"""),"Legion Y520-15IKBN")</f>
        <v>Legion Y520-15IKBN</v>
      </c>
      <c r="D189" s="2" t="str">
        <f ca="1">IFERROR(__xludf.DUMMYFUNCTION("""COMPUTED_VALUE"""),"Gaming")</f>
        <v>Gaming</v>
      </c>
      <c r="E189" s="2">
        <f ca="1">IFERROR(__xludf.DUMMYFUNCTION("""COMPUTED_VALUE"""),15.6)</f>
        <v>15.6</v>
      </c>
      <c r="F189" s="2" t="str">
        <f ca="1">IFERROR(__xludf.DUMMYFUNCTION("""COMPUTED_VALUE"""),"IPS Panel Full HD 1920x1080")</f>
        <v>IPS Panel Full HD 1920x1080</v>
      </c>
      <c r="G189" s="2" t="str">
        <f ca="1">IFERROR(__xludf.DUMMYFUNCTION("""COMPUTED_VALUE"""),"Intel Core i5 7300HQ 2.5GHz")</f>
        <v>Intel Core i5 7300HQ 2.5GHz</v>
      </c>
      <c r="H189" s="2" t="str">
        <f ca="1">IFERROR(__xludf.DUMMYFUNCTION("""COMPUTED_VALUE"""),"8GB")</f>
        <v>8GB</v>
      </c>
      <c r="I189" s="2" t="str">
        <f ca="1">IFERROR(__xludf.DUMMYFUNCTION("""COMPUTED_VALUE"""),"256GB SSD")</f>
        <v>256GB SSD</v>
      </c>
      <c r="J189" s="2" t="str">
        <f ca="1">IFERROR(__xludf.DUMMYFUNCTION("""COMPUTED_VALUE"""),"Nvidia GeForce GTX 1050")</f>
        <v>Nvidia GeForce GTX 1050</v>
      </c>
      <c r="K189" s="2" t="str">
        <f ca="1">IFERROR(__xludf.DUMMYFUNCTION("""COMPUTED_VALUE"""),"No OS")</f>
        <v>No OS</v>
      </c>
      <c r="L189" s="2" t="str">
        <f ca="1">IFERROR(__xludf.DUMMYFUNCTION("""COMPUTED_VALUE"""),"2.4kg")</f>
        <v>2.4kg</v>
      </c>
      <c r="M189" s="2">
        <f ca="1">IFERROR(__xludf.DUMMYFUNCTION("""COMPUTED_VALUE"""),779)</f>
        <v>779</v>
      </c>
    </row>
    <row r="190" spans="1:13">
      <c r="A190" s="2">
        <f ca="1">IFERROR(__xludf.DUMMYFUNCTION("""COMPUTED_VALUE"""),192)</f>
        <v>192</v>
      </c>
      <c r="B190" s="2" t="str">
        <f ca="1">IFERROR(__xludf.DUMMYFUNCTION("""COMPUTED_VALUE"""),"Acer")</f>
        <v>Acer</v>
      </c>
      <c r="C190" s="2" t="str">
        <f ca="1">IFERROR(__xludf.DUMMYFUNCTION("""COMPUTED_VALUE"""),"Swift 7")</f>
        <v>Swift 7</v>
      </c>
      <c r="D190" s="2" t="str">
        <f ca="1">IFERROR(__xludf.DUMMYFUNCTION("""COMPUTED_VALUE"""),"Ultrabook")</f>
        <v>Ultrabook</v>
      </c>
      <c r="E190" s="2">
        <f ca="1">IFERROR(__xludf.DUMMYFUNCTION("""COMPUTED_VALUE"""),13.3)</f>
        <v>13.3</v>
      </c>
      <c r="F190" s="2" t="str">
        <f ca="1">IFERROR(__xludf.DUMMYFUNCTION("""COMPUTED_VALUE"""),"IPS Panel Full HD 1920x1080")</f>
        <v>IPS Panel Full HD 1920x1080</v>
      </c>
      <c r="G190" s="2" t="str">
        <f ca="1">IFERROR(__xludf.DUMMYFUNCTION("""COMPUTED_VALUE"""),"Intel Core i5 7Y54 1.2GHz")</f>
        <v>Intel Core i5 7Y54 1.2GHz</v>
      </c>
      <c r="H190" s="2" t="str">
        <f ca="1">IFERROR(__xludf.DUMMYFUNCTION("""COMPUTED_VALUE"""),"8GB")</f>
        <v>8GB</v>
      </c>
      <c r="I190" s="2" t="str">
        <f ca="1">IFERROR(__xludf.DUMMYFUNCTION("""COMPUTED_VALUE"""),"256GB SSD")</f>
        <v>256GB SSD</v>
      </c>
      <c r="J190" s="2" t="str">
        <f ca="1">IFERROR(__xludf.DUMMYFUNCTION("""COMPUTED_VALUE"""),"Intel HD Graphics 615")</f>
        <v>Intel HD Graphics 615</v>
      </c>
      <c r="K190" s="2" t="str">
        <f ca="1">IFERROR(__xludf.DUMMYFUNCTION("""COMPUTED_VALUE"""),"Windows 10")</f>
        <v>Windows 10</v>
      </c>
      <c r="L190" s="2" t="str">
        <f ca="1">IFERROR(__xludf.DUMMYFUNCTION("""COMPUTED_VALUE"""),"1.12kg")</f>
        <v>1.12kg</v>
      </c>
      <c r="M190" s="2">
        <f ca="1">IFERROR(__xludf.DUMMYFUNCTION("""COMPUTED_VALUE"""),989)</f>
        <v>989</v>
      </c>
    </row>
    <row r="191" spans="1:13">
      <c r="A191" s="2">
        <f ca="1">IFERROR(__xludf.DUMMYFUNCTION("""COMPUTED_VALUE"""),193)</f>
        <v>193</v>
      </c>
      <c r="B191" s="2" t="str">
        <f ca="1">IFERROR(__xludf.DUMMYFUNCTION("""COMPUTED_VALUE"""),"Dell")</f>
        <v>Dell</v>
      </c>
      <c r="C191" s="2" t="str">
        <f ca="1">IFERROR(__xludf.DUMMYFUNCTION("""COMPUTED_VALUE"""),"Inspiron 5770")</f>
        <v>Inspiron 5770</v>
      </c>
      <c r="D191" s="2" t="str">
        <f ca="1">IFERROR(__xludf.DUMMYFUNCTION("""COMPUTED_VALUE"""),"Notebook")</f>
        <v>Notebook</v>
      </c>
      <c r="E191" s="2">
        <f ca="1">IFERROR(__xludf.DUMMYFUNCTION("""COMPUTED_VALUE"""),17.3)</f>
        <v>17.3</v>
      </c>
      <c r="F191" s="2" t="str">
        <f ca="1">IFERROR(__xludf.DUMMYFUNCTION("""COMPUTED_VALUE"""),"Full HD 1920x1080")</f>
        <v>Full HD 1920x1080</v>
      </c>
      <c r="G191" s="2" t="str">
        <f ca="1">IFERROR(__xludf.DUMMYFUNCTION("""COMPUTED_VALUE"""),"Intel Core i7 8550U 1.8GHz")</f>
        <v>Intel Core i7 8550U 1.8GHz</v>
      </c>
      <c r="H191" s="2" t="str">
        <f ca="1">IFERROR(__xludf.DUMMYFUNCTION("""COMPUTED_VALUE"""),"8GB")</f>
        <v>8GB</v>
      </c>
      <c r="I191" s="2" t="str">
        <f ca="1">IFERROR(__xludf.DUMMYFUNCTION("""COMPUTED_VALUE"""),"128GB SSD +  1TB HDD")</f>
        <v>128GB SSD +  1TB HDD</v>
      </c>
      <c r="J191" s="2" t="str">
        <f ca="1">IFERROR(__xludf.DUMMYFUNCTION("""COMPUTED_VALUE"""),"AMD Radeon 530")</f>
        <v>AMD Radeon 530</v>
      </c>
      <c r="K191" s="2" t="str">
        <f ca="1">IFERROR(__xludf.DUMMYFUNCTION("""COMPUTED_VALUE"""),"Windows 10")</f>
        <v>Windows 10</v>
      </c>
      <c r="L191" s="2" t="str">
        <f ca="1">IFERROR(__xludf.DUMMYFUNCTION("""COMPUTED_VALUE"""),"2.8kg")</f>
        <v>2.8kg</v>
      </c>
      <c r="M191" s="2">
        <f ca="1">IFERROR(__xludf.DUMMYFUNCTION("""COMPUTED_VALUE"""),1085)</f>
        <v>1085</v>
      </c>
    </row>
    <row r="192" spans="1:13">
      <c r="A192" s="2">
        <f ca="1">IFERROR(__xludf.DUMMYFUNCTION("""COMPUTED_VALUE"""),194)</f>
        <v>194</v>
      </c>
      <c r="B192" s="2" t="str">
        <f ca="1">IFERROR(__xludf.DUMMYFUNCTION("""COMPUTED_VALUE"""),"Lenovo")</f>
        <v>Lenovo</v>
      </c>
      <c r="C192" s="2" t="str">
        <f ca="1">IFERROR(__xludf.DUMMYFUNCTION("""COMPUTED_VALUE"""),"Thinkpad Yoga")</f>
        <v>Thinkpad Yoga</v>
      </c>
      <c r="D192" s="2" t="str">
        <f ca="1">IFERROR(__xludf.DUMMYFUNCTION("""COMPUTED_VALUE"""),"2 in 1 Convertible")</f>
        <v>2 in 1 Convertible</v>
      </c>
      <c r="E192" s="2">
        <f ca="1">IFERROR(__xludf.DUMMYFUNCTION("""COMPUTED_VALUE"""),14)</f>
        <v>14</v>
      </c>
      <c r="F192" s="2" t="str">
        <f ca="1">IFERROR(__xludf.DUMMYFUNCTION("""COMPUTED_VALUE"""),"Touchscreen 2560x1440")</f>
        <v>Touchscreen 2560x1440</v>
      </c>
      <c r="G192" s="2" t="str">
        <f ca="1">IFERROR(__xludf.DUMMYFUNCTION("""COMPUTED_VALUE"""),"Intel Core i7 7500U 2.7GHz")</f>
        <v>Intel Core i7 7500U 2.7GHz</v>
      </c>
      <c r="H192" s="2" t="str">
        <f ca="1">IFERROR(__xludf.DUMMYFUNCTION("""COMPUTED_VALUE"""),"16GB")</f>
        <v>16GB</v>
      </c>
      <c r="I192" s="2" t="str">
        <f ca="1">IFERROR(__xludf.DUMMYFUNCTION("""COMPUTED_VALUE"""),"1TB SSD")</f>
        <v>1TB SSD</v>
      </c>
      <c r="J192" s="2" t="str">
        <f ca="1">IFERROR(__xludf.DUMMYFUNCTION("""COMPUTED_VALUE"""),"Intel HD Graphics 620")</f>
        <v>Intel HD Graphics 620</v>
      </c>
      <c r="K192" s="2" t="str">
        <f ca="1">IFERROR(__xludf.DUMMYFUNCTION("""COMPUTED_VALUE"""),"Windows 10")</f>
        <v>Windows 10</v>
      </c>
      <c r="L192" s="2" t="str">
        <f ca="1">IFERROR(__xludf.DUMMYFUNCTION("""COMPUTED_VALUE"""),"1.42kg")</f>
        <v>1.42kg</v>
      </c>
      <c r="M192" s="2">
        <f ca="1">IFERROR(__xludf.DUMMYFUNCTION("""COMPUTED_VALUE"""),2824)</f>
        <v>2824</v>
      </c>
    </row>
    <row r="193" spans="1:13">
      <c r="A193" s="2">
        <f ca="1">IFERROR(__xludf.DUMMYFUNCTION("""COMPUTED_VALUE"""),195)</f>
        <v>195</v>
      </c>
      <c r="B193" s="2" t="str">
        <f ca="1">IFERROR(__xludf.DUMMYFUNCTION("""COMPUTED_VALUE"""),"Vero")</f>
        <v>Vero</v>
      </c>
      <c r="C193" s="2" t="str">
        <f ca="1">IFERROR(__xludf.DUMMYFUNCTION("""COMPUTED_VALUE"""),"K147 (N3350/4GB/32GB/FHD/W10)")</f>
        <v>K147 (N3350/4GB/32GB/FHD/W10)</v>
      </c>
      <c r="D193" s="2" t="str">
        <f ca="1">IFERROR(__xludf.DUMMYFUNCTION("""COMPUTED_VALUE"""),"Notebook")</f>
        <v>Notebook</v>
      </c>
      <c r="E193" s="2">
        <f ca="1">IFERROR(__xludf.DUMMYFUNCTION("""COMPUTED_VALUE"""),14)</f>
        <v>14</v>
      </c>
      <c r="F193" s="2" t="str">
        <f ca="1">IFERROR(__xludf.DUMMYFUNCTION("""COMPUTED_VALUE"""),"IPS Panel Full HD 1920x1080")</f>
        <v>IPS Panel Full HD 1920x1080</v>
      </c>
      <c r="G193" s="2" t="str">
        <f ca="1">IFERROR(__xludf.DUMMYFUNCTION("""COMPUTED_VALUE"""),"Intel Celeron Dual Core N3350 1.1GHz")</f>
        <v>Intel Celeron Dual Core N3350 1.1GHz</v>
      </c>
      <c r="H193" s="2" t="str">
        <f ca="1">IFERROR(__xludf.DUMMYFUNCTION("""COMPUTED_VALUE"""),"4GB")</f>
        <v>4GB</v>
      </c>
      <c r="I193" s="2" t="str">
        <f ca="1">IFERROR(__xludf.DUMMYFUNCTION("""COMPUTED_VALUE"""),"32GB Flash Storage")</f>
        <v>32GB Flash Storage</v>
      </c>
      <c r="J193" s="2" t="str">
        <f ca="1">IFERROR(__xludf.DUMMYFUNCTION("""COMPUTED_VALUE"""),"Intel HD Graphics 500")</f>
        <v>Intel HD Graphics 500</v>
      </c>
      <c r="K193" s="2" t="str">
        <f ca="1">IFERROR(__xludf.DUMMYFUNCTION("""COMPUTED_VALUE"""),"Windows 10")</f>
        <v>Windows 10</v>
      </c>
      <c r="L193" s="2" t="str">
        <f ca="1">IFERROR(__xludf.DUMMYFUNCTION("""COMPUTED_VALUE"""),"1.3kg")</f>
        <v>1.3kg</v>
      </c>
      <c r="M193" s="2">
        <f ca="1">IFERROR(__xludf.DUMMYFUNCTION("""COMPUTED_VALUE"""),260)</f>
        <v>260</v>
      </c>
    </row>
    <row r="194" spans="1:13">
      <c r="A194" s="2">
        <f ca="1">IFERROR(__xludf.DUMMYFUNCTION("""COMPUTED_VALUE"""),196)</f>
        <v>196</v>
      </c>
      <c r="B194" s="2" t="str">
        <f ca="1">IFERROR(__xludf.DUMMYFUNCTION("""COMPUTED_VALUE"""),"Xiaomi")</f>
        <v>Xiaomi</v>
      </c>
      <c r="C194" s="2" t="str">
        <f ca="1">IFERROR(__xludf.DUMMYFUNCTION("""COMPUTED_VALUE"""),"Mi Notebook")</f>
        <v>Mi Notebook</v>
      </c>
      <c r="D194" s="2" t="str">
        <f ca="1">IFERROR(__xludf.DUMMYFUNCTION("""COMPUTED_VALUE"""),"Ultrabook")</f>
        <v>Ultrabook</v>
      </c>
      <c r="E194" s="2">
        <f ca="1">IFERROR(__xludf.DUMMYFUNCTION("""COMPUTED_VALUE"""),13.3)</f>
        <v>13.3</v>
      </c>
      <c r="F194" s="2" t="str">
        <f ca="1">IFERROR(__xludf.DUMMYFUNCTION("""COMPUTED_VALUE"""),"IPS Panel Full HD 1920x1080")</f>
        <v>IPS Panel Full HD 1920x1080</v>
      </c>
      <c r="G194" s="2" t="str">
        <f ca="1">IFERROR(__xludf.DUMMYFUNCTION("""COMPUTED_VALUE"""),"Intel Core i5 7200U 2.5GHz")</f>
        <v>Intel Core i5 7200U 2.5GHz</v>
      </c>
      <c r="H194" s="2" t="str">
        <f ca="1">IFERROR(__xludf.DUMMYFUNCTION("""COMPUTED_VALUE"""),"8GB")</f>
        <v>8GB</v>
      </c>
      <c r="I194" s="2" t="str">
        <f ca="1">IFERROR(__xludf.DUMMYFUNCTION("""COMPUTED_VALUE"""),"256GB SSD")</f>
        <v>256GB SSD</v>
      </c>
      <c r="J194" s="2" t="str">
        <f ca="1">IFERROR(__xludf.DUMMYFUNCTION("""COMPUTED_VALUE"""),"Nvidia GeForce MX150")</f>
        <v>Nvidia GeForce MX150</v>
      </c>
      <c r="K194" s="2" t="str">
        <f ca="1">IFERROR(__xludf.DUMMYFUNCTION("""COMPUTED_VALUE"""),"No OS")</f>
        <v>No OS</v>
      </c>
      <c r="L194" s="2" t="str">
        <f ca="1">IFERROR(__xludf.DUMMYFUNCTION("""COMPUTED_VALUE"""),"1.3kg")</f>
        <v>1.3kg</v>
      </c>
      <c r="M194" s="2">
        <f ca="1">IFERROR(__xludf.DUMMYFUNCTION("""COMPUTED_VALUE"""),999.9)</f>
        <v>999.9</v>
      </c>
    </row>
    <row r="195" spans="1:13">
      <c r="A195" s="2">
        <f ca="1">IFERROR(__xludf.DUMMYFUNCTION("""COMPUTED_VALUE"""),197)</f>
        <v>197</v>
      </c>
      <c r="B195" s="2" t="str">
        <f ca="1">IFERROR(__xludf.DUMMYFUNCTION("""COMPUTED_VALUE"""),"Lenovo")</f>
        <v>Lenovo</v>
      </c>
      <c r="C195" s="2" t="str">
        <f ca="1">IFERROR(__xludf.DUMMYFUNCTION("""COMPUTED_VALUE"""),"IdeaPad 320-17IKBR")</f>
        <v>IdeaPad 320-17IKBR</v>
      </c>
      <c r="D195" s="2" t="str">
        <f ca="1">IFERROR(__xludf.DUMMYFUNCTION("""COMPUTED_VALUE"""),"Notebook")</f>
        <v>Notebook</v>
      </c>
      <c r="E195" s="2">
        <f ca="1">IFERROR(__xludf.DUMMYFUNCTION("""COMPUTED_VALUE"""),17.3)</f>
        <v>17.3</v>
      </c>
      <c r="F195" s="2" t="str">
        <f ca="1">IFERROR(__xludf.DUMMYFUNCTION("""COMPUTED_VALUE"""),"1600x900")</f>
        <v>1600x900</v>
      </c>
      <c r="G195" s="2" t="str">
        <f ca="1">IFERROR(__xludf.DUMMYFUNCTION("""COMPUTED_VALUE"""),"Intel Core i5 8250U 1.6GHz")</f>
        <v>Intel Core i5 8250U 1.6GHz</v>
      </c>
      <c r="H195" s="2" t="str">
        <f ca="1">IFERROR(__xludf.DUMMYFUNCTION("""COMPUTED_VALUE"""),"8GB")</f>
        <v>8GB</v>
      </c>
      <c r="I195" s="2" t="str">
        <f ca="1">IFERROR(__xludf.DUMMYFUNCTION("""COMPUTED_VALUE"""),"256GB SSD")</f>
        <v>256GB SSD</v>
      </c>
      <c r="J195" s="2" t="str">
        <f ca="1">IFERROR(__xludf.DUMMYFUNCTION("""COMPUTED_VALUE"""),"Nvidia GeForce MX150")</f>
        <v>Nvidia GeForce MX150</v>
      </c>
      <c r="K195" s="2" t="str">
        <f ca="1">IFERROR(__xludf.DUMMYFUNCTION("""COMPUTED_VALUE"""),"No OS")</f>
        <v>No OS</v>
      </c>
      <c r="L195" s="2" t="str">
        <f ca="1">IFERROR(__xludf.DUMMYFUNCTION("""COMPUTED_VALUE"""),"2.8kg")</f>
        <v>2.8kg</v>
      </c>
      <c r="M195" s="2">
        <f ca="1">IFERROR(__xludf.DUMMYFUNCTION("""COMPUTED_VALUE"""),698)</f>
        <v>698</v>
      </c>
    </row>
    <row r="196" spans="1:13">
      <c r="A196" s="2">
        <f ca="1">IFERROR(__xludf.DUMMYFUNCTION("""COMPUTED_VALUE"""),198)</f>
        <v>198</v>
      </c>
      <c r="B196" s="2" t="str">
        <f ca="1">IFERROR(__xludf.DUMMYFUNCTION("""COMPUTED_VALUE"""),"Dell")</f>
        <v>Dell</v>
      </c>
      <c r="C196" s="2" t="str">
        <f ca="1">IFERROR(__xludf.DUMMYFUNCTION("""COMPUTED_VALUE"""),"Inspiron 5379")</f>
        <v>Inspiron 5379</v>
      </c>
      <c r="D196" s="2" t="str">
        <f ca="1">IFERROR(__xludf.DUMMYFUNCTION("""COMPUTED_VALUE"""),"2 in 1 Convertible")</f>
        <v>2 in 1 Convertible</v>
      </c>
      <c r="E196" s="2">
        <f ca="1">IFERROR(__xludf.DUMMYFUNCTION("""COMPUTED_VALUE"""),13.3)</f>
        <v>13.3</v>
      </c>
      <c r="F196" s="2" t="str">
        <f ca="1">IFERROR(__xludf.DUMMYFUNCTION("""COMPUTED_VALUE"""),"IPS Panel Full HD / Touchscreen 1920x1080")</f>
        <v>IPS Panel Full HD / Touchscreen 1920x1080</v>
      </c>
      <c r="G196" s="2" t="str">
        <f ca="1">IFERROR(__xludf.DUMMYFUNCTION("""COMPUTED_VALUE"""),"Intel Core i7 8550U 1.8GHz")</f>
        <v>Intel Core i7 8550U 1.8GHz</v>
      </c>
      <c r="H196" s="2" t="str">
        <f ca="1">IFERROR(__xludf.DUMMYFUNCTION("""COMPUTED_VALUE"""),"8GB")</f>
        <v>8GB</v>
      </c>
      <c r="I196" s="2" t="str">
        <f ca="1">IFERROR(__xludf.DUMMYFUNCTION("""COMPUTED_VALUE"""),"1TB HDD")</f>
        <v>1TB HDD</v>
      </c>
      <c r="J196" s="2" t="str">
        <f ca="1">IFERROR(__xludf.DUMMYFUNCTION("""COMPUTED_VALUE"""),"Intel UHD Graphics 620")</f>
        <v>Intel UHD Graphics 620</v>
      </c>
      <c r="K196" s="2" t="str">
        <f ca="1">IFERROR(__xludf.DUMMYFUNCTION("""COMPUTED_VALUE"""),"Windows 10")</f>
        <v>Windows 10</v>
      </c>
      <c r="L196" s="2" t="str">
        <f ca="1">IFERROR(__xludf.DUMMYFUNCTION("""COMPUTED_VALUE"""),"1.62kg")</f>
        <v>1.62kg</v>
      </c>
      <c r="M196" s="2">
        <f ca="1">IFERROR(__xludf.DUMMYFUNCTION("""COMPUTED_VALUE"""),839)</f>
        <v>839</v>
      </c>
    </row>
    <row r="197" spans="1:13">
      <c r="A197" s="2">
        <f ca="1">IFERROR(__xludf.DUMMYFUNCTION("""COMPUTED_VALUE"""),199)</f>
        <v>199</v>
      </c>
      <c r="B197" s="2" t="str">
        <f ca="1">IFERROR(__xludf.DUMMYFUNCTION("""COMPUTED_VALUE"""),"HP")</f>
        <v>HP</v>
      </c>
      <c r="C197" s="2" t="str">
        <f ca="1">IFERROR(__xludf.DUMMYFUNCTION("""COMPUTED_VALUE"""),"ProBook 470")</f>
        <v>ProBook 470</v>
      </c>
      <c r="D197" s="2" t="str">
        <f ca="1">IFERROR(__xludf.DUMMYFUNCTION("""COMPUTED_VALUE"""),"Notebook")</f>
        <v>Notebook</v>
      </c>
      <c r="E197" s="2">
        <f ca="1">IFERROR(__xludf.DUMMYFUNCTION("""COMPUTED_VALUE"""),17.3)</f>
        <v>17.3</v>
      </c>
      <c r="F197" s="2" t="str">
        <f ca="1">IFERROR(__xludf.DUMMYFUNCTION("""COMPUTED_VALUE"""),"IPS Panel Full HD 1920x1080")</f>
        <v>IPS Panel Full HD 1920x1080</v>
      </c>
      <c r="G197" s="2" t="str">
        <f ca="1">IFERROR(__xludf.DUMMYFUNCTION("""COMPUTED_VALUE"""),"Intel Core i5 8250U 1.6GHz")</f>
        <v>Intel Core i5 8250U 1.6GHz</v>
      </c>
      <c r="H197" s="2" t="str">
        <f ca="1">IFERROR(__xludf.DUMMYFUNCTION("""COMPUTED_VALUE"""),"8GB")</f>
        <v>8GB</v>
      </c>
      <c r="I197" s="2" t="str">
        <f ca="1">IFERROR(__xludf.DUMMYFUNCTION("""COMPUTED_VALUE"""),"1TB HDD")</f>
        <v>1TB HDD</v>
      </c>
      <c r="J197" s="2" t="str">
        <f ca="1">IFERROR(__xludf.DUMMYFUNCTION("""COMPUTED_VALUE"""),"Nvidia GeForce 930MX")</f>
        <v>Nvidia GeForce 930MX</v>
      </c>
      <c r="K197" s="2" t="str">
        <f ca="1">IFERROR(__xludf.DUMMYFUNCTION("""COMPUTED_VALUE"""),"Windows 10")</f>
        <v>Windows 10</v>
      </c>
      <c r="L197" s="2" t="str">
        <f ca="1">IFERROR(__xludf.DUMMYFUNCTION("""COMPUTED_VALUE"""),"2.5kg")</f>
        <v>2.5kg</v>
      </c>
      <c r="M197" s="2">
        <f ca="1">IFERROR(__xludf.DUMMYFUNCTION("""COMPUTED_VALUE"""),914)</f>
        <v>914</v>
      </c>
    </row>
    <row r="198" spans="1:13">
      <c r="A198" s="2">
        <f ca="1">IFERROR(__xludf.DUMMYFUNCTION("""COMPUTED_VALUE"""),200)</f>
        <v>200</v>
      </c>
      <c r="B198" s="2" t="str">
        <f ca="1">IFERROR(__xludf.DUMMYFUNCTION("""COMPUTED_VALUE"""),"Razer")</f>
        <v>Razer</v>
      </c>
      <c r="C198" s="2" t="str">
        <f ca="1">IFERROR(__xludf.DUMMYFUNCTION("""COMPUTED_VALUE"""),"Blade Pro")</f>
        <v>Blade Pro</v>
      </c>
      <c r="D198" s="2" t="str">
        <f ca="1">IFERROR(__xludf.DUMMYFUNCTION("""COMPUTED_VALUE"""),"Gaming")</f>
        <v>Gaming</v>
      </c>
      <c r="E198" s="2">
        <f ca="1">IFERROR(__xludf.DUMMYFUNCTION("""COMPUTED_VALUE"""),17.3)</f>
        <v>17.3</v>
      </c>
      <c r="F198" s="2" t="str">
        <f ca="1">IFERROR(__xludf.DUMMYFUNCTION("""COMPUTED_VALUE"""),"4K Ultra HD / Touchscreen 3840x2160")</f>
        <v>4K Ultra HD / Touchscreen 3840x2160</v>
      </c>
      <c r="G198" s="2" t="str">
        <f ca="1">IFERROR(__xludf.DUMMYFUNCTION("""COMPUTED_VALUE"""),"Intel Core i7 7820HK 2.9GHz")</f>
        <v>Intel Core i7 7820HK 2.9GHz</v>
      </c>
      <c r="H198" s="2" t="str">
        <f ca="1">IFERROR(__xludf.DUMMYFUNCTION("""COMPUTED_VALUE"""),"32GB")</f>
        <v>32GB</v>
      </c>
      <c r="I198" s="2" t="str">
        <f ca="1">IFERROR(__xludf.DUMMYFUNCTION("""COMPUTED_VALUE"""),"1TB SSD")</f>
        <v>1TB SSD</v>
      </c>
      <c r="J198" s="2" t="str">
        <f ca="1">IFERROR(__xludf.DUMMYFUNCTION("""COMPUTED_VALUE"""),"Nvidia GeForce GTX 1080")</f>
        <v>Nvidia GeForce GTX 1080</v>
      </c>
      <c r="K198" s="2" t="str">
        <f ca="1">IFERROR(__xludf.DUMMYFUNCTION("""COMPUTED_VALUE"""),"Windows 10")</f>
        <v>Windows 10</v>
      </c>
      <c r="L198" s="2" t="str">
        <f ca="1">IFERROR(__xludf.DUMMYFUNCTION("""COMPUTED_VALUE"""),"3.49kg")</f>
        <v>3.49kg</v>
      </c>
      <c r="M198" s="2">
        <f ca="1">IFERROR(__xludf.DUMMYFUNCTION("""COMPUTED_VALUE"""),6099)</f>
        <v>6099</v>
      </c>
    </row>
    <row r="199" spans="1:13">
      <c r="A199" s="2">
        <f ca="1">IFERROR(__xludf.DUMMYFUNCTION("""COMPUTED_VALUE"""),201)</f>
        <v>201</v>
      </c>
      <c r="B199" s="2" t="str">
        <f ca="1">IFERROR(__xludf.DUMMYFUNCTION("""COMPUTED_VALUE"""),"HP")</f>
        <v>HP</v>
      </c>
      <c r="C199" s="2" t="str">
        <f ca="1">IFERROR(__xludf.DUMMYFUNCTION("""COMPUTED_VALUE"""),"ProBook 430")</f>
        <v>ProBook 430</v>
      </c>
      <c r="D199" s="2" t="str">
        <f ca="1">IFERROR(__xludf.DUMMYFUNCTION("""COMPUTED_VALUE"""),"Notebook")</f>
        <v>Notebook</v>
      </c>
      <c r="E199" s="2">
        <f ca="1">IFERROR(__xludf.DUMMYFUNCTION("""COMPUTED_VALUE"""),13.3)</f>
        <v>13.3</v>
      </c>
      <c r="F199" s="2" t="str">
        <f ca="1">IFERROR(__xludf.DUMMYFUNCTION("""COMPUTED_VALUE"""),"Full HD 1920x1080")</f>
        <v>Full HD 1920x1080</v>
      </c>
      <c r="G199" s="2" t="str">
        <f ca="1">IFERROR(__xludf.DUMMYFUNCTION("""COMPUTED_VALUE"""),"Intel Core i5 8250U 1.6GHz")</f>
        <v>Intel Core i5 8250U 1.6GHz</v>
      </c>
      <c r="H199" s="2" t="str">
        <f ca="1">IFERROR(__xludf.DUMMYFUNCTION("""COMPUTED_VALUE"""),"8GB")</f>
        <v>8GB</v>
      </c>
      <c r="I199" s="2" t="str">
        <f ca="1">IFERROR(__xludf.DUMMYFUNCTION("""COMPUTED_VALUE"""),"512GB SSD")</f>
        <v>512GB SSD</v>
      </c>
      <c r="J199" s="2" t="str">
        <f ca="1">IFERROR(__xludf.DUMMYFUNCTION("""COMPUTED_VALUE"""),"Intel UHD Graphics 620")</f>
        <v>Intel UHD Graphics 620</v>
      </c>
      <c r="K199" s="2" t="str">
        <f ca="1">IFERROR(__xludf.DUMMYFUNCTION("""COMPUTED_VALUE"""),"Windows 10")</f>
        <v>Windows 10</v>
      </c>
      <c r="L199" s="2" t="str">
        <f ca="1">IFERROR(__xludf.DUMMYFUNCTION("""COMPUTED_VALUE"""),"1.49kg")</f>
        <v>1.49kg</v>
      </c>
      <c r="M199" s="2">
        <f ca="1">IFERROR(__xludf.DUMMYFUNCTION("""COMPUTED_VALUE"""),959)</f>
        <v>959</v>
      </c>
    </row>
    <row r="200" spans="1:13">
      <c r="A200" s="2">
        <f ca="1">IFERROR(__xludf.DUMMYFUNCTION("""COMPUTED_VALUE"""),202)</f>
        <v>202</v>
      </c>
      <c r="B200" s="2" t="str">
        <f ca="1">IFERROR(__xludf.DUMMYFUNCTION("""COMPUTED_VALUE"""),"HP")</f>
        <v>HP</v>
      </c>
      <c r="C200" s="2" t="str">
        <f ca="1">IFERROR(__xludf.DUMMYFUNCTION("""COMPUTED_VALUE"""),"Omen 17-W295")</f>
        <v>Omen 17-W295</v>
      </c>
      <c r="D200" s="2" t="str">
        <f ca="1">IFERROR(__xludf.DUMMYFUNCTION("""COMPUTED_VALUE"""),"Gaming")</f>
        <v>Gaming</v>
      </c>
      <c r="E200" s="2">
        <f ca="1">IFERROR(__xludf.DUMMYFUNCTION("""COMPUTED_VALUE"""),17.3)</f>
        <v>17.3</v>
      </c>
      <c r="F200" s="2" t="str">
        <f ca="1">IFERROR(__xludf.DUMMYFUNCTION("""COMPUTED_VALUE"""),"IPS Panel Full HD 1920x1080")</f>
        <v>IPS Panel Full HD 1920x1080</v>
      </c>
      <c r="G200" s="2" t="str">
        <f ca="1">IFERROR(__xludf.DUMMYFUNCTION("""COMPUTED_VALUE"""),"Intel Core i7 7700HQ 2.8GHz")</f>
        <v>Intel Core i7 7700HQ 2.8GHz</v>
      </c>
      <c r="H200" s="2" t="str">
        <f ca="1">IFERROR(__xludf.DUMMYFUNCTION("""COMPUTED_VALUE"""),"16GB")</f>
        <v>16GB</v>
      </c>
      <c r="I200" s="2" t="str">
        <f ca="1">IFERROR(__xludf.DUMMYFUNCTION("""COMPUTED_VALUE"""),"256GB SSD +  1TB HDD")</f>
        <v>256GB SSD +  1TB HDD</v>
      </c>
      <c r="J200" s="2" t="str">
        <f ca="1">IFERROR(__xludf.DUMMYFUNCTION("""COMPUTED_VALUE"""),"Nvidia GeForce GTX 1050")</f>
        <v>Nvidia GeForce GTX 1050</v>
      </c>
      <c r="K200" s="2" t="str">
        <f ca="1">IFERROR(__xludf.DUMMYFUNCTION("""COMPUTED_VALUE"""),"Windows 10")</f>
        <v>Windows 10</v>
      </c>
      <c r="L200" s="2" t="str">
        <f ca="1">IFERROR(__xludf.DUMMYFUNCTION("""COMPUTED_VALUE"""),"3.35kg")</f>
        <v>3.35kg</v>
      </c>
      <c r="M200" s="2">
        <f ca="1">IFERROR(__xludf.DUMMYFUNCTION("""COMPUTED_VALUE"""),1379)</f>
        <v>1379</v>
      </c>
    </row>
    <row r="201" spans="1:13">
      <c r="A201" s="2">
        <f ca="1">IFERROR(__xludf.DUMMYFUNCTION("""COMPUTED_VALUE"""),203)</f>
        <v>203</v>
      </c>
      <c r="B201" s="2" t="str">
        <f ca="1">IFERROR(__xludf.DUMMYFUNCTION("""COMPUTED_VALUE"""),"HP")</f>
        <v>HP</v>
      </c>
      <c r="C201" s="2" t="str">
        <f ca="1">IFERROR(__xludf.DUMMYFUNCTION("""COMPUTED_VALUE"""),"Probook 470")</f>
        <v>Probook 470</v>
      </c>
      <c r="D201" s="2" t="str">
        <f ca="1">IFERROR(__xludf.DUMMYFUNCTION("""COMPUTED_VALUE"""),"Notebook")</f>
        <v>Notebook</v>
      </c>
      <c r="E201" s="2">
        <f ca="1">IFERROR(__xludf.DUMMYFUNCTION("""COMPUTED_VALUE"""),17.3)</f>
        <v>17.3</v>
      </c>
      <c r="F201" s="2" t="str">
        <f ca="1">IFERROR(__xludf.DUMMYFUNCTION("""COMPUTED_VALUE"""),"Full HD 1920x1080")</f>
        <v>Full HD 1920x1080</v>
      </c>
      <c r="G201" s="2" t="str">
        <f ca="1">IFERROR(__xludf.DUMMYFUNCTION("""COMPUTED_VALUE"""),"Intel Core i7 8550U 1.8GHz")</f>
        <v>Intel Core i7 8550U 1.8GHz</v>
      </c>
      <c r="H201" s="2" t="str">
        <f ca="1">IFERROR(__xludf.DUMMYFUNCTION("""COMPUTED_VALUE"""),"8GB")</f>
        <v>8GB</v>
      </c>
      <c r="I201" s="2" t="str">
        <f ca="1">IFERROR(__xludf.DUMMYFUNCTION("""COMPUTED_VALUE"""),"256GB SSD")</f>
        <v>256GB SSD</v>
      </c>
      <c r="J201" s="2" t="str">
        <f ca="1">IFERROR(__xludf.DUMMYFUNCTION("""COMPUTED_VALUE"""),"Nvidia GeForce 930MX ")</f>
        <v xml:space="preserve">Nvidia GeForce 930MX </v>
      </c>
      <c r="K201" s="2" t="str">
        <f ca="1">IFERROR(__xludf.DUMMYFUNCTION("""COMPUTED_VALUE"""),"Windows 10")</f>
        <v>Windows 10</v>
      </c>
      <c r="L201" s="2" t="str">
        <f ca="1">IFERROR(__xludf.DUMMYFUNCTION("""COMPUTED_VALUE"""),"2.5kg")</f>
        <v>2.5kg</v>
      </c>
      <c r="M201" s="2">
        <f ca="1">IFERROR(__xludf.DUMMYFUNCTION("""COMPUTED_VALUE"""),1045)</f>
        <v>1045</v>
      </c>
    </row>
    <row r="202" spans="1:13">
      <c r="A202" s="2">
        <f ca="1">IFERROR(__xludf.DUMMYFUNCTION("""COMPUTED_VALUE"""),204)</f>
        <v>204</v>
      </c>
      <c r="B202" s="2" t="str">
        <f ca="1">IFERROR(__xludf.DUMMYFUNCTION("""COMPUTED_VALUE"""),"Dell")</f>
        <v>Dell</v>
      </c>
      <c r="C202" s="2" t="str">
        <f ca="1">IFERROR(__xludf.DUMMYFUNCTION("""COMPUTED_VALUE"""),"Inspiron 7577")</f>
        <v>Inspiron 7577</v>
      </c>
      <c r="D202" s="2" t="str">
        <f ca="1">IFERROR(__xludf.DUMMYFUNCTION("""COMPUTED_VALUE"""),"Gaming")</f>
        <v>Gaming</v>
      </c>
      <c r="E202" s="2">
        <f ca="1">IFERROR(__xludf.DUMMYFUNCTION("""COMPUTED_VALUE"""),15.6)</f>
        <v>15.6</v>
      </c>
      <c r="F202" s="2" t="str">
        <f ca="1">IFERROR(__xludf.DUMMYFUNCTION("""COMPUTED_VALUE"""),"IPS Panel 4K Ultra HD 3840x2160")</f>
        <v>IPS Panel 4K Ultra HD 3840x2160</v>
      </c>
      <c r="G202" s="2" t="str">
        <f ca="1">IFERROR(__xludf.DUMMYFUNCTION("""COMPUTED_VALUE"""),"Intel Core i7 7700HQ 2.8GHz")</f>
        <v>Intel Core i7 7700HQ 2.8GHz</v>
      </c>
      <c r="H202" s="2" t="str">
        <f ca="1">IFERROR(__xludf.DUMMYFUNCTION("""COMPUTED_VALUE"""),"16GB")</f>
        <v>16GB</v>
      </c>
      <c r="I202" s="2" t="str">
        <f ca="1">IFERROR(__xludf.DUMMYFUNCTION("""COMPUTED_VALUE"""),"512GB SSD +  1TB HDD")</f>
        <v>512GB SSD +  1TB HDD</v>
      </c>
      <c r="J202" s="2" t="str">
        <f ca="1">IFERROR(__xludf.DUMMYFUNCTION("""COMPUTED_VALUE"""),"Nvidia GeForce GTX 1060")</f>
        <v>Nvidia GeForce GTX 1060</v>
      </c>
      <c r="K202" s="2" t="str">
        <f ca="1">IFERROR(__xludf.DUMMYFUNCTION("""COMPUTED_VALUE"""),"Windows 10")</f>
        <v>Windows 10</v>
      </c>
      <c r="L202" s="2" t="str">
        <f ca="1">IFERROR(__xludf.DUMMYFUNCTION("""COMPUTED_VALUE"""),"2.65kg")</f>
        <v>2.65kg</v>
      </c>
      <c r="M202" s="2">
        <f ca="1">IFERROR(__xludf.DUMMYFUNCTION("""COMPUTED_VALUE"""),1845)</f>
        <v>1845</v>
      </c>
    </row>
    <row r="203" spans="1:13">
      <c r="A203" s="2">
        <f ca="1">IFERROR(__xludf.DUMMYFUNCTION("""COMPUTED_VALUE"""),205)</f>
        <v>205</v>
      </c>
      <c r="B203" s="2" t="str">
        <f ca="1">IFERROR(__xludf.DUMMYFUNCTION("""COMPUTED_VALUE"""),"Lenovo")</f>
        <v>Lenovo</v>
      </c>
      <c r="C203" s="2" t="str">
        <f ca="1">IFERROR(__xludf.DUMMYFUNCTION("""COMPUTED_VALUE"""),"V110-15ISK (i5-6200U/4GB/128GB/W10)")</f>
        <v>V110-15ISK (i5-6200U/4GB/128GB/W10)</v>
      </c>
      <c r="D203" s="2" t="str">
        <f ca="1">IFERROR(__xludf.DUMMYFUNCTION("""COMPUTED_VALUE"""),"Notebook")</f>
        <v>Notebook</v>
      </c>
      <c r="E203" s="2">
        <f ca="1">IFERROR(__xludf.DUMMYFUNCTION("""COMPUTED_VALUE"""),15.6)</f>
        <v>15.6</v>
      </c>
      <c r="F203" s="2" t="str">
        <f ca="1">IFERROR(__xludf.DUMMYFUNCTION("""COMPUTED_VALUE"""),"1366x768")</f>
        <v>1366x768</v>
      </c>
      <c r="G203" s="2" t="str">
        <f ca="1">IFERROR(__xludf.DUMMYFUNCTION("""COMPUTED_VALUE"""),"Intel Core i5 6200U 2.3GHz")</f>
        <v>Intel Core i5 6200U 2.3GHz</v>
      </c>
      <c r="H203" s="2" t="str">
        <f ca="1">IFERROR(__xludf.DUMMYFUNCTION("""COMPUTED_VALUE"""),"4GB")</f>
        <v>4GB</v>
      </c>
      <c r="I203" s="2" t="str">
        <f ca="1">IFERROR(__xludf.DUMMYFUNCTION("""COMPUTED_VALUE"""),"128GB SSD")</f>
        <v>128GB SSD</v>
      </c>
      <c r="J203" s="2" t="str">
        <f ca="1">IFERROR(__xludf.DUMMYFUNCTION("""COMPUTED_VALUE"""),"Intel HD Graphics 520")</f>
        <v>Intel HD Graphics 520</v>
      </c>
      <c r="K203" s="2" t="str">
        <f ca="1">IFERROR(__xludf.DUMMYFUNCTION("""COMPUTED_VALUE"""),"Windows 10")</f>
        <v>Windows 10</v>
      </c>
      <c r="L203" s="2" t="str">
        <f ca="1">IFERROR(__xludf.DUMMYFUNCTION("""COMPUTED_VALUE"""),"2.1kg")</f>
        <v>2.1kg</v>
      </c>
      <c r="M203" s="2">
        <f ca="1">IFERROR(__xludf.DUMMYFUNCTION("""COMPUTED_VALUE"""),493)</f>
        <v>493</v>
      </c>
    </row>
    <row r="204" spans="1:13">
      <c r="A204" s="2">
        <f ca="1">IFERROR(__xludf.DUMMYFUNCTION("""COMPUTED_VALUE"""),206)</f>
        <v>206</v>
      </c>
      <c r="B204" s="2" t="str">
        <f ca="1">IFERROR(__xludf.DUMMYFUNCTION("""COMPUTED_VALUE"""),"Acer")</f>
        <v>Acer</v>
      </c>
      <c r="C204" s="2" t="str">
        <f ca="1">IFERROR(__xludf.DUMMYFUNCTION("""COMPUTED_VALUE"""),"Aspire E5-576G")</f>
        <v>Aspire E5-576G</v>
      </c>
      <c r="D204" s="2" t="str">
        <f ca="1">IFERROR(__xludf.DUMMYFUNCTION("""COMPUTED_VALUE"""),"Notebook")</f>
        <v>Notebook</v>
      </c>
      <c r="E204" s="2">
        <f ca="1">IFERROR(__xludf.DUMMYFUNCTION("""COMPUTED_VALUE"""),15.6)</f>
        <v>15.6</v>
      </c>
      <c r="F204" s="2" t="str">
        <f ca="1">IFERROR(__xludf.DUMMYFUNCTION("""COMPUTED_VALUE"""),"Full HD 1920x1080")</f>
        <v>Full HD 1920x1080</v>
      </c>
      <c r="G204" s="2" t="str">
        <f ca="1">IFERROR(__xludf.DUMMYFUNCTION("""COMPUTED_VALUE"""),"Intel Core i7 7500U 2.7GHz")</f>
        <v>Intel Core i7 7500U 2.7GHz</v>
      </c>
      <c r="H204" s="2" t="str">
        <f ca="1">IFERROR(__xludf.DUMMYFUNCTION("""COMPUTED_VALUE"""),"8GB")</f>
        <v>8GB</v>
      </c>
      <c r="I204" s="2" t="str">
        <f ca="1">IFERROR(__xludf.DUMMYFUNCTION("""COMPUTED_VALUE"""),"1TB HDD")</f>
        <v>1TB HDD</v>
      </c>
      <c r="J204" s="2" t="str">
        <f ca="1">IFERROR(__xludf.DUMMYFUNCTION("""COMPUTED_VALUE"""),"Nvidia GeForce 940MX")</f>
        <v>Nvidia GeForce 940MX</v>
      </c>
      <c r="K204" s="2" t="str">
        <f ca="1">IFERROR(__xludf.DUMMYFUNCTION("""COMPUTED_VALUE"""),"Windows 10")</f>
        <v>Windows 10</v>
      </c>
      <c r="L204" s="2" t="str">
        <f ca="1">IFERROR(__xludf.DUMMYFUNCTION("""COMPUTED_VALUE"""),"2.23kg")</f>
        <v>2.23kg</v>
      </c>
      <c r="M204" s="2">
        <f ca="1">IFERROR(__xludf.DUMMYFUNCTION("""COMPUTED_VALUE"""),742)</f>
        <v>742</v>
      </c>
    </row>
    <row r="205" spans="1:13">
      <c r="A205" s="2">
        <f ca="1">IFERROR(__xludf.DUMMYFUNCTION("""COMPUTED_VALUE"""),207)</f>
        <v>207</v>
      </c>
      <c r="B205" s="2" t="str">
        <f ca="1">IFERROR(__xludf.DUMMYFUNCTION("""COMPUTED_VALUE"""),"Lenovo")</f>
        <v>Lenovo</v>
      </c>
      <c r="C205" s="2" t="str">
        <f ca="1">IFERROR(__xludf.DUMMYFUNCTION("""COMPUTED_VALUE"""),"Legion Y720-15IKB")</f>
        <v>Legion Y720-15IKB</v>
      </c>
      <c r="D205" s="2" t="str">
        <f ca="1">IFERROR(__xludf.DUMMYFUNCTION("""COMPUTED_VALUE"""),"Gaming")</f>
        <v>Gaming</v>
      </c>
      <c r="E205" s="2">
        <f ca="1">IFERROR(__xludf.DUMMYFUNCTION("""COMPUTED_VALUE"""),15.6)</f>
        <v>15.6</v>
      </c>
      <c r="F205" s="2" t="str">
        <f ca="1">IFERROR(__xludf.DUMMYFUNCTION("""COMPUTED_VALUE"""),"IPS Panel Full HD 1920x1080")</f>
        <v>IPS Panel Full HD 1920x1080</v>
      </c>
      <c r="G205" s="2" t="str">
        <f ca="1">IFERROR(__xludf.DUMMYFUNCTION("""COMPUTED_VALUE"""),"Intel Core i7 7700HQ 2.8GHz")</f>
        <v>Intel Core i7 7700HQ 2.8GHz</v>
      </c>
      <c r="H205" s="2" t="str">
        <f ca="1">IFERROR(__xludf.DUMMYFUNCTION("""COMPUTED_VALUE"""),"16GB")</f>
        <v>16GB</v>
      </c>
      <c r="I205" s="2" t="str">
        <f ca="1">IFERROR(__xludf.DUMMYFUNCTION("""COMPUTED_VALUE"""),"512GB SSD +  1TB HDD")</f>
        <v>512GB SSD +  1TB HDD</v>
      </c>
      <c r="J205" s="2" t="str">
        <f ca="1">IFERROR(__xludf.DUMMYFUNCTION("""COMPUTED_VALUE"""),"Nvidia GeForce GTX 1060")</f>
        <v>Nvidia GeForce GTX 1060</v>
      </c>
      <c r="K205" s="2" t="str">
        <f ca="1">IFERROR(__xludf.DUMMYFUNCTION("""COMPUTED_VALUE"""),"Windows 10")</f>
        <v>Windows 10</v>
      </c>
      <c r="L205" s="2" t="str">
        <f ca="1">IFERROR(__xludf.DUMMYFUNCTION("""COMPUTED_VALUE"""),"3.2kg")</f>
        <v>3.2kg</v>
      </c>
      <c r="M205" s="2">
        <f ca="1">IFERROR(__xludf.DUMMYFUNCTION("""COMPUTED_VALUE"""),1749)</f>
        <v>1749</v>
      </c>
    </row>
    <row r="206" spans="1:13">
      <c r="A206" s="2">
        <f ca="1">IFERROR(__xludf.DUMMYFUNCTION("""COMPUTED_VALUE"""),208)</f>
        <v>208</v>
      </c>
      <c r="B206" s="2" t="str">
        <f ca="1">IFERROR(__xludf.DUMMYFUNCTION("""COMPUTED_VALUE"""),"Dell")</f>
        <v>Dell</v>
      </c>
      <c r="C206" s="2" t="str">
        <f ca="1">IFERROR(__xludf.DUMMYFUNCTION("""COMPUTED_VALUE"""),"Precision 7520")</f>
        <v>Precision 7520</v>
      </c>
      <c r="D206" s="2" t="str">
        <f ca="1">IFERROR(__xludf.DUMMYFUNCTION("""COMPUTED_VALUE"""),"Workstation")</f>
        <v>Workstation</v>
      </c>
      <c r="E206" s="2">
        <f ca="1">IFERROR(__xludf.DUMMYFUNCTION("""COMPUTED_VALUE"""),15.6)</f>
        <v>15.6</v>
      </c>
      <c r="F206" s="2" t="str">
        <f ca="1">IFERROR(__xludf.DUMMYFUNCTION("""COMPUTED_VALUE"""),"4K Ultra HD 3840x2160")</f>
        <v>4K Ultra HD 3840x2160</v>
      </c>
      <c r="G206" s="2" t="str">
        <f ca="1">IFERROR(__xludf.DUMMYFUNCTION("""COMPUTED_VALUE"""),"Intel Xeon E3-1505M V6 3GHz")</f>
        <v>Intel Xeon E3-1505M V6 3GHz</v>
      </c>
      <c r="H206" s="2" t="str">
        <f ca="1">IFERROR(__xludf.DUMMYFUNCTION("""COMPUTED_VALUE"""),"16GB")</f>
        <v>16GB</v>
      </c>
      <c r="I206" s="2" t="str">
        <f ca="1">IFERROR(__xludf.DUMMYFUNCTION("""COMPUTED_VALUE"""),"256GB SSD +  1TB HDD")</f>
        <v>256GB SSD +  1TB HDD</v>
      </c>
      <c r="J206" s="2" t="str">
        <f ca="1">IFERROR(__xludf.DUMMYFUNCTION("""COMPUTED_VALUE"""),"Nvidia Quadro M1200")</f>
        <v>Nvidia Quadro M1200</v>
      </c>
      <c r="K206" s="2" t="str">
        <f ca="1">IFERROR(__xludf.DUMMYFUNCTION("""COMPUTED_VALUE"""),"Windows 10")</f>
        <v>Windows 10</v>
      </c>
      <c r="L206" s="2" t="str">
        <f ca="1">IFERROR(__xludf.DUMMYFUNCTION("""COMPUTED_VALUE"""),"2.8kg")</f>
        <v>2.8kg</v>
      </c>
      <c r="M206" s="2">
        <f ca="1">IFERROR(__xludf.DUMMYFUNCTION("""COMPUTED_VALUE"""),3055)</f>
        <v>3055</v>
      </c>
    </row>
    <row r="207" spans="1:13">
      <c r="A207" s="2">
        <f ca="1">IFERROR(__xludf.DUMMYFUNCTION("""COMPUTED_VALUE"""),209)</f>
        <v>209</v>
      </c>
      <c r="B207" s="2" t="str">
        <f ca="1">IFERROR(__xludf.DUMMYFUNCTION("""COMPUTED_VALUE"""),"Lenovo")</f>
        <v>Lenovo</v>
      </c>
      <c r="C207" s="2" t="str">
        <f ca="1">IFERROR(__xludf.DUMMYFUNCTION("""COMPUTED_VALUE"""),"Legion Y520-15IKBN")</f>
        <v>Legion Y520-15IKBN</v>
      </c>
      <c r="D207" s="2" t="str">
        <f ca="1">IFERROR(__xludf.DUMMYFUNCTION("""COMPUTED_VALUE"""),"Gaming")</f>
        <v>Gaming</v>
      </c>
      <c r="E207" s="2">
        <f ca="1">IFERROR(__xludf.DUMMYFUNCTION("""COMPUTED_VALUE"""),15.6)</f>
        <v>15.6</v>
      </c>
      <c r="F207" s="2" t="str">
        <f ca="1">IFERROR(__xludf.DUMMYFUNCTION("""COMPUTED_VALUE"""),"Full HD 1920x1080")</f>
        <v>Full HD 1920x1080</v>
      </c>
      <c r="G207" s="2" t="str">
        <f ca="1">IFERROR(__xludf.DUMMYFUNCTION("""COMPUTED_VALUE"""),"Intel Core i7 7700HQ 2.8GHz")</f>
        <v>Intel Core i7 7700HQ 2.8GHz</v>
      </c>
      <c r="H207" s="2" t="str">
        <f ca="1">IFERROR(__xludf.DUMMYFUNCTION("""COMPUTED_VALUE"""),"16GB")</f>
        <v>16GB</v>
      </c>
      <c r="I207" s="2" t="str">
        <f ca="1">IFERROR(__xludf.DUMMYFUNCTION("""COMPUTED_VALUE"""),"512GB SSD")</f>
        <v>512GB SSD</v>
      </c>
      <c r="J207" s="2" t="str">
        <f ca="1">IFERROR(__xludf.DUMMYFUNCTION("""COMPUTED_VALUE"""),"Nvidia GeForce GTX 1060")</f>
        <v>Nvidia GeForce GTX 1060</v>
      </c>
      <c r="K207" s="2" t="str">
        <f ca="1">IFERROR(__xludf.DUMMYFUNCTION("""COMPUTED_VALUE"""),"No OS")</f>
        <v>No OS</v>
      </c>
      <c r="L207" s="2" t="str">
        <f ca="1">IFERROR(__xludf.DUMMYFUNCTION("""COMPUTED_VALUE"""),"2.4kg")</f>
        <v>2.4kg</v>
      </c>
      <c r="M207" s="2">
        <f ca="1">IFERROR(__xludf.DUMMYFUNCTION("""COMPUTED_VALUE"""),1398)</f>
        <v>1398</v>
      </c>
    </row>
    <row r="208" spans="1:13">
      <c r="A208" s="2">
        <f ca="1">IFERROR(__xludf.DUMMYFUNCTION("""COMPUTED_VALUE"""),210)</f>
        <v>210</v>
      </c>
      <c r="B208" s="2" t="str">
        <f ca="1">IFERROR(__xludf.DUMMYFUNCTION("""COMPUTED_VALUE"""),"Dell")</f>
        <v>Dell</v>
      </c>
      <c r="C208" s="2" t="str">
        <f ca="1">IFERROR(__xludf.DUMMYFUNCTION("""COMPUTED_VALUE"""),"Inspiron 3567")</f>
        <v>Inspiron 3567</v>
      </c>
      <c r="D208" s="2" t="str">
        <f ca="1">IFERROR(__xludf.DUMMYFUNCTION("""COMPUTED_VALUE"""),"Notebook")</f>
        <v>Notebook</v>
      </c>
      <c r="E208" s="2">
        <f ca="1">IFERROR(__xludf.DUMMYFUNCTION("""COMPUTED_VALUE"""),15.6)</f>
        <v>15.6</v>
      </c>
      <c r="F208" s="2" t="str">
        <f ca="1">IFERROR(__xludf.DUMMYFUNCTION("""COMPUTED_VALUE"""),"Touchscreen 1366x768")</f>
        <v>Touchscreen 1366x768</v>
      </c>
      <c r="G208" s="2" t="str">
        <f ca="1">IFERROR(__xludf.DUMMYFUNCTION("""COMPUTED_VALUE"""),"Intel Core i3 7100U 2.4GHz")</f>
        <v>Intel Core i3 7100U 2.4GHz</v>
      </c>
      <c r="H208" s="2" t="str">
        <f ca="1">IFERROR(__xludf.DUMMYFUNCTION("""COMPUTED_VALUE"""),"6GB")</f>
        <v>6GB</v>
      </c>
      <c r="I208" s="2" t="str">
        <f ca="1">IFERROR(__xludf.DUMMYFUNCTION("""COMPUTED_VALUE"""),"1TB HDD")</f>
        <v>1TB HDD</v>
      </c>
      <c r="J208" s="2" t="str">
        <f ca="1">IFERROR(__xludf.DUMMYFUNCTION("""COMPUTED_VALUE"""),"Intel HD Graphics 620")</f>
        <v>Intel HD Graphics 620</v>
      </c>
      <c r="K208" s="2" t="str">
        <f ca="1">IFERROR(__xludf.DUMMYFUNCTION("""COMPUTED_VALUE"""),"Windows 10")</f>
        <v>Windows 10</v>
      </c>
      <c r="L208" s="2" t="str">
        <f ca="1">IFERROR(__xludf.DUMMYFUNCTION("""COMPUTED_VALUE"""),"2.3kg")</f>
        <v>2.3kg</v>
      </c>
      <c r="M208" s="2">
        <f ca="1">IFERROR(__xludf.DUMMYFUNCTION("""COMPUTED_VALUE"""),439)</f>
        <v>439</v>
      </c>
    </row>
    <row r="209" spans="1:13">
      <c r="A209" s="2">
        <f ca="1">IFERROR(__xludf.DUMMYFUNCTION("""COMPUTED_VALUE"""),211)</f>
        <v>211</v>
      </c>
      <c r="B209" s="2" t="str">
        <f ca="1">IFERROR(__xludf.DUMMYFUNCTION("""COMPUTED_VALUE"""),"Dell")</f>
        <v>Dell</v>
      </c>
      <c r="C209" s="2" t="str">
        <f ca="1">IFERROR(__xludf.DUMMYFUNCTION("""COMPUTED_VALUE"""),"XPS 13")</f>
        <v>XPS 13</v>
      </c>
      <c r="D209" s="2" t="str">
        <f ca="1">IFERROR(__xludf.DUMMYFUNCTION("""COMPUTED_VALUE"""),"Ultrabook")</f>
        <v>Ultrabook</v>
      </c>
      <c r="E209" s="2">
        <f ca="1">IFERROR(__xludf.DUMMYFUNCTION("""COMPUTED_VALUE"""),13.3)</f>
        <v>13.3</v>
      </c>
      <c r="F209" s="2" t="str">
        <f ca="1">IFERROR(__xludf.DUMMYFUNCTION("""COMPUTED_VALUE"""),"IPS Panel 4K Ultra HD / Touchscreen 3840x2160")</f>
        <v>IPS Panel 4K Ultra HD / Touchscreen 3840x2160</v>
      </c>
      <c r="G209" s="2" t="str">
        <f ca="1">IFERROR(__xludf.DUMMYFUNCTION("""COMPUTED_VALUE"""),"Intel Core i7 8550U 1.8GHz")</f>
        <v>Intel Core i7 8550U 1.8GHz</v>
      </c>
      <c r="H209" s="2" t="str">
        <f ca="1">IFERROR(__xludf.DUMMYFUNCTION("""COMPUTED_VALUE"""),"8GB")</f>
        <v>8GB</v>
      </c>
      <c r="I209" s="2" t="str">
        <f ca="1">IFERROR(__xludf.DUMMYFUNCTION("""COMPUTED_VALUE"""),"256GB SSD")</f>
        <v>256GB SSD</v>
      </c>
      <c r="J209" s="2" t="str">
        <f ca="1">IFERROR(__xludf.DUMMYFUNCTION("""COMPUTED_VALUE"""),"Intel UHD Graphics 620")</f>
        <v>Intel UHD Graphics 620</v>
      </c>
      <c r="K209" s="2" t="str">
        <f ca="1">IFERROR(__xludf.DUMMYFUNCTION("""COMPUTED_VALUE"""),"Windows 10")</f>
        <v>Windows 10</v>
      </c>
      <c r="L209" s="2" t="str">
        <f ca="1">IFERROR(__xludf.DUMMYFUNCTION("""COMPUTED_VALUE"""),"1.21kg")</f>
        <v>1.21kg</v>
      </c>
      <c r="M209" s="2">
        <f ca="1">IFERROR(__xludf.DUMMYFUNCTION("""COMPUTED_VALUE"""),1949)</f>
        <v>1949</v>
      </c>
    </row>
    <row r="210" spans="1:13">
      <c r="A210" s="2">
        <f ca="1">IFERROR(__xludf.DUMMYFUNCTION("""COMPUTED_VALUE"""),212)</f>
        <v>212</v>
      </c>
      <c r="B210" s="2" t="str">
        <f ca="1">IFERROR(__xludf.DUMMYFUNCTION("""COMPUTED_VALUE"""),"Dell")</f>
        <v>Dell</v>
      </c>
      <c r="C210" s="2" t="str">
        <f ca="1">IFERROR(__xludf.DUMMYFUNCTION("""COMPUTED_VALUE"""),"XPS 13")</f>
        <v>XPS 13</v>
      </c>
      <c r="D210" s="2" t="str">
        <f ca="1">IFERROR(__xludf.DUMMYFUNCTION("""COMPUTED_VALUE"""),"Ultrabook")</f>
        <v>Ultrabook</v>
      </c>
      <c r="E210" s="2">
        <f ca="1">IFERROR(__xludf.DUMMYFUNCTION("""COMPUTED_VALUE"""),13.3)</f>
        <v>13.3</v>
      </c>
      <c r="F210" s="2" t="str">
        <f ca="1">IFERROR(__xludf.DUMMYFUNCTION("""COMPUTED_VALUE"""),"Full HD 1920x1080")</f>
        <v>Full HD 1920x1080</v>
      </c>
      <c r="G210" s="2" t="str">
        <f ca="1">IFERROR(__xludf.DUMMYFUNCTION("""COMPUTED_VALUE"""),"Intel Core i7 8550U 1.8GHz")</f>
        <v>Intel Core i7 8550U 1.8GHz</v>
      </c>
      <c r="H210" s="2" t="str">
        <f ca="1">IFERROR(__xludf.DUMMYFUNCTION("""COMPUTED_VALUE"""),"8GB")</f>
        <v>8GB</v>
      </c>
      <c r="I210" s="2" t="str">
        <f ca="1">IFERROR(__xludf.DUMMYFUNCTION("""COMPUTED_VALUE"""),"256GB SSD")</f>
        <v>256GB SSD</v>
      </c>
      <c r="J210" s="2" t="str">
        <f ca="1">IFERROR(__xludf.DUMMYFUNCTION("""COMPUTED_VALUE"""),"Intel UHD Graphics 620")</f>
        <v>Intel UHD Graphics 620</v>
      </c>
      <c r="K210" s="2" t="str">
        <f ca="1">IFERROR(__xludf.DUMMYFUNCTION("""COMPUTED_VALUE"""),"Windows 10")</f>
        <v>Windows 10</v>
      </c>
      <c r="L210" s="2" t="str">
        <f ca="1">IFERROR(__xludf.DUMMYFUNCTION("""COMPUTED_VALUE"""),"1.2kg")</f>
        <v>1.2kg</v>
      </c>
      <c r="M210" s="2">
        <f ca="1">IFERROR(__xludf.DUMMYFUNCTION("""COMPUTED_VALUE"""),1449)</f>
        <v>1449</v>
      </c>
    </row>
    <row r="211" spans="1:13">
      <c r="A211" s="2">
        <f ca="1">IFERROR(__xludf.DUMMYFUNCTION("""COMPUTED_VALUE"""),213)</f>
        <v>213</v>
      </c>
      <c r="B211" s="2" t="str">
        <f ca="1">IFERROR(__xludf.DUMMYFUNCTION("""COMPUTED_VALUE"""),"Lenovo")</f>
        <v>Lenovo</v>
      </c>
      <c r="C211" s="2" t="str">
        <f ca="1">IFERROR(__xludf.DUMMYFUNCTION("""COMPUTED_VALUE"""),"IdeaPad 320-15IKBN")</f>
        <v>IdeaPad 320-15IKBN</v>
      </c>
      <c r="D211" s="2" t="str">
        <f ca="1">IFERROR(__xludf.DUMMYFUNCTION("""COMPUTED_VALUE"""),"Notebook")</f>
        <v>Notebook</v>
      </c>
      <c r="E211" s="2">
        <f ca="1">IFERROR(__xludf.DUMMYFUNCTION("""COMPUTED_VALUE"""),15.6)</f>
        <v>15.6</v>
      </c>
      <c r="F211" s="2" t="str">
        <f ca="1">IFERROR(__xludf.DUMMYFUNCTION("""COMPUTED_VALUE"""),"1366x768")</f>
        <v>1366x768</v>
      </c>
      <c r="G211" s="2" t="str">
        <f ca="1">IFERROR(__xludf.DUMMYFUNCTION("""COMPUTED_VALUE"""),"Intel Core i5 7200U 2.5GHz")</f>
        <v>Intel Core i5 7200U 2.5GHz</v>
      </c>
      <c r="H211" s="2" t="str">
        <f ca="1">IFERROR(__xludf.DUMMYFUNCTION("""COMPUTED_VALUE"""),"8GB")</f>
        <v>8GB</v>
      </c>
      <c r="I211" s="2" t="str">
        <f ca="1">IFERROR(__xludf.DUMMYFUNCTION("""COMPUTED_VALUE"""),"256GB SSD")</f>
        <v>256GB SSD</v>
      </c>
      <c r="J211" s="2" t="str">
        <f ca="1">IFERROR(__xludf.DUMMYFUNCTION("""COMPUTED_VALUE"""),"Intel HD Graphics 620")</f>
        <v>Intel HD Graphics 620</v>
      </c>
      <c r="K211" s="2" t="str">
        <f ca="1">IFERROR(__xludf.DUMMYFUNCTION("""COMPUTED_VALUE"""),"Windows 10")</f>
        <v>Windows 10</v>
      </c>
      <c r="L211" s="2" t="str">
        <f ca="1">IFERROR(__xludf.DUMMYFUNCTION("""COMPUTED_VALUE"""),"2.2kg")</f>
        <v>2.2kg</v>
      </c>
      <c r="M211" s="2">
        <f ca="1">IFERROR(__xludf.DUMMYFUNCTION("""COMPUTED_VALUE"""),597)</f>
        <v>597</v>
      </c>
    </row>
    <row r="212" spans="1:13">
      <c r="A212" s="2">
        <f ca="1">IFERROR(__xludf.DUMMYFUNCTION("""COMPUTED_VALUE"""),215)</f>
        <v>215</v>
      </c>
      <c r="B212" s="2" t="str">
        <f ca="1">IFERROR(__xludf.DUMMYFUNCTION("""COMPUTED_VALUE"""),"Acer")</f>
        <v>Acer</v>
      </c>
      <c r="C212" s="2" t="str">
        <f ca="1">IFERROR(__xludf.DUMMYFUNCTION("""COMPUTED_VALUE"""),"Aspire 7")</f>
        <v>Aspire 7</v>
      </c>
      <c r="D212" s="2" t="str">
        <f ca="1">IFERROR(__xludf.DUMMYFUNCTION("""COMPUTED_VALUE"""),"Notebook")</f>
        <v>Notebook</v>
      </c>
      <c r="E212" s="2">
        <f ca="1">IFERROR(__xludf.DUMMYFUNCTION("""COMPUTED_VALUE"""),15.6)</f>
        <v>15.6</v>
      </c>
      <c r="F212" s="2" t="str">
        <f ca="1">IFERROR(__xludf.DUMMYFUNCTION("""COMPUTED_VALUE"""),"Full HD 1920x1080")</f>
        <v>Full HD 1920x1080</v>
      </c>
      <c r="G212" s="2" t="str">
        <f ca="1">IFERROR(__xludf.DUMMYFUNCTION("""COMPUTED_VALUE"""),"Intel Core i7 7700HQ 2.8GHz")</f>
        <v>Intel Core i7 7700HQ 2.8GHz</v>
      </c>
      <c r="H212" s="2" t="str">
        <f ca="1">IFERROR(__xludf.DUMMYFUNCTION("""COMPUTED_VALUE"""),"8GB")</f>
        <v>8GB</v>
      </c>
      <c r="I212" s="2" t="str">
        <f ca="1">IFERROR(__xludf.DUMMYFUNCTION("""COMPUTED_VALUE"""),"1TB HDD")</f>
        <v>1TB HDD</v>
      </c>
      <c r="J212" s="2" t="str">
        <f ca="1">IFERROR(__xludf.DUMMYFUNCTION("""COMPUTED_VALUE"""),"Nvidia GeForce GTX 1050")</f>
        <v>Nvidia GeForce GTX 1050</v>
      </c>
      <c r="K212" s="2" t="str">
        <f ca="1">IFERROR(__xludf.DUMMYFUNCTION("""COMPUTED_VALUE"""),"Linux")</f>
        <v>Linux</v>
      </c>
      <c r="L212" s="2" t="str">
        <f ca="1">IFERROR(__xludf.DUMMYFUNCTION("""COMPUTED_VALUE"""),"2.4kg")</f>
        <v>2.4kg</v>
      </c>
      <c r="M212" s="2">
        <f ca="1">IFERROR(__xludf.DUMMYFUNCTION("""COMPUTED_VALUE"""),779)</f>
        <v>779</v>
      </c>
    </row>
    <row r="213" spans="1:13">
      <c r="A213" s="2">
        <f ca="1">IFERROR(__xludf.DUMMYFUNCTION("""COMPUTED_VALUE"""),216)</f>
        <v>216</v>
      </c>
      <c r="B213" s="2" t="str">
        <f ca="1">IFERROR(__xludf.DUMMYFUNCTION("""COMPUTED_VALUE"""),"Asus")</f>
        <v>Asus</v>
      </c>
      <c r="C213" s="2" t="str">
        <f ca="1">IFERROR(__xludf.DUMMYFUNCTION("""COMPUTED_VALUE"""),"ROG GL703VD-GC028T")</f>
        <v>ROG GL703VD-GC028T</v>
      </c>
      <c r="D213" s="2" t="str">
        <f ca="1">IFERROR(__xludf.DUMMYFUNCTION("""COMPUTED_VALUE"""),"Gaming")</f>
        <v>Gaming</v>
      </c>
      <c r="E213" s="2">
        <f ca="1">IFERROR(__xludf.DUMMYFUNCTION("""COMPUTED_VALUE"""),17.3)</f>
        <v>17.3</v>
      </c>
      <c r="F213" s="2" t="str">
        <f ca="1">IFERROR(__xludf.DUMMYFUNCTION("""COMPUTED_VALUE"""),"Full HD 1920x1080")</f>
        <v>Full HD 1920x1080</v>
      </c>
      <c r="G213" s="2" t="str">
        <f ca="1">IFERROR(__xludf.DUMMYFUNCTION("""COMPUTED_VALUE"""),"Intel Core i7 7700HQ 2.8GHz")</f>
        <v>Intel Core i7 7700HQ 2.8GHz</v>
      </c>
      <c r="H213" s="2" t="str">
        <f ca="1">IFERROR(__xludf.DUMMYFUNCTION("""COMPUTED_VALUE"""),"16GB")</f>
        <v>16GB</v>
      </c>
      <c r="I213" s="2" t="str">
        <f ca="1">IFERROR(__xludf.DUMMYFUNCTION("""COMPUTED_VALUE"""),"256GB SSD +  1TB HDD")</f>
        <v>256GB SSD +  1TB HDD</v>
      </c>
      <c r="J213" s="2" t="str">
        <f ca="1">IFERROR(__xludf.DUMMYFUNCTION("""COMPUTED_VALUE"""),"Nvidia GeForce GTX 1050")</f>
        <v>Nvidia GeForce GTX 1050</v>
      </c>
      <c r="K213" s="2" t="str">
        <f ca="1">IFERROR(__xludf.DUMMYFUNCTION("""COMPUTED_VALUE"""),"Windows 10")</f>
        <v>Windows 10</v>
      </c>
      <c r="L213" s="2" t="str">
        <f ca="1">IFERROR(__xludf.DUMMYFUNCTION("""COMPUTED_VALUE"""),"2.9kg")</f>
        <v>2.9kg</v>
      </c>
      <c r="M213" s="2">
        <f ca="1">IFERROR(__xludf.DUMMYFUNCTION("""COMPUTED_VALUE"""),1407)</f>
        <v>1407</v>
      </c>
    </row>
    <row r="214" spans="1:13">
      <c r="A214" s="2">
        <f ca="1">IFERROR(__xludf.DUMMYFUNCTION("""COMPUTED_VALUE"""),217)</f>
        <v>217</v>
      </c>
      <c r="B214" s="2" t="str">
        <f ca="1">IFERROR(__xludf.DUMMYFUNCTION("""COMPUTED_VALUE"""),"HP")</f>
        <v>HP</v>
      </c>
      <c r="C214" s="2" t="str">
        <f ca="1">IFERROR(__xludf.DUMMYFUNCTION("""COMPUTED_VALUE"""),"15-bs018nq (i3-6006U/4GB/500GB/FHD/No")</f>
        <v>15-bs018nq (i3-6006U/4GB/500GB/FHD/No</v>
      </c>
      <c r="D214" s="2" t="str">
        <f ca="1">IFERROR(__xludf.DUMMYFUNCTION("""COMPUTED_VALUE"""),"Notebook")</f>
        <v>Notebook</v>
      </c>
      <c r="E214" s="2">
        <f ca="1">IFERROR(__xludf.DUMMYFUNCTION("""COMPUTED_VALUE"""),15.6)</f>
        <v>15.6</v>
      </c>
      <c r="F214" s="2" t="str">
        <f ca="1">IFERROR(__xludf.DUMMYFUNCTION("""COMPUTED_VALUE"""),"Full HD 1920x1080")</f>
        <v>Full HD 1920x1080</v>
      </c>
      <c r="G214" s="2" t="str">
        <f ca="1">IFERROR(__xludf.DUMMYFUNCTION("""COMPUTED_VALUE"""),"Intel Core i3 6006U 2GHz")</f>
        <v>Intel Core i3 6006U 2GHz</v>
      </c>
      <c r="H214" s="2" t="str">
        <f ca="1">IFERROR(__xludf.DUMMYFUNCTION("""COMPUTED_VALUE"""),"4GB")</f>
        <v>4GB</v>
      </c>
      <c r="I214" s="2" t="str">
        <f ca="1">IFERROR(__xludf.DUMMYFUNCTION("""COMPUTED_VALUE"""),"500GB HDD")</f>
        <v>500GB HDD</v>
      </c>
      <c r="J214" s="2" t="str">
        <f ca="1">IFERROR(__xludf.DUMMYFUNCTION("""COMPUTED_VALUE"""),"Intel HD Graphics 520")</f>
        <v>Intel HD Graphics 520</v>
      </c>
      <c r="K214" s="2" t="str">
        <f ca="1">IFERROR(__xludf.DUMMYFUNCTION("""COMPUTED_VALUE"""),"No OS")</f>
        <v>No OS</v>
      </c>
      <c r="L214" s="2" t="str">
        <f ca="1">IFERROR(__xludf.DUMMYFUNCTION("""COMPUTED_VALUE"""),"2.1kg")</f>
        <v>2.1kg</v>
      </c>
      <c r="M214" s="2">
        <f ca="1">IFERROR(__xludf.DUMMYFUNCTION("""COMPUTED_VALUE"""),349)</f>
        <v>349</v>
      </c>
    </row>
    <row r="215" spans="1:13">
      <c r="A215" s="2">
        <f ca="1">IFERROR(__xludf.DUMMYFUNCTION("""COMPUTED_VALUE"""),218)</f>
        <v>218</v>
      </c>
      <c r="B215" s="2" t="str">
        <f ca="1">IFERROR(__xludf.DUMMYFUNCTION("""COMPUTED_VALUE"""),"Lenovo")</f>
        <v>Lenovo</v>
      </c>
      <c r="C215" s="2" t="str">
        <f ca="1">IFERROR(__xludf.DUMMYFUNCTION("""COMPUTED_VALUE"""),"IdeaPad 320-15IKBN")</f>
        <v>IdeaPad 320-15IKBN</v>
      </c>
      <c r="D215" s="2" t="str">
        <f ca="1">IFERROR(__xludf.DUMMYFUNCTION("""COMPUTED_VALUE"""),"Notebook")</f>
        <v>Notebook</v>
      </c>
      <c r="E215" s="2">
        <f ca="1">IFERROR(__xludf.DUMMYFUNCTION("""COMPUTED_VALUE"""),15.6)</f>
        <v>15.6</v>
      </c>
      <c r="F215" s="2" t="str">
        <f ca="1">IFERROR(__xludf.DUMMYFUNCTION("""COMPUTED_VALUE"""),"Full HD 1920x1080")</f>
        <v>Full HD 1920x1080</v>
      </c>
      <c r="G215" s="2" t="str">
        <f ca="1">IFERROR(__xludf.DUMMYFUNCTION("""COMPUTED_VALUE"""),"Intel Core i5 7200U 2.5GHz")</f>
        <v>Intel Core i5 7200U 2.5GHz</v>
      </c>
      <c r="H215" s="2" t="str">
        <f ca="1">IFERROR(__xludf.DUMMYFUNCTION("""COMPUTED_VALUE"""),"8GB")</f>
        <v>8GB</v>
      </c>
      <c r="I215" s="2" t="str">
        <f ca="1">IFERROR(__xludf.DUMMYFUNCTION("""COMPUTED_VALUE"""),"256GB SSD")</f>
        <v>256GB SSD</v>
      </c>
      <c r="J215" s="2" t="str">
        <f ca="1">IFERROR(__xludf.DUMMYFUNCTION("""COMPUTED_VALUE"""),"Intel HD Graphics 620")</f>
        <v>Intel HD Graphics 620</v>
      </c>
      <c r="K215" s="2" t="str">
        <f ca="1">IFERROR(__xludf.DUMMYFUNCTION("""COMPUTED_VALUE"""),"No OS")</f>
        <v>No OS</v>
      </c>
      <c r="L215" s="2" t="str">
        <f ca="1">IFERROR(__xludf.DUMMYFUNCTION("""COMPUTED_VALUE"""),"2.2kg")</f>
        <v>2.2kg</v>
      </c>
      <c r="M215" s="2">
        <f ca="1">IFERROR(__xludf.DUMMYFUNCTION("""COMPUTED_VALUE"""),549)</f>
        <v>549</v>
      </c>
    </row>
    <row r="216" spans="1:13">
      <c r="A216" s="2">
        <f ca="1">IFERROR(__xludf.DUMMYFUNCTION("""COMPUTED_VALUE"""),219)</f>
        <v>219</v>
      </c>
      <c r="B216" s="2" t="str">
        <f ca="1">IFERROR(__xludf.DUMMYFUNCTION("""COMPUTED_VALUE"""),"Huawei")</f>
        <v>Huawei</v>
      </c>
      <c r="C216" s="2" t="str">
        <f ca="1">IFERROR(__xludf.DUMMYFUNCTION("""COMPUTED_VALUE"""),"MateBook X")</f>
        <v>MateBook X</v>
      </c>
      <c r="D216" s="2" t="str">
        <f ca="1">IFERROR(__xludf.DUMMYFUNCTION("""COMPUTED_VALUE"""),"Ultrabook")</f>
        <v>Ultrabook</v>
      </c>
      <c r="E216" s="2">
        <f ca="1">IFERROR(__xludf.DUMMYFUNCTION("""COMPUTED_VALUE"""),13)</f>
        <v>13</v>
      </c>
      <c r="F216" s="2" t="str">
        <f ca="1">IFERROR(__xludf.DUMMYFUNCTION("""COMPUTED_VALUE"""),"IPS Panel Full HD 2160x1440")</f>
        <v>IPS Panel Full HD 2160x1440</v>
      </c>
      <c r="G216" s="2" t="str">
        <f ca="1">IFERROR(__xludf.DUMMYFUNCTION("""COMPUTED_VALUE"""),"Intel Core i7 7500U 2.7GHz")</f>
        <v>Intel Core i7 7500U 2.7GHz</v>
      </c>
      <c r="H216" s="2" t="str">
        <f ca="1">IFERROR(__xludf.DUMMYFUNCTION("""COMPUTED_VALUE"""),"8GB")</f>
        <v>8GB</v>
      </c>
      <c r="I216" s="2" t="str">
        <f ca="1">IFERROR(__xludf.DUMMYFUNCTION("""COMPUTED_VALUE"""),"512GB SSD")</f>
        <v>512GB SSD</v>
      </c>
      <c r="J216" s="2" t="str">
        <f ca="1">IFERROR(__xludf.DUMMYFUNCTION("""COMPUTED_VALUE"""),"Intel HD Graphics 620")</f>
        <v>Intel HD Graphics 620</v>
      </c>
      <c r="K216" s="2" t="str">
        <f ca="1">IFERROR(__xludf.DUMMYFUNCTION("""COMPUTED_VALUE"""),"Windows 10")</f>
        <v>Windows 10</v>
      </c>
      <c r="L216" s="2" t="str">
        <f ca="1">IFERROR(__xludf.DUMMYFUNCTION("""COMPUTED_VALUE"""),"1.05kg")</f>
        <v>1.05kg</v>
      </c>
      <c r="M216" s="2">
        <f ca="1">IFERROR(__xludf.DUMMYFUNCTION("""COMPUTED_VALUE"""),1499)</f>
        <v>1499</v>
      </c>
    </row>
    <row r="217" spans="1:13">
      <c r="A217" s="2">
        <f ca="1">IFERROR(__xludf.DUMMYFUNCTION("""COMPUTED_VALUE"""),220)</f>
        <v>220</v>
      </c>
      <c r="B217" s="2" t="str">
        <f ca="1">IFERROR(__xludf.DUMMYFUNCTION("""COMPUTED_VALUE"""),"Dell")</f>
        <v>Dell</v>
      </c>
      <c r="C217" s="2" t="str">
        <f ca="1">IFERROR(__xludf.DUMMYFUNCTION("""COMPUTED_VALUE"""),"Inspiron 5370")</f>
        <v>Inspiron 5370</v>
      </c>
      <c r="D217" s="2" t="str">
        <f ca="1">IFERROR(__xludf.DUMMYFUNCTION("""COMPUTED_VALUE"""),"Ultrabook")</f>
        <v>Ultrabook</v>
      </c>
      <c r="E217" s="2">
        <f ca="1">IFERROR(__xludf.DUMMYFUNCTION("""COMPUTED_VALUE"""),13.3)</f>
        <v>13.3</v>
      </c>
      <c r="F217" s="2" t="str">
        <f ca="1">IFERROR(__xludf.DUMMYFUNCTION("""COMPUTED_VALUE"""),"IPS Panel Full HD 1920x1080")</f>
        <v>IPS Panel Full HD 1920x1080</v>
      </c>
      <c r="G217" s="2" t="str">
        <f ca="1">IFERROR(__xludf.DUMMYFUNCTION("""COMPUTED_VALUE"""),"Intel Core i7 8550U 1.8GHz")</f>
        <v>Intel Core i7 8550U 1.8GHz</v>
      </c>
      <c r="H217" s="2" t="str">
        <f ca="1">IFERROR(__xludf.DUMMYFUNCTION("""COMPUTED_VALUE"""),"8GB")</f>
        <v>8GB</v>
      </c>
      <c r="I217" s="2" t="str">
        <f ca="1">IFERROR(__xludf.DUMMYFUNCTION("""COMPUTED_VALUE"""),"256GB SSD")</f>
        <v>256GB SSD</v>
      </c>
      <c r="J217" s="2" t="str">
        <f ca="1">IFERROR(__xludf.DUMMYFUNCTION("""COMPUTED_VALUE"""),"AMD Radeon 530")</f>
        <v>AMD Radeon 530</v>
      </c>
      <c r="K217" s="2" t="str">
        <f ca="1">IFERROR(__xludf.DUMMYFUNCTION("""COMPUTED_VALUE"""),"Windows 10")</f>
        <v>Windows 10</v>
      </c>
      <c r="L217" s="2" t="str">
        <f ca="1">IFERROR(__xludf.DUMMYFUNCTION("""COMPUTED_VALUE"""),"1.4kg")</f>
        <v>1.4kg</v>
      </c>
      <c r="M217" s="2">
        <f ca="1">IFERROR(__xludf.DUMMYFUNCTION("""COMPUTED_VALUE"""),931.88)</f>
        <v>931.88</v>
      </c>
    </row>
    <row r="218" spans="1:13">
      <c r="A218" s="2">
        <f ca="1">IFERROR(__xludf.DUMMYFUNCTION("""COMPUTED_VALUE"""),221)</f>
        <v>221</v>
      </c>
      <c r="B218" s="2" t="str">
        <f ca="1">IFERROR(__xludf.DUMMYFUNCTION("""COMPUTED_VALUE"""),"Lenovo")</f>
        <v>Lenovo</v>
      </c>
      <c r="C218" s="2" t="str">
        <f ca="1">IFERROR(__xludf.DUMMYFUNCTION("""COMPUTED_VALUE"""),"IdeaPad 320-17IKB")</f>
        <v>IdeaPad 320-17IKB</v>
      </c>
      <c r="D218" s="2" t="str">
        <f ca="1">IFERROR(__xludf.DUMMYFUNCTION("""COMPUTED_VALUE"""),"Notebook")</f>
        <v>Notebook</v>
      </c>
      <c r="E218" s="2">
        <f ca="1">IFERROR(__xludf.DUMMYFUNCTION("""COMPUTED_VALUE"""),17.3)</f>
        <v>17.3</v>
      </c>
      <c r="F218" s="2" t="str">
        <f ca="1">IFERROR(__xludf.DUMMYFUNCTION("""COMPUTED_VALUE"""),"1600x900")</f>
        <v>1600x900</v>
      </c>
      <c r="G218" s="2" t="str">
        <f ca="1">IFERROR(__xludf.DUMMYFUNCTION("""COMPUTED_VALUE"""),"Intel Core i5 7200U 2.5GHz")</f>
        <v>Intel Core i5 7200U 2.5GHz</v>
      </c>
      <c r="H218" s="2" t="str">
        <f ca="1">IFERROR(__xludf.DUMMYFUNCTION("""COMPUTED_VALUE"""),"8GB")</f>
        <v>8GB</v>
      </c>
      <c r="I218" s="2" t="str">
        <f ca="1">IFERROR(__xludf.DUMMYFUNCTION("""COMPUTED_VALUE"""),"1TB HDD")</f>
        <v>1TB HDD</v>
      </c>
      <c r="J218" s="2" t="str">
        <f ca="1">IFERROR(__xludf.DUMMYFUNCTION("""COMPUTED_VALUE"""),"Nvidia GeForce GTX 940MX")</f>
        <v>Nvidia GeForce GTX 940MX</v>
      </c>
      <c r="K218" s="2" t="str">
        <f ca="1">IFERROR(__xludf.DUMMYFUNCTION("""COMPUTED_VALUE"""),"No OS")</f>
        <v>No OS</v>
      </c>
      <c r="L218" s="2" t="str">
        <f ca="1">IFERROR(__xludf.DUMMYFUNCTION("""COMPUTED_VALUE"""),"2.8kg")</f>
        <v>2.8kg</v>
      </c>
      <c r="M218" s="2">
        <f ca="1">IFERROR(__xludf.DUMMYFUNCTION("""COMPUTED_VALUE"""),589)</f>
        <v>589</v>
      </c>
    </row>
    <row r="219" spans="1:13">
      <c r="A219" s="2">
        <f ca="1">IFERROR(__xludf.DUMMYFUNCTION("""COMPUTED_VALUE"""),222)</f>
        <v>222</v>
      </c>
      <c r="B219" s="2" t="str">
        <f ca="1">IFERROR(__xludf.DUMMYFUNCTION("""COMPUTED_VALUE"""),"HP")</f>
        <v>HP</v>
      </c>
      <c r="C219" s="2" t="str">
        <f ca="1">IFERROR(__xludf.DUMMYFUNCTION("""COMPUTED_VALUE"""),"Probook 440")</f>
        <v>Probook 440</v>
      </c>
      <c r="D219" s="2" t="str">
        <f ca="1">IFERROR(__xludf.DUMMYFUNCTION("""COMPUTED_VALUE"""),"Notebook")</f>
        <v>Notebook</v>
      </c>
      <c r="E219" s="2">
        <f ca="1">IFERROR(__xludf.DUMMYFUNCTION("""COMPUTED_VALUE"""),14)</f>
        <v>14</v>
      </c>
      <c r="F219" s="2" t="str">
        <f ca="1">IFERROR(__xludf.DUMMYFUNCTION("""COMPUTED_VALUE"""),"Full HD 1920x1080")</f>
        <v>Full HD 1920x1080</v>
      </c>
      <c r="G219" s="2" t="str">
        <f ca="1">IFERROR(__xludf.DUMMYFUNCTION("""COMPUTED_VALUE"""),"Intel Core i7 8550U 1.8GHz")</f>
        <v>Intel Core i7 8550U 1.8GHz</v>
      </c>
      <c r="H219" s="2" t="str">
        <f ca="1">IFERROR(__xludf.DUMMYFUNCTION("""COMPUTED_VALUE"""),"8GB")</f>
        <v>8GB</v>
      </c>
      <c r="I219" s="2" t="str">
        <f ca="1">IFERROR(__xludf.DUMMYFUNCTION("""COMPUTED_VALUE"""),"256GB SSD")</f>
        <v>256GB SSD</v>
      </c>
      <c r="J219" s="2" t="str">
        <f ca="1">IFERROR(__xludf.DUMMYFUNCTION("""COMPUTED_VALUE"""),"Nvidia GeForce 930MX")</f>
        <v>Nvidia GeForce 930MX</v>
      </c>
      <c r="K219" s="2" t="str">
        <f ca="1">IFERROR(__xludf.DUMMYFUNCTION("""COMPUTED_VALUE"""),"Windows 10")</f>
        <v>Windows 10</v>
      </c>
      <c r="L219" s="2" t="str">
        <f ca="1">IFERROR(__xludf.DUMMYFUNCTION("""COMPUTED_VALUE"""),"1.63kg")</f>
        <v>1.63kg</v>
      </c>
      <c r="M219" s="2">
        <f ca="1">IFERROR(__xludf.DUMMYFUNCTION("""COMPUTED_VALUE"""),1031)</f>
        <v>1031</v>
      </c>
    </row>
    <row r="220" spans="1:13">
      <c r="A220" s="2">
        <f ca="1">IFERROR(__xludf.DUMMYFUNCTION("""COMPUTED_VALUE"""),223)</f>
        <v>223</v>
      </c>
      <c r="B220" s="2" t="str">
        <f ca="1">IFERROR(__xludf.DUMMYFUNCTION("""COMPUTED_VALUE"""),"Dell")</f>
        <v>Dell</v>
      </c>
      <c r="C220" s="2" t="str">
        <f ca="1">IFERROR(__xludf.DUMMYFUNCTION("""COMPUTED_VALUE"""),"Latitude 5490")</f>
        <v>Latitude 5490</v>
      </c>
      <c r="D220" s="2" t="str">
        <f ca="1">IFERROR(__xludf.DUMMYFUNCTION("""COMPUTED_VALUE"""),"Ultrabook")</f>
        <v>Ultrabook</v>
      </c>
      <c r="E220" s="2">
        <f ca="1">IFERROR(__xludf.DUMMYFUNCTION("""COMPUTED_VALUE"""),14)</f>
        <v>14</v>
      </c>
      <c r="F220" s="2" t="str">
        <f ca="1">IFERROR(__xludf.DUMMYFUNCTION("""COMPUTED_VALUE"""),"Full HD 1920x1080")</f>
        <v>Full HD 1920x1080</v>
      </c>
      <c r="G220" s="2" t="str">
        <f ca="1">IFERROR(__xludf.DUMMYFUNCTION("""COMPUTED_VALUE"""),"Intel Core i5 8250U 1.6GHz")</f>
        <v>Intel Core i5 8250U 1.6GHz</v>
      </c>
      <c r="H220" s="2" t="str">
        <f ca="1">IFERROR(__xludf.DUMMYFUNCTION("""COMPUTED_VALUE"""),"8GB")</f>
        <v>8GB</v>
      </c>
      <c r="I220" s="2" t="str">
        <f ca="1">IFERROR(__xludf.DUMMYFUNCTION("""COMPUTED_VALUE"""),"256GB SSD")</f>
        <v>256GB SSD</v>
      </c>
      <c r="J220" s="2" t="str">
        <f ca="1">IFERROR(__xludf.DUMMYFUNCTION("""COMPUTED_VALUE"""),"Intel UHD Graphics 620")</f>
        <v>Intel UHD Graphics 620</v>
      </c>
      <c r="K220" s="2" t="str">
        <f ca="1">IFERROR(__xludf.DUMMYFUNCTION("""COMPUTED_VALUE"""),"Windows 10")</f>
        <v>Windows 10</v>
      </c>
      <c r="L220" s="2" t="str">
        <f ca="1">IFERROR(__xludf.DUMMYFUNCTION("""COMPUTED_VALUE"""),"1.6kg")</f>
        <v>1.6kg</v>
      </c>
      <c r="M220" s="2">
        <f ca="1">IFERROR(__xludf.DUMMYFUNCTION("""COMPUTED_VALUE"""),1149)</f>
        <v>1149</v>
      </c>
    </row>
    <row r="221" spans="1:13">
      <c r="A221" s="2">
        <f ca="1">IFERROR(__xludf.DUMMYFUNCTION("""COMPUTED_VALUE"""),224)</f>
        <v>224</v>
      </c>
      <c r="B221" s="2" t="str">
        <f ca="1">IFERROR(__xludf.DUMMYFUNCTION("""COMPUTED_VALUE"""),"Dell")</f>
        <v>Dell</v>
      </c>
      <c r="C221" s="2" t="str">
        <f ca="1">IFERROR(__xludf.DUMMYFUNCTION("""COMPUTED_VALUE"""),"Inspiron 5379")</f>
        <v>Inspiron 5379</v>
      </c>
      <c r="D221" s="2" t="str">
        <f ca="1">IFERROR(__xludf.DUMMYFUNCTION("""COMPUTED_VALUE"""),"2 in 1 Convertible")</f>
        <v>2 in 1 Convertible</v>
      </c>
      <c r="E221" s="2">
        <f ca="1">IFERROR(__xludf.DUMMYFUNCTION("""COMPUTED_VALUE"""),13.3)</f>
        <v>13.3</v>
      </c>
      <c r="F221" s="2" t="str">
        <f ca="1">IFERROR(__xludf.DUMMYFUNCTION("""COMPUTED_VALUE"""),"Full HD / Touchscreen 1920x1080")</f>
        <v>Full HD / Touchscreen 1920x1080</v>
      </c>
      <c r="G221" s="2" t="str">
        <f ca="1">IFERROR(__xludf.DUMMYFUNCTION("""COMPUTED_VALUE"""),"Intel Core i7 8550U 1.8GHz")</f>
        <v>Intel Core i7 8550U 1.8GHz</v>
      </c>
      <c r="H221" s="2" t="str">
        <f ca="1">IFERROR(__xludf.DUMMYFUNCTION("""COMPUTED_VALUE"""),"16GB")</f>
        <v>16GB</v>
      </c>
      <c r="I221" s="2" t="str">
        <f ca="1">IFERROR(__xludf.DUMMYFUNCTION("""COMPUTED_VALUE"""),"512GB SSD")</f>
        <v>512GB SSD</v>
      </c>
      <c r="J221" s="2" t="str">
        <f ca="1">IFERROR(__xludf.DUMMYFUNCTION("""COMPUTED_VALUE"""),"Intel UHD Graphics 620")</f>
        <v>Intel UHD Graphics 620</v>
      </c>
      <c r="K221" s="2" t="str">
        <f ca="1">IFERROR(__xludf.DUMMYFUNCTION("""COMPUTED_VALUE"""),"Windows 10")</f>
        <v>Windows 10</v>
      </c>
      <c r="L221" s="2" t="str">
        <f ca="1">IFERROR(__xludf.DUMMYFUNCTION("""COMPUTED_VALUE"""),"1.62kg")</f>
        <v>1.62kg</v>
      </c>
      <c r="M221" s="2">
        <f ca="1">IFERROR(__xludf.DUMMYFUNCTION("""COMPUTED_VALUE"""),1279)</f>
        <v>1279</v>
      </c>
    </row>
    <row r="222" spans="1:13">
      <c r="A222" s="2">
        <f ca="1">IFERROR(__xludf.DUMMYFUNCTION("""COMPUTED_VALUE"""),225)</f>
        <v>225</v>
      </c>
      <c r="B222" s="2" t="str">
        <f ca="1">IFERROR(__xludf.DUMMYFUNCTION("""COMPUTED_VALUE"""),"Dell")</f>
        <v>Dell</v>
      </c>
      <c r="C222" s="2" t="str">
        <f ca="1">IFERROR(__xludf.DUMMYFUNCTION("""COMPUTED_VALUE"""),"Inspiron 3576")</f>
        <v>Inspiron 3576</v>
      </c>
      <c r="D222" s="2" t="str">
        <f ca="1">IFERROR(__xludf.DUMMYFUNCTION("""COMPUTED_VALUE"""),"Notebook")</f>
        <v>Notebook</v>
      </c>
      <c r="E222" s="2">
        <f ca="1">IFERROR(__xludf.DUMMYFUNCTION("""COMPUTED_VALUE"""),15.6)</f>
        <v>15.6</v>
      </c>
      <c r="F222" s="2" t="str">
        <f ca="1">IFERROR(__xludf.DUMMYFUNCTION("""COMPUTED_VALUE"""),"Full HD 1920x1080")</f>
        <v>Full HD 1920x1080</v>
      </c>
      <c r="G222" s="2" t="str">
        <f ca="1">IFERROR(__xludf.DUMMYFUNCTION("""COMPUTED_VALUE"""),"Intel Core i5 8250U 1.6GHz")</f>
        <v>Intel Core i5 8250U 1.6GHz</v>
      </c>
      <c r="H222" s="2" t="str">
        <f ca="1">IFERROR(__xludf.DUMMYFUNCTION("""COMPUTED_VALUE"""),"8GB")</f>
        <v>8GB</v>
      </c>
      <c r="I222" s="2" t="str">
        <f ca="1">IFERROR(__xludf.DUMMYFUNCTION("""COMPUTED_VALUE"""),"256GB SSD")</f>
        <v>256GB SSD</v>
      </c>
      <c r="J222" s="2" t="str">
        <f ca="1">IFERROR(__xludf.DUMMYFUNCTION("""COMPUTED_VALUE"""),"AMD Radeon 520")</f>
        <v>AMD Radeon 520</v>
      </c>
      <c r="K222" s="2" t="str">
        <f ca="1">IFERROR(__xludf.DUMMYFUNCTION("""COMPUTED_VALUE"""),"Linux")</f>
        <v>Linux</v>
      </c>
      <c r="L222" s="2" t="str">
        <f ca="1">IFERROR(__xludf.DUMMYFUNCTION("""COMPUTED_VALUE"""),"2.2kg")</f>
        <v>2.2kg</v>
      </c>
      <c r="M222" s="2">
        <f ca="1">IFERROR(__xludf.DUMMYFUNCTION("""COMPUTED_VALUE"""),677.35)</f>
        <v>677.35</v>
      </c>
    </row>
    <row r="223" spans="1:13">
      <c r="A223" s="2">
        <f ca="1">IFERROR(__xludf.DUMMYFUNCTION("""COMPUTED_VALUE"""),226)</f>
        <v>226</v>
      </c>
      <c r="B223" s="2" t="str">
        <f ca="1">IFERROR(__xludf.DUMMYFUNCTION("""COMPUTED_VALUE"""),"Lenovo")</f>
        <v>Lenovo</v>
      </c>
      <c r="C223" s="2" t="str">
        <f ca="1">IFERROR(__xludf.DUMMYFUNCTION("""COMPUTED_VALUE"""),"Yoga 520-14IKB")</f>
        <v>Yoga 520-14IKB</v>
      </c>
      <c r="D223" s="2" t="str">
        <f ca="1">IFERROR(__xludf.DUMMYFUNCTION("""COMPUTED_VALUE"""),"2 in 1 Convertible")</f>
        <v>2 in 1 Convertible</v>
      </c>
      <c r="E223" s="2">
        <f ca="1">IFERROR(__xludf.DUMMYFUNCTION("""COMPUTED_VALUE"""),14)</f>
        <v>14</v>
      </c>
      <c r="F223" s="2" t="str">
        <f ca="1">IFERROR(__xludf.DUMMYFUNCTION("""COMPUTED_VALUE"""),"IPS Panel Full HD 1920x1080")</f>
        <v>IPS Panel Full HD 1920x1080</v>
      </c>
      <c r="G223" s="2" t="str">
        <f ca="1">IFERROR(__xludf.DUMMYFUNCTION("""COMPUTED_VALUE"""),"Intel Core i5 8250U 1.6GHz")</f>
        <v>Intel Core i5 8250U 1.6GHz</v>
      </c>
      <c r="H223" s="2" t="str">
        <f ca="1">IFERROR(__xludf.DUMMYFUNCTION("""COMPUTED_VALUE"""),"8GB")</f>
        <v>8GB</v>
      </c>
      <c r="I223" s="2" t="str">
        <f ca="1">IFERROR(__xludf.DUMMYFUNCTION("""COMPUTED_VALUE"""),"256GB SSD")</f>
        <v>256GB SSD</v>
      </c>
      <c r="J223" s="2" t="str">
        <f ca="1">IFERROR(__xludf.DUMMYFUNCTION("""COMPUTED_VALUE"""),"Intel UHD Graphics 620")</f>
        <v>Intel UHD Graphics 620</v>
      </c>
      <c r="K223" s="2" t="str">
        <f ca="1">IFERROR(__xludf.DUMMYFUNCTION("""COMPUTED_VALUE"""),"Windows 10")</f>
        <v>Windows 10</v>
      </c>
      <c r="L223" s="2" t="str">
        <f ca="1">IFERROR(__xludf.DUMMYFUNCTION("""COMPUTED_VALUE"""),"1.74kg")</f>
        <v>1.74kg</v>
      </c>
      <c r="M223" s="2">
        <f ca="1">IFERROR(__xludf.DUMMYFUNCTION("""COMPUTED_VALUE"""),899)</f>
        <v>899</v>
      </c>
    </row>
    <row r="224" spans="1:13">
      <c r="A224" s="2">
        <f ca="1">IFERROR(__xludf.DUMMYFUNCTION("""COMPUTED_VALUE"""),227)</f>
        <v>227</v>
      </c>
      <c r="B224" s="2" t="str">
        <f ca="1">IFERROR(__xludf.DUMMYFUNCTION("""COMPUTED_VALUE"""),"Toshiba")</f>
        <v>Toshiba</v>
      </c>
      <c r="C224" s="2" t="str">
        <f ca="1">IFERROR(__xludf.DUMMYFUNCTION("""COMPUTED_VALUE"""),"Portege Z30-C-16L")</f>
        <v>Portege Z30-C-16L</v>
      </c>
      <c r="D224" s="2" t="str">
        <f ca="1">IFERROR(__xludf.DUMMYFUNCTION("""COMPUTED_VALUE"""),"Ultrabook")</f>
        <v>Ultrabook</v>
      </c>
      <c r="E224" s="2">
        <f ca="1">IFERROR(__xludf.DUMMYFUNCTION("""COMPUTED_VALUE"""),13.3)</f>
        <v>13.3</v>
      </c>
      <c r="F224" s="2" t="str">
        <f ca="1">IFERROR(__xludf.DUMMYFUNCTION("""COMPUTED_VALUE"""),"Full HD 1920x1080")</f>
        <v>Full HD 1920x1080</v>
      </c>
      <c r="G224" s="2" t="str">
        <f ca="1">IFERROR(__xludf.DUMMYFUNCTION("""COMPUTED_VALUE"""),"Intel Core i7 6500U 2.5GHz")</f>
        <v>Intel Core i7 6500U 2.5GHz</v>
      </c>
      <c r="H224" s="2" t="str">
        <f ca="1">IFERROR(__xludf.DUMMYFUNCTION("""COMPUTED_VALUE"""),"8GB")</f>
        <v>8GB</v>
      </c>
      <c r="I224" s="2" t="str">
        <f ca="1">IFERROR(__xludf.DUMMYFUNCTION("""COMPUTED_VALUE"""),"256GB SSD")</f>
        <v>256GB SSD</v>
      </c>
      <c r="J224" s="2" t="str">
        <f ca="1">IFERROR(__xludf.DUMMYFUNCTION("""COMPUTED_VALUE"""),"Intel HD Graphics 520")</f>
        <v>Intel HD Graphics 520</v>
      </c>
      <c r="K224" s="2" t="str">
        <f ca="1">IFERROR(__xludf.DUMMYFUNCTION("""COMPUTED_VALUE"""),"Windows 10")</f>
        <v>Windows 10</v>
      </c>
      <c r="L224" s="2" t="str">
        <f ca="1">IFERROR(__xludf.DUMMYFUNCTION("""COMPUTED_VALUE"""),"1.2kg")</f>
        <v>1.2kg</v>
      </c>
      <c r="M224" s="2">
        <f ca="1">IFERROR(__xludf.DUMMYFUNCTION("""COMPUTED_VALUE"""),1363)</f>
        <v>1363</v>
      </c>
    </row>
    <row r="225" spans="1:13">
      <c r="A225" s="2">
        <f ca="1">IFERROR(__xludf.DUMMYFUNCTION("""COMPUTED_VALUE"""),228)</f>
        <v>228</v>
      </c>
      <c r="B225" s="2" t="str">
        <f ca="1">IFERROR(__xludf.DUMMYFUNCTION("""COMPUTED_VALUE"""),"HP")</f>
        <v>HP</v>
      </c>
      <c r="C225" s="2" t="str">
        <f ca="1">IFERROR(__xludf.DUMMYFUNCTION("""COMPUTED_VALUE"""),"ProBook 450")</f>
        <v>ProBook 450</v>
      </c>
      <c r="D225" s="2" t="str">
        <f ca="1">IFERROR(__xludf.DUMMYFUNCTION("""COMPUTED_VALUE"""),"Notebook")</f>
        <v>Notebook</v>
      </c>
      <c r="E225" s="2">
        <f ca="1">IFERROR(__xludf.DUMMYFUNCTION("""COMPUTED_VALUE"""),15.6)</f>
        <v>15.6</v>
      </c>
      <c r="F225" s="2" t="str">
        <f ca="1">IFERROR(__xludf.DUMMYFUNCTION("""COMPUTED_VALUE"""),"Full HD 1920x1080")</f>
        <v>Full HD 1920x1080</v>
      </c>
      <c r="G225" s="2" t="str">
        <f ca="1">IFERROR(__xludf.DUMMYFUNCTION("""COMPUTED_VALUE"""),"Intel Core i5 8250U 1.6GHz")</f>
        <v>Intel Core i5 8250U 1.6GHz</v>
      </c>
      <c r="H225" s="2" t="str">
        <f ca="1">IFERROR(__xludf.DUMMYFUNCTION("""COMPUTED_VALUE"""),"8GB")</f>
        <v>8GB</v>
      </c>
      <c r="I225" s="2" t="str">
        <f ca="1">IFERROR(__xludf.DUMMYFUNCTION("""COMPUTED_VALUE"""),"1TB HDD")</f>
        <v>1TB HDD</v>
      </c>
      <c r="J225" s="2" t="str">
        <f ca="1">IFERROR(__xludf.DUMMYFUNCTION("""COMPUTED_VALUE"""),"Intel UHD Graphics 620")</f>
        <v>Intel UHD Graphics 620</v>
      </c>
      <c r="K225" s="2" t="str">
        <f ca="1">IFERROR(__xludf.DUMMYFUNCTION("""COMPUTED_VALUE"""),"Windows 10")</f>
        <v>Windows 10</v>
      </c>
      <c r="L225" s="2" t="str">
        <f ca="1">IFERROR(__xludf.DUMMYFUNCTION("""COMPUTED_VALUE"""),"2.1kg")</f>
        <v>2.1kg</v>
      </c>
      <c r="M225" s="2">
        <f ca="1">IFERROR(__xludf.DUMMYFUNCTION("""COMPUTED_VALUE"""),794)</f>
        <v>794</v>
      </c>
    </row>
    <row r="226" spans="1:13">
      <c r="A226" s="2">
        <f ca="1">IFERROR(__xludf.DUMMYFUNCTION("""COMPUTED_VALUE"""),229)</f>
        <v>229</v>
      </c>
      <c r="B226" s="2" t="str">
        <f ca="1">IFERROR(__xludf.DUMMYFUNCTION("""COMPUTED_VALUE"""),"Dell")</f>
        <v>Dell</v>
      </c>
      <c r="C226" s="2" t="str">
        <f ca="1">IFERROR(__xludf.DUMMYFUNCTION("""COMPUTED_VALUE"""),"Alienware 17")</f>
        <v>Alienware 17</v>
      </c>
      <c r="D226" s="2" t="str">
        <f ca="1">IFERROR(__xludf.DUMMYFUNCTION("""COMPUTED_VALUE"""),"Gaming")</f>
        <v>Gaming</v>
      </c>
      <c r="E226" s="2">
        <f ca="1">IFERROR(__xludf.DUMMYFUNCTION("""COMPUTED_VALUE"""),17.3)</f>
        <v>17.3</v>
      </c>
      <c r="F226" s="2" t="str">
        <f ca="1">IFERROR(__xludf.DUMMYFUNCTION("""COMPUTED_VALUE"""),"IPS Panel Full HD 1920x1080")</f>
        <v>IPS Panel Full HD 1920x1080</v>
      </c>
      <c r="G226" s="2" t="str">
        <f ca="1">IFERROR(__xludf.DUMMYFUNCTION("""COMPUTED_VALUE"""),"Intel Core i7 7700HQ 2.8GHz")</f>
        <v>Intel Core i7 7700HQ 2.8GHz</v>
      </c>
      <c r="H226" s="2" t="str">
        <f ca="1">IFERROR(__xludf.DUMMYFUNCTION("""COMPUTED_VALUE"""),"16GB")</f>
        <v>16GB</v>
      </c>
      <c r="I226" s="2" t="str">
        <f ca="1">IFERROR(__xludf.DUMMYFUNCTION("""COMPUTED_VALUE"""),"256GB SSD +  1TB HDD")</f>
        <v>256GB SSD +  1TB HDD</v>
      </c>
      <c r="J226" s="2" t="str">
        <f ca="1">IFERROR(__xludf.DUMMYFUNCTION("""COMPUTED_VALUE"""),"Nvidia GeForce GTX 1060")</f>
        <v>Nvidia GeForce GTX 1060</v>
      </c>
      <c r="K226" s="2" t="str">
        <f ca="1">IFERROR(__xludf.DUMMYFUNCTION("""COMPUTED_VALUE"""),"Windows 10")</f>
        <v>Windows 10</v>
      </c>
      <c r="L226" s="2" t="str">
        <f ca="1">IFERROR(__xludf.DUMMYFUNCTION("""COMPUTED_VALUE"""),"4.42kg")</f>
        <v>4.42kg</v>
      </c>
      <c r="M226" s="2">
        <f ca="1">IFERROR(__xludf.DUMMYFUNCTION("""COMPUTED_VALUE"""),2456.34)</f>
        <v>2456.34</v>
      </c>
    </row>
    <row r="227" spans="1:13">
      <c r="A227" s="2">
        <f ca="1">IFERROR(__xludf.DUMMYFUNCTION("""COMPUTED_VALUE"""),230)</f>
        <v>230</v>
      </c>
      <c r="B227" s="2" t="str">
        <f ca="1">IFERROR(__xludf.DUMMYFUNCTION("""COMPUTED_VALUE"""),"Acer")</f>
        <v>Acer</v>
      </c>
      <c r="C227" s="2" t="str">
        <f ca="1">IFERROR(__xludf.DUMMYFUNCTION("""COMPUTED_VALUE"""),"Aspire E5-576G")</f>
        <v>Aspire E5-576G</v>
      </c>
      <c r="D227" s="2" t="str">
        <f ca="1">IFERROR(__xludf.DUMMYFUNCTION("""COMPUTED_VALUE"""),"Notebook")</f>
        <v>Notebook</v>
      </c>
      <c r="E227" s="2">
        <f ca="1">IFERROR(__xludf.DUMMYFUNCTION("""COMPUTED_VALUE"""),15.6)</f>
        <v>15.6</v>
      </c>
      <c r="F227" s="2" t="str">
        <f ca="1">IFERROR(__xludf.DUMMYFUNCTION("""COMPUTED_VALUE"""),"Full HD 1920x1080")</f>
        <v>Full HD 1920x1080</v>
      </c>
      <c r="G227" s="2" t="str">
        <f ca="1">IFERROR(__xludf.DUMMYFUNCTION("""COMPUTED_VALUE"""),"Intel Core i7 7500U 2.7GHz")</f>
        <v>Intel Core i7 7500U 2.7GHz</v>
      </c>
      <c r="H227" s="2" t="str">
        <f ca="1">IFERROR(__xludf.DUMMYFUNCTION("""COMPUTED_VALUE"""),"8GB")</f>
        <v>8GB</v>
      </c>
      <c r="I227" s="2" t="str">
        <f ca="1">IFERROR(__xludf.DUMMYFUNCTION("""COMPUTED_VALUE"""),"256GB SSD")</f>
        <v>256GB SSD</v>
      </c>
      <c r="J227" s="2" t="str">
        <f ca="1">IFERROR(__xludf.DUMMYFUNCTION("""COMPUTED_VALUE"""),"Nvidia GeForce 940MX")</f>
        <v>Nvidia GeForce 940MX</v>
      </c>
      <c r="K227" s="2" t="str">
        <f ca="1">IFERROR(__xludf.DUMMYFUNCTION("""COMPUTED_VALUE"""),"Windows 10")</f>
        <v>Windows 10</v>
      </c>
      <c r="L227" s="2" t="str">
        <f ca="1">IFERROR(__xludf.DUMMYFUNCTION("""COMPUTED_VALUE"""),"2.2kg")</f>
        <v>2.2kg</v>
      </c>
      <c r="M227" s="2">
        <f ca="1">IFERROR(__xludf.DUMMYFUNCTION("""COMPUTED_VALUE"""),832)</f>
        <v>832</v>
      </c>
    </row>
    <row r="228" spans="1:13">
      <c r="A228" s="2">
        <f ca="1">IFERROR(__xludf.DUMMYFUNCTION("""COMPUTED_VALUE"""),231)</f>
        <v>231</v>
      </c>
      <c r="B228" s="2" t="str">
        <f ca="1">IFERROR(__xludf.DUMMYFUNCTION("""COMPUTED_VALUE"""),"Dell")</f>
        <v>Dell</v>
      </c>
      <c r="C228" s="2" t="str">
        <f ca="1">IFERROR(__xludf.DUMMYFUNCTION("""COMPUTED_VALUE"""),"Inspiron 5567")</f>
        <v>Inspiron 5567</v>
      </c>
      <c r="D228" s="2" t="str">
        <f ca="1">IFERROR(__xludf.DUMMYFUNCTION("""COMPUTED_VALUE"""),"Notebook")</f>
        <v>Notebook</v>
      </c>
      <c r="E228" s="2">
        <f ca="1">IFERROR(__xludf.DUMMYFUNCTION("""COMPUTED_VALUE"""),15.6)</f>
        <v>15.6</v>
      </c>
      <c r="F228" s="2" t="str">
        <f ca="1">IFERROR(__xludf.DUMMYFUNCTION("""COMPUTED_VALUE"""),"Full HD / Touchscreen 1920x1080")</f>
        <v>Full HD / Touchscreen 1920x1080</v>
      </c>
      <c r="G228" s="2" t="str">
        <f ca="1">IFERROR(__xludf.DUMMYFUNCTION("""COMPUTED_VALUE"""),"Intel Core i7 7500U 2.7GHz")</f>
        <v>Intel Core i7 7500U 2.7GHz</v>
      </c>
      <c r="H228" s="2" t="str">
        <f ca="1">IFERROR(__xludf.DUMMYFUNCTION("""COMPUTED_VALUE"""),"16GB")</f>
        <v>16GB</v>
      </c>
      <c r="I228" s="2" t="str">
        <f ca="1">IFERROR(__xludf.DUMMYFUNCTION("""COMPUTED_VALUE"""),"1TB HDD")</f>
        <v>1TB HDD</v>
      </c>
      <c r="J228" s="2" t="str">
        <f ca="1">IFERROR(__xludf.DUMMYFUNCTION("""COMPUTED_VALUE"""),"AMD Radeon R7 M445")</f>
        <v>AMD Radeon R7 M445</v>
      </c>
      <c r="K228" s="2" t="str">
        <f ca="1">IFERROR(__xludf.DUMMYFUNCTION("""COMPUTED_VALUE"""),"Windows 10")</f>
        <v>Windows 10</v>
      </c>
      <c r="L228" s="2" t="str">
        <f ca="1">IFERROR(__xludf.DUMMYFUNCTION("""COMPUTED_VALUE"""),"2.3kg")</f>
        <v>2.3kg</v>
      </c>
      <c r="M228" s="2">
        <f ca="1">IFERROR(__xludf.DUMMYFUNCTION("""COMPUTED_VALUE"""),859.01)</f>
        <v>859.01</v>
      </c>
    </row>
    <row r="229" spans="1:13">
      <c r="A229" s="2">
        <f ca="1">IFERROR(__xludf.DUMMYFUNCTION("""COMPUTED_VALUE"""),232)</f>
        <v>232</v>
      </c>
      <c r="B229" s="2" t="str">
        <f ca="1">IFERROR(__xludf.DUMMYFUNCTION("""COMPUTED_VALUE"""),"Asus")</f>
        <v>Asus</v>
      </c>
      <c r="C229" s="2" t="str">
        <f ca="1">IFERROR(__xludf.DUMMYFUNCTION("""COMPUTED_VALUE"""),"Vivobook X541UV-DM1217T")</f>
        <v>Vivobook X541UV-DM1217T</v>
      </c>
      <c r="D229" s="2" t="str">
        <f ca="1">IFERROR(__xludf.DUMMYFUNCTION("""COMPUTED_VALUE"""),"Notebook")</f>
        <v>Notebook</v>
      </c>
      <c r="E229" s="2">
        <f ca="1">IFERROR(__xludf.DUMMYFUNCTION("""COMPUTED_VALUE"""),15.6)</f>
        <v>15.6</v>
      </c>
      <c r="F229" s="2" t="str">
        <f ca="1">IFERROR(__xludf.DUMMYFUNCTION("""COMPUTED_VALUE"""),"Full HD 1920x1080")</f>
        <v>Full HD 1920x1080</v>
      </c>
      <c r="G229" s="2" t="str">
        <f ca="1">IFERROR(__xludf.DUMMYFUNCTION("""COMPUTED_VALUE"""),"Intel Core i5 7200U 2.5GHz")</f>
        <v>Intel Core i5 7200U 2.5GHz</v>
      </c>
      <c r="H229" s="2" t="str">
        <f ca="1">IFERROR(__xludf.DUMMYFUNCTION("""COMPUTED_VALUE"""),"8GB")</f>
        <v>8GB</v>
      </c>
      <c r="I229" s="2" t="str">
        <f ca="1">IFERROR(__xludf.DUMMYFUNCTION("""COMPUTED_VALUE"""),"256GB SSD")</f>
        <v>256GB SSD</v>
      </c>
      <c r="J229" s="2" t="str">
        <f ca="1">IFERROR(__xludf.DUMMYFUNCTION("""COMPUTED_VALUE"""),"Nvidia GeForce 920MX ")</f>
        <v xml:space="preserve">Nvidia GeForce 920MX </v>
      </c>
      <c r="K229" s="2" t="str">
        <f ca="1">IFERROR(__xludf.DUMMYFUNCTION("""COMPUTED_VALUE"""),"Windows 10")</f>
        <v>Windows 10</v>
      </c>
      <c r="L229" s="2" t="str">
        <f ca="1">IFERROR(__xludf.DUMMYFUNCTION("""COMPUTED_VALUE"""),"2kg")</f>
        <v>2kg</v>
      </c>
      <c r="M229" s="2">
        <f ca="1">IFERROR(__xludf.DUMMYFUNCTION("""COMPUTED_VALUE"""),769)</f>
        <v>769</v>
      </c>
    </row>
    <row r="230" spans="1:13">
      <c r="A230" s="2">
        <f ca="1">IFERROR(__xludf.DUMMYFUNCTION("""COMPUTED_VALUE"""),233)</f>
        <v>233</v>
      </c>
      <c r="B230" s="2" t="str">
        <f ca="1">IFERROR(__xludf.DUMMYFUNCTION("""COMPUTED_VALUE"""),"Asus")</f>
        <v>Asus</v>
      </c>
      <c r="C230" s="2" t="str">
        <f ca="1">IFERROR(__xludf.DUMMYFUNCTION("""COMPUTED_VALUE"""),"K756UX-T4340T (i5-7200U/8GB/500GB")</f>
        <v>K756UX-T4340T (i5-7200U/8GB/500GB</v>
      </c>
      <c r="D230" s="2" t="str">
        <f ca="1">IFERROR(__xludf.DUMMYFUNCTION("""COMPUTED_VALUE"""),"Notebook")</f>
        <v>Notebook</v>
      </c>
      <c r="E230" s="2">
        <f ca="1">IFERROR(__xludf.DUMMYFUNCTION("""COMPUTED_VALUE"""),17.3)</f>
        <v>17.3</v>
      </c>
      <c r="F230" s="2" t="str">
        <f ca="1">IFERROR(__xludf.DUMMYFUNCTION("""COMPUTED_VALUE"""),"Full HD 1920x1080")</f>
        <v>Full HD 1920x1080</v>
      </c>
      <c r="G230" s="2" t="str">
        <f ca="1">IFERROR(__xludf.DUMMYFUNCTION("""COMPUTED_VALUE"""),"Intel Core i5 7200U 2.5GHz")</f>
        <v>Intel Core i5 7200U 2.5GHz</v>
      </c>
      <c r="H230" s="2" t="str">
        <f ca="1">IFERROR(__xludf.DUMMYFUNCTION("""COMPUTED_VALUE"""),"8GB")</f>
        <v>8GB</v>
      </c>
      <c r="I230" s="2" t="str">
        <f ca="1">IFERROR(__xludf.DUMMYFUNCTION("""COMPUTED_VALUE"""),"256GB SSD +  500GB HDD")</f>
        <v>256GB SSD +  500GB HDD</v>
      </c>
      <c r="J230" s="2" t="str">
        <f ca="1">IFERROR(__xludf.DUMMYFUNCTION("""COMPUTED_VALUE"""),"Nvidia GeForce GTX 950M")</f>
        <v>Nvidia GeForce GTX 950M</v>
      </c>
      <c r="K230" s="2" t="str">
        <f ca="1">IFERROR(__xludf.DUMMYFUNCTION("""COMPUTED_VALUE"""),"Windows 10")</f>
        <v>Windows 10</v>
      </c>
      <c r="L230" s="2" t="str">
        <f ca="1">IFERROR(__xludf.DUMMYFUNCTION("""COMPUTED_VALUE"""),"2.69kg")</f>
        <v>2.69kg</v>
      </c>
      <c r="M230" s="2">
        <f ca="1">IFERROR(__xludf.DUMMYFUNCTION("""COMPUTED_VALUE"""),891)</f>
        <v>891</v>
      </c>
    </row>
    <row r="231" spans="1:13">
      <c r="A231" s="2">
        <f ca="1">IFERROR(__xludf.DUMMYFUNCTION("""COMPUTED_VALUE"""),234)</f>
        <v>234</v>
      </c>
      <c r="B231" s="2" t="str">
        <f ca="1">IFERROR(__xludf.DUMMYFUNCTION("""COMPUTED_VALUE"""),"HP")</f>
        <v>HP</v>
      </c>
      <c r="C231" s="2" t="str">
        <f ca="1">IFERROR(__xludf.DUMMYFUNCTION("""COMPUTED_VALUE"""),"ZBook 15u")</f>
        <v>ZBook 15u</v>
      </c>
      <c r="D231" s="2" t="str">
        <f ca="1">IFERROR(__xludf.DUMMYFUNCTION("""COMPUTED_VALUE"""),"Notebook")</f>
        <v>Notebook</v>
      </c>
      <c r="E231" s="2">
        <f ca="1">IFERROR(__xludf.DUMMYFUNCTION("""COMPUTED_VALUE"""),15.6)</f>
        <v>15.6</v>
      </c>
      <c r="F231" s="2" t="str">
        <f ca="1">IFERROR(__xludf.DUMMYFUNCTION("""COMPUTED_VALUE"""),"Full HD 1920x1080")</f>
        <v>Full HD 1920x1080</v>
      </c>
      <c r="G231" s="2" t="str">
        <f ca="1">IFERROR(__xludf.DUMMYFUNCTION("""COMPUTED_VALUE"""),"Intel Core i7 7500U 2.7GHz")</f>
        <v>Intel Core i7 7500U 2.7GHz</v>
      </c>
      <c r="H231" s="2" t="str">
        <f ca="1">IFERROR(__xludf.DUMMYFUNCTION("""COMPUTED_VALUE"""),"8GB")</f>
        <v>8GB</v>
      </c>
      <c r="I231" s="2" t="str">
        <f ca="1">IFERROR(__xludf.DUMMYFUNCTION("""COMPUTED_VALUE"""),"1TB HDD")</f>
        <v>1TB HDD</v>
      </c>
      <c r="J231" s="2" t="str">
        <f ca="1">IFERROR(__xludf.DUMMYFUNCTION("""COMPUTED_VALUE"""),"AMD FirePro W4190M ")</f>
        <v xml:space="preserve">AMD FirePro W4190M </v>
      </c>
      <c r="K231" s="2" t="str">
        <f ca="1">IFERROR(__xludf.DUMMYFUNCTION("""COMPUTED_VALUE"""),"Windows 10")</f>
        <v>Windows 10</v>
      </c>
      <c r="L231" s="2" t="str">
        <f ca="1">IFERROR(__xludf.DUMMYFUNCTION("""COMPUTED_VALUE"""),"1.9kg")</f>
        <v>1.9kg</v>
      </c>
      <c r="M231" s="2">
        <f ca="1">IFERROR(__xludf.DUMMYFUNCTION("""COMPUTED_VALUE"""),1269)</f>
        <v>1269</v>
      </c>
    </row>
    <row r="232" spans="1:13">
      <c r="A232" s="2">
        <f ca="1">IFERROR(__xludf.DUMMYFUNCTION("""COMPUTED_VALUE"""),235)</f>
        <v>235</v>
      </c>
      <c r="B232" s="2" t="str">
        <f ca="1">IFERROR(__xludf.DUMMYFUNCTION("""COMPUTED_VALUE"""),"Asus")</f>
        <v>Asus</v>
      </c>
      <c r="C232" s="2" t="str">
        <f ca="1">IFERROR(__xludf.DUMMYFUNCTION("""COMPUTED_VALUE"""),"Pro P2540UA-XO0198T")</f>
        <v>Pro P2540UA-XO0198T</v>
      </c>
      <c r="D232" s="2" t="str">
        <f ca="1">IFERROR(__xludf.DUMMYFUNCTION("""COMPUTED_VALUE"""),"Notebook")</f>
        <v>Notebook</v>
      </c>
      <c r="E232" s="2">
        <f ca="1">IFERROR(__xludf.DUMMYFUNCTION("""COMPUTED_VALUE"""),15.6)</f>
        <v>15.6</v>
      </c>
      <c r="F232" s="2" t="str">
        <f ca="1">IFERROR(__xludf.DUMMYFUNCTION("""COMPUTED_VALUE"""),"1366x768")</f>
        <v>1366x768</v>
      </c>
      <c r="G232" s="2" t="str">
        <f ca="1">IFERROR(__xludf.DUMMYFUNCTION("""COMPUTED_VALUE"""),"Intel Core i3 7100U 2.4GHz")</f>
        <v>Intel Core i3 7100U 2.4GHz</v>
      </c>
      <c r="H232" s="2" t="str">
        <f ca="1">IFERROR(__xludf.DUMMYFUNCTION("""COMPUTED_VALUE"""),"4GB")</f>
        <v>4GB</v>
      </c>
      <c r="I232" s="2" t="str">
        <f ca="1">IFERROR(__xludf.DUMMYFUNCTION("""COMPUTED_VALUE"""),"1TB HDD")</f>
        <v>1TB HDD</v>
      </c>
      <c r="J232" s="2" t="str">
        <f ca="1">IFERROR(__xludf.DUMMYFUNCTION("""COMPUTED_VALUE"""),"Intel HD Graphics 620")</f>
        <v>Intel HD Graphics 620</v>
      </c>
      <c r="K232" s="2" t="str">
        <f ca="1">IFERROR(__xludf.DUMMYFUNCTION("""COMPUTED_VALUE"""),"Windows 10")</f>
        <v>Windows 10</v>
      </c>
      <c r="L232" s="2" t="str">
        <f ca="1">IFERROR(__xludf.DUMMYFUNCTION("""COMPUTED_VALUE"""),"2.37kg")</f>
        <v>2.37kg</v>
      </c>
      <c r="M232" s="2">
        <f ca="1">IFERROR(__xludf.DUMMYFUNCTION("""COMPUTED_VALUE"""),398.99)</f>
        <v>398.99</v>
      </c>
    </row>
    <row r="233" spans="1:13">
      <c r="A233" s="2">
        <f ca="1">IFERROR(__xludf.DUMMYFUNCTION("""COMPUTED_VALUE"""),236)</f>
        <v>236</v>
      </c>
      <c r="B233" s="2" t="str">
        <f ca="1">IFERROR(__xludf.DUMMYFUNCTION("""COMPUTED_VALUE"""),"HP")</f>
        <v>HP</v>
      </c>
      <c r="C233" s="2" t="str">
        <f ca="1">IFERROR(__xludf.DUMMYFUNCTION("""COMPUTED_VALUE"""),"15-rb013nv (E2-9000e/4GB/500GB/W10)")</f>
        <v>15-rb013nv (E2-9000e/4GB/500GB/W10)</v>
      </c>
      <c r="D233" s="2" t="str">
        <f ca="1">IFERROR(__xludf.DUMMYFUNCTION("""COMPUTED_VALUE"""),"Notebook")</f>
        <v>Notebook</v>
      </c>
      <c r="E233" s="2">
        <f ca="1">IFERROR(__xludf.DUMMYFUNCTION("""COMPUTED_VALUE"""),15.6)</f>
        <v>15.6</v>
      </c>
      <c r="F233" s="2" t="str">
        <f ca="1">IFERROR(__xludf.DUMMYFUNCTION("""COMPUTED_VALUE"""),"1366x768")</f>
        <v>1366x768</v>
      </c>
      <c r="G233" s="2" t="str">
        <f ca="1">IFERROR(__xludf.DUMMYFUNCTION("""COMPUTED_VALUE"""),"AMD E-Series 9000e 1.5GHz")</f>
        <v>AMD E-Series 9000e 1.5GHz</v>
      </c>
      <c r="H233" s="2" t="str">
        <f ca="1">IFERROR(__xludf.DUMMYFUNCTION("""COMPUTED_VALUE"""),"4GB")</f>
        <v>4GB</v>
      </c>
      <c r="I233" s="2" t="str">
        <f ca="1">IFERROR(__xludf.DUMMYFUNCTION("""COMPUTED_VALUE"""),"500GB HDD")</f>
        <v>500GB HDD</v>
      </c>
      <c r="J233" s="2" t="str">
        <f ca="1">IFERROR(__xludf.DUMMYFUNCTION("""COMPUTED_VALUE"""),"AMD Radeon R2")</f>
        <v>AMD Radeon R2</v>
      </c>
      <c r="K233" s="2" t="str">
        <f ca="1">IFERROR(__xludf.DUMMYFUNCTION("""COMPUTED_VALUE"""),"Windows 10")</f>
        <v>Windows 10</v>
      </c>
      <c r="L233" s="2" t="str">
        <f ca="1">IFERROR(__xludf.DUMMYFUNCTION("""COMPUTED_VALUE"""),"2.1kg")</f>
        <v>2.1kg</v>
      </c>
      <c r="M233" s="2">
        <f ca="1">IFERROR(__xludf.DUMMYFUNCTION("""COMPUTED_VALUE"""),330)</f>
        <v>330</v>
      </c>
    </row>
    <row r="234" spans="1:13">
      <c r="A234" s="2">
        <f ca="1">IFERROR(__xludf.DUMMYFUNCTION("""COMPUTED_VALUE"""),237)</f>
        <v>237</v>
      </c>
      <c r="B234" s="2" t="str">
        <f ca="1">IFERROR(__xludf.DUMMYFUNCTION("""COMPUTED_VALUE"""),"Lenovo")</f>
        <v>Lenovo</v>
      </c>
      <c r="C234" s="2" t="str">
        <f ca="1">IFERROR(__xludf.DUMMYFUNCTION("""COMPUTED_VALUE"""),"Legion Y720-15IKB")</f>
        <v>Legion Y720-15IKB</v>
      </c>
      <c r="D234" s="2" t="str">
        <f ca="1">IFERROR(__xludf.DUMMYFUNCTION("""COMPUTED_VALUE"""),"Gaming")</f>
        <v>Gaming</v>
      </c>
      <c r="E234" s="2">
        <f ca="1">IFERROR(__xludf.DUMMYFUNCTION("""COMPUTED_VALUE"""),15.6)</f>
        <v>15.6</v>
      </c>
      <c r="F234" s="2" t="str">
        <f ca="1">IFERROR(__xludf.DUMMYFUNCTION("""COMPUTED_VALUE"""),"IPS Panel Full HD 1920x1080")</f>
        <v>IPS Panel Full HD 1920x1080</v>
      </c>
      <c r="G234" s="2" t="str">
        <f ca="1">IFERROR(__xludf.DUMMYFUNCTION("""COMPUTED_VALUE"""),"Intel Core i7 7700HQ 2.8GHz")</f>
        <v>Intel Core i7 7700HQ 2.8GHz</v>
      </c>
      <c r="H234" s="2" t="str">
        <f ca="1">IFERROR(__xludf.DUMMYFUNCTION("""COMPUTED_VALUE"""),"16GB")</f>
        <v>16GB</v>
      </c>
      <c r="I234" s="2" t="str">
        <f ca="1">IFERROR(__xludf.DUMMYFUNCTION("""COMPUTED_VALUE"""),"256GB SSD +  1TB HDD")</f>
        <v>256GB SSD +  1TB HDD</v>
      </c>
      <c r="J234" s="2" t="str">
        <f ca="1">IFERROR(__xludf.DUMMYFUNCTION("""COMPUTED_VALUE"""),"Nvidia GeForce GTX 1060")</f>
        <v>Nvidia GeForce GTX 1060</v>
      </c>
      <c r="K234" s="2" t="str">
        <f ca="1">IFERROR(__xludf.DUMMYFUNCTION("""COMPUTED_VALUE"""),"Windows 10")</f>
        <v>Windows 10</v>
      </c>
      <c r="L234" s="2" t="str">
        <f ca="1">IFERROR(__xludf.DUMMYFUNCTION("""COMPUTED_VALUE"""),"3.2kg")</f>
        <v>3.2kg</v>
      </c>
      <c r="M234" s="2">
        <f ca="1">IFERROR(__xludf.DUMMYFUNCTION("""COMPUTED_VALUE"""),1499)</f>
        <v>1499</v>
      </c>
    </row>
    <row r="235" spans="1:13">
      <c r="A235" s="2">
        <f ca="1">IFERROR(__xludf.DUMMYFUNCTION("""COMPUTED_VALUE"""),238)</f>
        <v>238</v>
      </c>
      <c r="B235" s="2" t="str">
        <f ca="1">IFERROR(__xludf.DUMMYFUNCTION("""COMPUTED_VALUE"""),"Dell")</f>
        <v>Dell</v>
      </c>
      <c r="C235" s="2" t="str">
        <f ca="1">IFERROR(__xludf.DUMMYFUNCTION("""COMPUTED_VALUE"""),"Vostro 5468")</f>
        <v>Vostro 5468</v>
      </c>
      <c r="D235" s="2" t="str">
        <f ca="1">IFERROR(__xludf.DUMMYFUNCTION("""COMPUTED_VALUE"""),"Notebook")</f>
        <v>Notebook</v>
      </c>
      <c r="E235" s="2">
        <f ca="1">IFERROR(__xludf.DUMMYFUNCTION("""COMPUTED_VALUE"""),14)</f>
        <v>14</v>
      </c>
      <c r="F235" s="2" t="str">
        <f ca="1">IFERROR(__xludf.DUMMYFUNCTION("""COMPUTED_VALUE"""),"Full HD 1920x1080")</f>
        <v>Full HD 1920x1080</v>
      </c>
      <c r="G235" s="2" t="str">
        <f ca="1">IFERROR(__xludf.DUMMYFUNCTION("""COMPUTED_VALUE"""),"Intel Core i5 7200U 2.5GHz")</f>
        <v>Intel Core i5 7200U 2.5GHz</v>
      </c>
      <c r="H235" s="2" t="str">
        <f ca="1">IFERROR(__xludf.DUMMYFUNCTION("""COMPUTED_VALUE"""),"8GB")</f>
        <v>8GB</v>
      </c>
      <c r="I235" s="2" t="str">
        <f ca="1">IFERROR(__xludf.DUMMYFUNCTION("""COMPUTED_VALUE"""),"256GB SSD")</f>
        <v>256GB SSD</v>
      </c>
      <c r="J235" s="2" t="str">
        <f ca="1">IFERROR(__xludf.DUMMYFUNCTION("""COMPUTED_VALUE"""),"Intel HD Graphics 620")</f>
        <v>Intel HD Graphics 620</v>
      </c>
      <c r="K235" s="2" t="str">
        <f ca="1">IFERROR(__xludf.DUMMYFUNCTION("""COMPUTED_VALUE"""),"Windows 10")</f>
        <v>Windows 10</v>
      </c>
      <c r="L235" s="2" t="str">
        <f ca="1">IFERROR(__xludf.DUMMYFUNCTION("""COMPUTED_VALUE"""),"1.6kg")</f>
        <v>1.6kg</v>
      </c>
      <c r="M235" s="2">
        <f ca="1">IFERROR(__xludf.DUMMYFUNCTION("""COMPUTED_VALUE"""),859)</f>
        <v>859</v>
      </c>
    </row>
    <row r="236" spans="1:13">
      <c r="A236" s="2">
        <f ca="1">IFERROR(__xludf.DUMMYFUNCTION("""COMPUTED_VALUE"""),239)</f>
        <v>239</v>
      </c>
      <c r="B236" s="2" t="str">
        <f ca="1">IFERROR(__xludf.DUMMYFUNCTION("""COMPUTED_VALUE"""),"Acer")</f>
        <v>Acer</v>
      </c>
      <c r="C236" s="2" t="str">
        <f ca="1">IFERROR(__xludf.DUMMYFUNCTION("""COMPUTED_VALUE"""),"Aspire R7")</f>
        <v>Aspire R7</v>
      </c>
      <c r="D236" s="2" t="str">
        <f ca="1">IFERROR(__xludf.DUMMYFUNCTION("""COMPUTED_VALUE"""),"2 in 1 Convertible")</f>
        <v>2 in 1 Convertible</v>
      </c>
      <c r="E236" s="2">
        <f ca="1">IFERROR(__xludf.DUMMYFUNCTION("""COMPUTED_VALUE"""),13.3)</f>
        <v>13.3</v>
      </c>
      <c r="F236" s="2" t="str">
        <f ca="1">IFERROR(__xludf.DUMMYFUNCTION("""COMPUTED_VALUE"""),"IPS Panel Full HD / Touchscreen 1920x1080")</f>
        <v>IPS Panel Full HD / Touchscreen 1920x1080</v>
      </c>
      <c r="G236" s="2" t="str">
        <f ca="1">IFERROR(__xludf.DUMMYFUNCTION("""COMPUTED_VALUE"""),"Intel Core i5 6200U 2.3GHz")</f>
        <v>Intel Core i5 6200U 2.3GHz</v>
      </c>
      <c r="H236" s="2" t="str">
        <f ca="1">IFERROR(__xludf.DUMMYFUNCTION("""COMPUTED_VALUE"""),"8GB")</f>
        <v>8GB</v>
      </c>
      <c r="I236" s="2" t="str">
        <f ca="1">IFERROR(__xludf.DUMMYFUNCTION("""COMPUTED_VALUE"""),"256GB SSD")</f>
        <v>256GB SSD</v>
      </c>
      <c r="J236" s="2" t="str">
        <f ca="1">IFERROR(__xludf.DUMMYFUNCTION("""COMPUTED_VALUE"""),"Intel HD Graphics 520")</f>
        <v>Intel HD Graphics 520</v>
      </c>
      <c r="K236" s="2" t="str">
        <f ca="1">IFERROR(__xludf.DUMMYFUNCTION("""COMPUTED_VALUE"""),"Windows 10")</f>
        <v>Windows 10</v>
      </c>
      <c r="L236" s="2" t="str">
        <f ca="1">IFERROR(__xludf.DUMMYFUNCTION("""COMPUTED_VALUE"""),"1.6kg")</f>
        <v>1.6kg</v>
      </c>
      <c r="M236" s="2">
        <f ca="1">IFERROR(__xludf.DUMMYFUNCTION("""COMPUTED_VALUE"""),689)</f>
        <v>689</v>
      </c>
    </row>
    <row r="237" spans="1:13">
      <c r="A237" s="2">
        <f ca="1">IFERROR(__xludf.DUMMYFUNCTION("""COMPUTED_VALUE"""),240)</f>
        <v>240</v>
      </c>
      <c r="B237" s="2" t="str">
        <f ca="1">IFERROR(__xludf.DUMMYFUNCTION("""COMPUTED_VALUE"""),"Dell")</f>
        <v>Dell</v>
      </c>
      <c r="C237" s="2" t="str">
        <f ca="1">IFERROR(__xludf.DUMMYFUNCTION("""COMPUTED_VALUE"""),"Inspiron 5567")</f>
        <v>Inspiron 5567</v>
      </c>
      <c r="D237" s="2" t="str">
        <f ca="1">IFERROR(__xludf.DUMMYFUNCTION("""COMPUTED_VALUE"""),"Notebook")</f>
        <v>Notebook</v>
      </c>
      <c r="E237" s="2">
        <f ca="1">IFERROR(__xludf.DUMMYFUNCTION("""COMPUTED_VALUE"""),15.6)</f>
        <v>15.6</v>
      </c>
      <c r="F237" s="2" t="str">
        <f ca="1">IFERROR(__xludf.DUMMYFUNCTION("""COMPUTED_VALUE"""),"Full HD 1920x1080")</f>
        <v>Full HD 1920x1080</v>
      </c>
      <c r="G237" s="2" t="str">
        <f ca="1">IFERROR(__xludf.DUMMYFUNCTION("""COMPUTED_VALUE"""),"Intel Core i7 7500U 2.7GHz")</f>
        <v>Intel Core i7 7500U 2.7GHz</v>
      </c>
      <c r="H237" s="2" t="str">
        <f ca="1">IFERROR(__xludf.DUMMYFUNCTION("""COMPUTED_VALUE"""),"16GB")</f>
        <v>16GB</v>
      </c>
      <c r="I237" s="2" t="str">
        <f ca="1">IFERROR(__xludf.DUMMYFUNCTION("""COMPUTED_VALUE"""),"256GB SSD")</f>
        <v>256GB SSD</v>
      </c>
      <c r="J237" s="2" t="str">
        <f ca="1">IFERROR(__xludf.DUMMYFUNCTION("""COMPUTED_VALUE"""),"AMD Radeon R7 M445")</f>
        <v>AMD Radeon R7 M445</v>
      </c>
      <c r="K237" s="2" t="str">
        <f ca="1">IFERROR(__xludf.DUMMYFUNCTION("""COMPUTED_VALUE"""),"Linux")</f>
        <v>Linux</v>
      </c>
      <c r="L237" s="2" t="str">
        <f ca="1">IFERROR(__xludf.DUMMYFUNCTION("""COMPUTED_VALUE"""),"2.36kg")</f>
        <v>2.36kg</v>
      </c>
      <c r="M237" s="2">
        <f ca="1">IFERROR(__xludf.DUMMYFUNCTION("""COMPUTED_VALUE"""),899)</f>
        <v>899</v>
      </c>
    </row>
    <row r="238" spans="1:13">
      <c r="A238" s="2">
        <f ca="1">IFERROR(__xludf.DUMMYFUNCTION("""COMPUTED_VALUE"""),241)</f>
        <v>241</v>
      </c>
      <c r="B238" s="2" t="str">
        <f ca="1">IFERROR(__xludf.DUMMYFUNCTION("""COMPUTED_VALUE"""),"Acer")</f>
        <v>Acer</v>
      </c>
      <c r="C238" s="2" t="str">
        <f ca="1">IFERROR(__xludf.DUMMYFUNCTION("""COMPUTED_VALUE"""),"Aspire A315-51")</f>
        <v>Aspire A315-51</v>
      </c>
      <c r="D238" s="2" t="str">
        <f ca="1">IFERROR(__xludf.DUMMYFUNCTION("""COMPUTED_VALUE"""),"Notebook")</f>
        <v>Notebook</v>
      </c>
      <c r="E238" s="2">
        <f ca="1">IFERROR(__xludf.DUMMYFUNCTION("""COMPUTED_VALUE"""),15.6)</f>
        <v>15.6</v>
      </c>
      <c r="F238" s="2" t="str">
        <f ca="1">IFERROR(__xludf.DUMMYFUNCTION("""COMPUTED_VALUE"""),"1366x768")</f>
        <v>1366x768</v>
      </c>
      <c r="G238" s="2" t="str">
        <f ca="1">IFERROR(__xludf.DUMMYFUNCTION("""COMPUTED_VALUE"""),"Intel Core i3 6006U 2GHz")</f>
        <v>Intel Core i3 6006U 2GHz</v>
      </c>
      <c r="H238" s="2" t="str">
        <f ca="1">IFERROR(__xludf.DUMMYFUNCTION("""COMPUTED_VALUE"""),"4GB")</f>
        <v>4GB</v>
      </c>
      <c r="I238" s="2" t="str">
        <f ca="1">IFERROR(__xludf.DUMMYFUNCTION("""COMPUTED_VALUE"""),"1TB HDD")</f>
        <v>1TB HDD</v>
      </c>
      <c r="J238" s="2" t="str">
        <f ca="1">IFERROR(__xludf.DUMMYFUNCTION("""COMPUTED_VALUE"""),"Intel HD Graphics 520")</f>
        <v>Intel HD Graphics 520</v>
      </c>
      <c r="K238" s="2" t="str">
        <f ca="1">IFERROR(__xludf.DUMMYFUNCTION("""COMPUTED_VALUE"""),"Linux")</f>
        <v>Linux</v>
      </c>
      <c r="L238" s="2" t="str">
        <f ca="1">IFERROR(__xludf.DUMMYFUNCTION("""COMPUTED_VALUE"""),"2.1kg")</f>
        <v>2.1kg</v>
      </c>
      <c r="M238" s="2">
        <f ca="1">IFERROR(__xludf.DUMMYFUNCTION("""COMPUTED_VALUE"""),390)</f>
        <v>390</v>
      </c>
    </row>
    <row r="239" spans="1:13">
      <c r="A239" s="2">
        <f ca="1">IFERROR(__xludf.DUMMYFUNCTION("""COMPUTED_VALUE"""),242)</f>
        <v>242</v>
      </c>
      <c r="B239" s="2" t="str">
        <f ca="1">IFERROR(__xludf.DUMMYFUNCTION("""COMPUTED_VALUE"""),"Asus")</f>
        <v>Asus</v>
      </c>
      <c r="C239" s="2" t="str">
        <f ca="1">IFERROR(__xludf.DUMMYFUNCTION("""COMPUTED_VALUE"""),"X555QG-DM242T (A10-9620P/4GB/1TB")</f>
        <v>X555QG-DM242T (A10-9620P/4GB/1TB</v>
      </c>
      <c r="D239" s="2" t="str">
        <f ca="1">IFERROR(__xludf.DUMMYFUNCTION("""COMPUTED_VALUE"""),"Notebook")</f>
        <v>Notebook</v>
      </c>
      <c r="E239" s="2">
        <f ca="1">IFERROR(__xludf.DUMMYFUNCTION("""COMPUTED_VALUE"""),15.6)</f>
        <v>15.6</v>
      </c>
      <c r="F239" s="2" t="str">
        <f ca="1">IFERROR(__xludf.DUMMYFUNCTION("""COMPUTED_VALUE"""),"Full HD 1920x1080")</f>
        <v>Full HD 1920x1080</v>
      </c>
      <c r="G239" s="2" t="str">
        <f ca="1">IFERROR(__xludf.DUMMYFUNCTION("""COMPUTED_VALUE"""),"AMD A10-Series A10-9620P 2.5GHz")</f>
        <v>AMD A10-Series A10-9620P 2.5GHz</v>
      </c>
      <c r="H239" s="2" t="str">
        <f ca="1">IFERROR(__xludf.DUMMYFUNCTION("""COMPUTED_VALUE"""),"4GB")</f>
        <v>4GB</v>
      </c>
      <c r="I239" s="2" t="str">
        <f ca="1">IFERROR(__xludf.DUMMYFUNCTION("""COMPUTED_VALUE"""),"128GB SSD +  1TB HDD")</f>
        <v>128GB SSD +  1TB HDD</v>
      </c>
      <c r="J239" s="2" t="str">
        <f ca="1">IFERROR(__xludf.DUMMYFUNCTION("""COMPUTED_VALUE"""),"AMD Radeon R5 M430")</f>
        <v>AMD Radeon R5 M430</v>
      </c>
      <c r="K239" s="2" t="str">
        <f ca="1">IFERROR(__xludf.DUMMYFUNCTION("""COMPUTED_VALUE"""),"Windows 10")</f>
        <v>Windows 10</v>
      </c>
      <c r="L239" s="2" t="str">
        <f ca="1">IFERROR(__xludf.DUMMYFUNCTION("""COMPUTED_VALUE"""),"2.2kg")</f>
        <v>2.2kg</v>
      </c>
      <c r="M239" s="2">
        <f ca="1">IFERROR(__xludf.DUMMYFUNCTION("""COMPUTED_VALUE"""),575)</f>
        <v>575</v>
      </c>
    </row>
    <row r="240" spans="1:13">
      <c r="A240" s="2">
        <f ca="1">IFERROR(__xludf.DUMMYFUNCTION("""COMPUTED_VALUE"""),243)</f>
        <v>243</v>
      </c>
      <c r="B240" s="2" t="str">
        <f ca="1">IFERROR(__xludf.DUMMYFUNCTION("""COMPUTED_VALUE"""),"Asus")</f>
        <v>Asus</v>
      </c>
      <c r="C240" s="2" t="str">
        <f ca="1">IFERROR(__xludf.DUMMYFUNCTION("""COMPUTED_VALUE"""),"ROG G703VI-E5062T")</f>
        <v>ROG G703VI-E5062T</v>
      </c>
      <c r="D240" s="2" t="str">
        <f ca="1">IFERROR(__xludf.DUMMYFUNCTION("""COMPUTED_VALUE"""),"Gaming")</f>
        <v>Gaming</v>
      </c>
      <c r="E240" s="2">
        <f ca="1">IFERROR(__xludf.DUMMYFUNCTION("""COMPUTED_VALUE"""),17.3)</f>
        <v>17.3</v>
      </c>
      <c r="F240" s="2" t="str">
        <f ca="1">IFERROR(__xludf.DUMMYFUNCTION("""COMPUTED_VALUE"""),"Full HD 1920x1080")</f>
        <v>Full HD 1920x1080</v>
      </c>
      <c r="G240" s="2" t="str">
        <f ca="1">IFERROR(__xludf.DUMMYFUNCTION("""COMPUTED_VALUE"""),"Intel Core i7 7820HK 2.9GHz")</f>
        <v>Intel Core i7 7820HK 2.9GHz</v>
      </c>
      <c r="H240" s="2" t="str">
        <f ca="1">IFERROR(__xludf.DUMMYFUNCTION("""COMPUTED_VALUE"""),"32GB")</f>
        <v>32GB</v>
      </c>
      <c r="I240" s="2" t="str">
        <f ca="1">IFERROR(__xludf.DUMMYFUNCTION("""COMPUTED_VALUE"""),"512GB SSD +  1TB HDD")</f>
        <v>512GB SSD +  1TB HDD</v>
      </c>
      <c r="J240" s="2" t="str">
        <f ca="1">IFERROR(__xludf.DUMMYFUNCTION("""COMPUTED_VALUE"""),"Nvidia GeForce GTX 1080")</f>
        <v>Nvidia GeForce GTX 1080</v>
      </c>
      <c r="K240" s="2" t="str">
        <f ca="1">IFERROR(__xludf.DUMMYFUNCTION("""COMPUTED_VALUE"""),"Windows 10")</f>
        <v>Windows 10</v>
      </c>
      <c r="L240" s="2" t="str">
        <f ca="1">IFERROR(__xludf.DUMMYFUNCTION("""COMPUTED_VALUE"""),"4.7kg")</f>
        <v>4.7kg</v>
      </c>
      <c r="M240" s="2">
        <f ca="1">IFERROR(__xludf.DUMMYFUNCTION("""COMPUTED_VALUE"""),3890)</f>
        <v>3890</v>
      </c>
    </row>
    <row r="241" spans="1:13">
      <c r="A241" s="2">
        <f ca="1">IFERROR(__xludf.DUMMYFUNCTION("""COMPUTED_VALUE"""),244)</f>
        <v>244</v>
      </c>
      <c r="B241" s="2" t="str">
        <f ca="1">IFERROR(__xludf.DUMMYFUNCTION("""COMPUTED_VALUE"""),"Acer")</f>
        <v>Acer</v>
      </c>
      <c r="C241" s="2" t="str">
        <f ca="1">IFERROR(__xludf.DUMMYFUNCTION("""COMPUTED_VALUE"""),"Nitro AN515-51")</f>
        <v>Nitro AN515-51</v>
      </c>
      <c r="D241" s="2" t="str">
        <f ca="1">IFERROR(__xludf.DUMMYFUNCTION("""COMPUTED_VALUE"""),"Gaming")</f>
        <v>Gaming</v>
      </c>
      <c r="E241" s="2">
        <f ca="1">IFERROR(__xludf.DUMMYFUNCTION("""COMPUTED_VALUE"""),15.6)</f>
        <v>15.6</v>
      </c>
      <c r="F241" s="2" t="str">
        <f ca="1">IFERROR(__xludf.DUMMYFUNCTION("""COMPUTED_VALUE"""),"IPS Panel Full HD 1920x1080")</f>
        <v>IPS Panel Full HD 1920x1080</v>
      </c>
      <c r="G241" s="2" t="str">
        <f ca="1">IFERROR(__xludf.DUMMYFUNCTION("""COMPUTED_VALUE"""),"Intel Core i5 7300HQ 2.5GHz")</f>
        <v>Intel Core i5 7300HQ 2.5GHz</v>
      </c>
      <c r="H241" s="2" t="str">
        <f ca="1">IFERROR(__xludf.DUMMYFUNCTION("""COMPUTED_VALUE"""),"8GB")</f>
        <v>8GB</v>
      </c>
      <c r="I241" s="2" t="str">
        <f ca="1">IFERROR(__xludf.DUMMYFUNCTION("""COMPUTED_VALUE"""),"256GB SSD")</f>
        <v>256GB SSD</v>
      </c>
      <c r="J241" s="2" t="str">
        <f ca="1">IFERROR(__xludf.DUMMYFUNCTION("""COMPUTED_VALUE"""),"Nvidia GeForce GTX 1050")</f>
        <v>Nvidia GeForce GTX 1050</v>
      </c>
      <c r="K241" s="2" t="str">
        <f ca="1">IFERROR(__xludf.DUMMYFUNCTION("""COMPUTED_VALUE"""),"Windows 10")</f>
        <v>Windows 10</v>
      </c>
      <c r="L241" s="2" t="str">
        <f ca="1">IFERROR(__xludf.DUMMYFUNCTION("""COMPUTED_VALUE"""),"2.5kg")</f>
        <v>2.5kg</v>
      </c>
      <c r="M241" s="2">
        <f ca="1">IFERROR(__xludf.DUMMYFUNCTION("""COMPUTED_VALUE"""),846)</f>
        <v>846</v>
      </c>
    </row>
    <row r="242" spans="1:13">
      <c r="A242" s="2">
        <f ca="1">IFERROR(__xludf.DUMMYFUNCTION("""COMPUTED_VALUE"""),245)</f>
        <v>245</v>
      </c>
      <c r="B242" s="2" t="str">
        <f ca="1">IFERROR(__xludf.DUMMYFUNCTION("""COMPUTED_VALUE"""),"Lenovo")</f>
        <v>Lenovo</v>
      </c>
      <c r="C242" s="2" t="str">
        <f ca="1">IFERROR(__xludf.DUMMYFUNCTION("""COMPUTED_VALUE"""),"IdeaPad 320-15ISK")</f>
        <v>IdeaPad 320-15ISK</v>
      </c>
      <c r="D242" s="2" t="str">
        <f ca="1">IFERROR(__xludf.DUMMYFUNCTION("""COMPUTED_VALUE"""),"Notebook")</f>
        <v>Notebook</v>
      </c>
      <c r="E242" s="2">
        <f ca="1">IFERROR(__xludf.DUMMYFUNCTION("""COMPUTED_VALUE"""),15.6)</f>
        <v>15.6</v>
      </c>
      <c r="F242" s="2" t="str">
        <f ca="1">IFERROR(__xludf.DUMMYFUNCTION("""COMPUTED_VALUE"""),"1366x768")</f>
        <v>1366x768</v>
      </c>
      <c r="G242" s="2" t="str">
        <f ca="1">IFERROR(__xludf.DUMMYFUNCTION("""COMPUTED_VALUE"""),"Intel Core i3 6006U 2GHz")</f>
        <v>Intel Core i3 6006U 2GHz</v>
      </c>
      <c r="H242" s="2" t="str">
        <f ca="1">IFERROR(__xludf.DUMMYFUNCTION("""COMPUTED_VALUE"""),"8GB")</f>
        <v>8GB</v>
      </c>
      <c r="I242" s="2" t="str">
        <f ca="1">IFERROR(__xludf.DUMMYFUNCTION("""COMPUTED_VALUE"""),"128GB SSD")</f>
        <v>128GB SSD</v>
      </c>
      <c r="J242" s="2" t="str">
        <f ca="1">IFERROR(__xludf.DUMMYFUNCTION("""COMPUTED_VALUE"""),"Intel HD Graphics 520")</f>
        <v>Intel HD Graphics 520</v>
      </c>
      <c r="K242" s="2" t="str">
        <f ca="1">IFERROR(__xludf.DUMMYFUNCTION("""COMPUTED_VALUE"""),"Windows 10")</f>
        <v>Windows 10</v>
      </c>
      <c r="L242" s="2" t="str">
        <f ca="1">IFERROR(__xludf.DUMMYFUNCTION("""COMPUTED_VALUE"""),"2.2kg")</f>
        <v>2.2kg</v>
      </c>
      <c r="M242" s="2">
        <f ca="1">IFERROR(__xludf.DUMMYFUNCTION("""COMPUTED_VALUE"""),589)</f>
        <v>589</v>
      </c>
    </row>
    <row r="243" spans="1:13">
      <c r="A243" s="2">
        <f ca="1">IFERROR(__xludf.DUMMYFUNCTION("""COMPUTED_VALUE"""),246)</f>
        <v>246</v>
      </c>
      <c r="B243" s="2" t="str">
        <f ca="1">IFERROR(__xludf.DUMMYFUNCTION("""COMPUTED_VALUE"""),"Asus")</f>
        <v>Asus</v>
      </c>
      <c r="C243" s="2" t="str">
        <f ca="1">IFERROR(__xludf.DUMMYFUNCTION("""COMPUTED_VALUE"""),"VivoBook Pro")</f>
        <v>VivoBook Pro</v>
      </c>
      <c r="D243" s="2" t="str">
        <f ca="1">IFERROR(__xludf.DUMMYFUNCTION("""COMPUTED_VALUE"""),"Notebook")</f>
        <v>Notebook</v>
      </c>
      <c r="E243" s="2">
        <f ca="1">IFERROR(__xludf.DUMMYFUNCTION("""COMPUTED_VALUE"""),17.3)</f>
        <v>17.3</v>
      </c>
      <c r="F243" s="2" t="str">
        <f ca="1">IFERROR(__xludf.DUMMYFUNCTION("""COMPUTED_VALUE"""),"Full HD 1920x1080")</f>
        <v>Full HD 1920x1080</v>
      </c>
      <c r="G243" s="2" t="str">
        <f ca="1">IFERROR(__xludf.DUMMYFUNCTION("""COMPUTED_VALUE"""),"Intel Core i7 8550U 1.8GHz")</f>
        <v>Intel Core i7 8550U 1.8GHz</v>
      </c>
      <c r="H243" s="2" t="str">
        <f ca="1">IFERROR(__xludf.DUMMYFUNCTION("""COMPUTED_VALUE"""),"8GB")</f>
        <v>8GB</v>
      </c>
      <c r="I243" s="2" t="str">
        <f ca="1">IFERROR(__xludf.DUMMYFUNCTION("""COMPUTED_VALUE"""),"128GB SSD +  1TB HDD")</f>
        <v>128GB SSD +  1TB HDD</v>
      </c>
      <c r="J243" s="2" t="str">
        <f ca="1">IFERROR(__xludf.DUMMYFUNCTION("""COMPUTED_VALUE"""),"Nvidia GeForce 150MX")</f>
        <v>Nvidia GeForce 150MX</v>
      </c>
      <c r="K243" s="2" t="str">
        <f ca="1">IFERROR(__xludf.DUMMYFUNCTION("""COMPUTED_VALUE"""),"Windows 10")</f>
        <v>Windows 10</v>
      </c>
      <c r="L243" s="2" t="str">
        <f ca="1">IFERROR(__xludf.DUMMYFUNCTION("""COMPUTED_VALUE"""),"2.1kg")</f>
        <v>2.1kg</v>
      </c>
      <c r="M243" s="2">
        <f ca="1">IFERROR(__xludf.DUMMYFUNCTION("""COMPUTED_VALUE"""),1145)</f>
        <v>1145</v>
      </c>
    </row>
    <row r="244" spans="1:13">
      <c r="A244" s="2">
        <f ca="1">IFERROR(__xludf.DUMMYFUNCTION("""COMPUTED_VALUE"""),247)</f>
        <v>247</v>
      </c>
      <c r="B244" s="2" t="str">
        <f ca="1">IFERROR(__xludf.DUMMYFUNCTION("""COMPUTED_VALUE"""),"Asus")</f>
        <v>Asus</v>
      </c>
      <c r="C244" s="2" t="str">
        <f ca="1">IFERROR(__xludf.DUMMYFUNCTION("""COMPUTED_VALUE"""),"F756UX-T4201D (i7-7500U/8GB/128GB")</f>
        <v>F756UX-T4201D (i7-7500U/8GB/128GB</v>
      </c>
      <c r="D244" s="2" t="str">
        <f ca="1">IFERROR(__xludf.DUMMYFUNCTION("""COMPUTED_VALUE"""),"Notebook")</f>
        <v>Notebook</v>
      </c>
      <c r="E244" s="2">
        <f ca="1">IFERROR(__xludf.DUMMYFUNCTION("""COMPUTED_VALUE"""),17.3)</f>
        <v>17.3</v>
      </c>
      <c r="F244" s="2" t="str">
        <f ca="1">IFERROR(__xludf.DUMMYFUNCTION("""COMPUTED_VALUE"""),"Full HD 1920x1080")</f>
        <v>Full HD 1920x1080</v>
      </c>
      <c r="G244" s="2" t="str">
        <f ca="1">IFERROR(__xludf.DUMMYFUNCTION("""COMPUTED_VALUE"""),"Intel Core i7 7500U 2.7GHz")</f>
        <v>Intel Core i7 7500U 2.7GHz</v>
      </c>
      <c r="H244" s="2" t="str">
        <f ca="1">IFERROR(__xludf.DUMMYFUNCTION("""COMPUTED_VALUE"""),"8GB")</f>
        <v>8GB</v>
      </c>
      <c r="I244" s="2" t="str">
        <f ca="1">IFERROR(__xludf.DUMMYFUNCTION("""COMPUTED_VALUE"""),"128GB SSD +  1TB HDD")</f>
        <v>128GB SSD +  1TB HDD</v>
      </c>
      <c r="J244" s="2" t="str">
        <f ca="1">IFERROR(__xludf.DUMMYFUNCTION("""COMPUTED_VALUE"""),"Nvidia GeForce GTX 950M")</f>
        <v>Nvidia GeForce GTX 950M</v>
      </c>
      <c r="K244" s="2" t="str">
        <f ca="1">IFERROR(__xludf.DUMMYFUNCTION("""COMPUTED_VALUE"""),"No OS")</f>
        <v>No OS</v>
      </c>
      <c r="L244" s="2" t="str">
        <f ca="1">IFERROR(__xludf.DUMMYFUNCTION("""COMPUTED_VALUE"""),"2.69kg")</f>
        <v>2.69kg</v>
      </c>
      <c r="M244" s="2">
        <f ca="1">IFERROR(__xludf.DUMMYFUNCTION("""COMPUTED_VALUE"""),889)</f>
        <v>889</v>
      </c>
    </row>
    <row r="245" spans="1:13">
      <c r="A245" s="2">
        <f ca="1">IFERROR(__xludf.DUMMYFUNCTION("""COMPUTED_VALUE"""),248)</f>
        <v>248</v>
      </c>
      <c r="B245" s="2" t="str">
        <f ca="1">IFERROR(__xludf.DUMMYFUNCTION("""COMPUTED_VALUE"""),"Dell")</f>
        <v>Dell</v>
      </c>
      <c r="C245" s="2" t="str">
        <f ca="1">IFERROR(__xludf.DUMMYFUNCTION("""COMPUTED_VALUE"""),"Inspiron 5577")</f>
        <v>Inspiron 5577</v>
      </c>
      <c r="D245" s="2" t="str">
        <f ca="1">IFERROR(__xludf.DUMMYFUNCTION("""COMPUTED_VALUE"""),"Gaming")</f>
        <v>Gaming</v>
      </c>
      <c r="E245" s="2">
        <f ca="1">IFERROR(__xludf.DUMMYFUNCTION("""COMPUTED_VALUE"""),15.6)</f>
        <v>15.6</v>
      </c>
      <c r="F245" s="2" t="str">
        <f ca="1">IFERROR(__xludf.DUMMYFUNCTION("""COMPUTED_VALUE"""),"Full HD 1920x1080")</f>
        <v>Full HD 1920x1080</v>
      </c>
      <c r="G245" s="2" t="str">
        <f ca="1">IFERROR(__xludf.DUMMYFUNCTION("""COMPUTED_VALUE"""),"Intel Core i5 7300HQ 2.5GHz")</f>
        <v>Intel Core i5 7300HQ 2.5GHz</v>
      </c>
      <c r="H245" s="2" t="str">
        <f ca="1">IFERROR(__xludf.DUMMYFUNCTION("""COMPUTED_VALUE"""),"8GB")</f>
        <v>8GB</v>
      </c>
      <c r="I245" s="2" t="str">
        <f ca="1">IFERROR(__xludf.DUMMYFUNCTION("""COMPUTED_VALUE"""),"256GB SSD")</f>
        <v>256GB SSD</v>
      </c>
      <c r="J245" s="2" t="str">
        <f ca="1">IFERROR(__xludf.DUMMYFUNCTION("""COMPUTED_VALUE"""),"Nvidia GeForce GTX 1050")</f>
        <v>Nvidia GeForce GTX 1050</v>
      </c>
      <c r="K245" s="2" t="str">
        <f ca="1">IFERROR(__xludf.DUMMYFUNCTION("""COMPUTED_VALUE"""),"Windows 10")</f>
        <v>Windows 10</v>
      </c>
      <c r="L245" s="2" t="str">
        <f ca="1">IFERROR(__xludf.DUMMYFUNCTION("""COMPUTED_VALUE"""),"2.56kg")</f>
        <v>2.56kg</v>
      </c>
      <c r="M245" s="2">
        <f ca="1">IFERROR(__xludf.DUMMYFUNCTION("""COMPUTED_VALUE"""),879)</f>
        <v>879</v>
      </c>
    </row>
    <row r="246" spans="1:13">
      <c r="A246" s="2">
        <f ca="1">IFERROR(__xludf.DUMMYFUNCTION("""COMPUTED_VALUE"""),249)</f>
        <v>249</v>
      </c>
      <c r="B246" s="2" t="str">
        <f ca="1">IFERROR(__xludf.DUMMYFUNCTION("""COMPUTED_VALUE"""),"Lenovo")</f>
        <v>Lenovo</v>
      </c>
      <c r="C246" s="2" t="str">
        <f ca="1">IFERROR(__xludf.DUMMYFUNCTION("""COMPUTED_VALUE"""),"Yoga 910-13IKB")</f>
        <v>Yoga 910-13IKB</v>
      </c>
      <c r="D246" s="2" t="str">
        <f ca="1">IFERROR(__xludf.DUMMYFUNCTION("""COMPUTED_VALUE"""),"2 in 1 Convertible")</f>
        <v>2 in 1 Convertible</v>
      </c>
      <c r="E246" s="2">
        <f ca="1">IFERROR(__xludf.DUMMYFUNCTION("""COMPUTED_VALUE"""),13.9)</f>
        <v>13.9</v>
      </c>
      <c r="F246" s="2" t="str">
        <f ca="1">IFERROR(__xludf.DUMMYFUNCTION("""COMPUTED_VALUE"""),"IPS Panel Full HD / Touchscreen 1920x1080")</f>
        <v>IPS Panel Full HD / Touchscreen 1920x1080</v>
      </c>
      <c r="G246" s="2" t="str">
        <f ca="1">IFERROR(__xludf.DUMMYFUNCTION("""COMPUTED_VALUE"""),"Intel Core i7 7500U 2.7GHz")</f>
        <v>Intel Core i7 7500U 2.7GHz</v>
      </c>
      <c r="H246" s="2" t="str">
        <f ca="1">IFERROR(__xludf.DUMMYFUNCTION("""COMPUTED_VALUE"""),"8GB")</f>
        <v>8GB</v>
      </c>
      <c r="I246" s="2" t="str">
        <f ca="1">IFERROR(__xludf.DUMMYFUNCTION("""COMPUTED_VALUE"""),"256GB SSD")</f>
        <v>256GB SSD</v>
      </c>
      <c r="J246" s="2" t="str">
        <f ca="1">IFERROR(__xludf.DUMMYFUNCTION("""COMPUTED_VALUE"""),"Intel HD Graphics 620")</f>
        <v>Intel HD Graphics 620</v>
      </c>
      <c r="K246" s="2" t="str">
        <f ca="1">IFERROR(__xludf.DUMMYFUNCTION("""COMPUTED_VALUE"""),"Windows 10")</f>
        <v>Windows 10</v>
      </c>
      <c r="L246" s="2" t="str">
        <f ca="1">IFERROR(__xludf.DUMMYFUNCTION("""COMPUTED_VALUE"""),"1.38kg")</f>
        <v>1.38kg</v>
      </c>
      <c r="M246" s="2">
        <f ca="1">IFERROR(__xludf.DUMMYFUNCTION("""COMPUTED_VALUE"""),1079)</f>
        <v>1079</v>
      </c>
    </row>
    <row r="247" spans="1:13">
      <c r="A247" s="2">
        <f ca="1">IFERROR(__xludf.DUMMYFUNCTION("""COMPUTED_VALUE"""),250)</f>
        <v>250</v>
      </c>
      <c r="B247" s="2" t="str">
        <f ca="1">IFERROR(__xludf.DUMMYFUNCTION("""COMPUTED_VALUE"""),"Dell")</f>
        <v>Dell</v>
      </c>
      <c r="C247" s="2" t="str">
        <f ca="1">IFERROR(__xludf.DUMMYFUNCTION("""COMPUTED_VALUE"""),"Inspiron 5570")</f>
        <v>Inspiron 5570</v>
      </c>
      <c r="D247" s="2" t="str">
        <f ca="1">IFERROR(__xludf.DUMMYFUNCTION("""COMPUTED_VALUE"""),"Notebook")</f>
        <v>Notebook</v>
      </c>
      <c r="E247" s="2">
        <f ca="1">IFERROR(__xludf.DUMMYFUNCTION("""COMPUTED_VALUE"""),15.6)</f>
        <v>15.6</v>
      </c>
      <c r="F247" s="2" t="str">
        <f ca="1">IFERROR(__xludf.DUMMYFUNCTION("""COMPUTED_VALUE"""),"Full HD 1920x1080")</f>
        <v>Full HD 1920x1080</v>
      </c>
      <c r="G247" s="2" t="str">
        <f ca="1">IFERROR(__xludf.DUMMYFUNCTION("""COMPUTED_VALUE"""),"Intel Core i7 8550U 1.8GHz")</f>
        <v>Intel Core i7 8550U 1.8GHz</v>
      </c>
      <c r="H247" s="2" t="str">
        <f ca="1">IFERROR(__xludf.DUMMYFUNCTION("""COMPUTED_VALUE"""),"8GB")</f>
        <v>8GB</v>
      </c>
      <c r="I247" s="2" t="str">
        <f ca="1">IFERROR(__xludf.DUMMYFUNCTION("""COMPUTED_VALUE"""),"128GB SSD +  2TB HDD")</f>
        <v>128GB SSD +  2TB HDD</v>
      </c>
      <c r="J247" s="2" t="str">
        <f ca="1">IFERROR(__xludf.DUMMYFUNCTION("""COMPUTED_VALUE"""),"AMD Radeon 530")</f>
        <v>AMD Radeon 530</v>
      </c>
      <c r="K247" s="2" t="str">
        <f ca="1">IFERROR(__xludf.DUMMYFUNCTION("""COMPUTED_VALUE"""),"Windows 10")</f>
        <v>Windows 10</v>
      </c>
      <c r="L247" s="2" t="str">
        <f ca="1">IFERROR(__xludf.DUMMYFUNCTION("""COMPUTED_VALUE"""),"2.2kg")</f>
        <v>2.2kg</v>
      </c>
      <c r="M247" s="2">
        <f ca="1">IFERROR(__xludf.DUMMYFUNCTION("""COMPUTED_VALUE"""),985)</f>
        <v>985</v>
      </c>
    </row>
    <row r="248" spans="1:13">
      <c r="A248" s="2">
        <f ca="1">IFERROR(__xludf.DUMMYFUNCTION("""COMPUTED_VALUE"""),251)</f>
        <v>251</v>
      </c>
      <c r="B248" s="2" t="str">
        <f ca="1">IFERROR(__xludf.DUMMYFUNCTION("""COMPUTED_VALUE"""),"HP")</f>
        <v>HP</v>
      </c>
      <c r="C248" s="2" t="str">
        <f ca="1">IFERROR(__xludf.DUMMYFUNCTION("""COMPUTED_VALUE"""),"15-bs015dx (i5-7200U/8GB/1TB/W10)")</f>
        <v>15-bs015dx (i5-7200U/8GB/1TB/W10)</v>
      </c>
      <c r="D248" s="2" t="str">
        <f ca="1">IFERROR(__xludf.DUMMYFUNCTION("""COMPUTED_VALUE"""),"Notebook")</f>
        <v>Notebook</v>
      </c>
      <c r="E248" s="2">
        <f ca="1">IFERROR(__xludf.DUMMYFUNCTION("""COMPUTED_VALUE"""),15.6)</f>
        <v>15.6</v>
      </c>
      <c r="F248" s="2" t="str">
        <f ca="1">IFERROR(__xludf.DUMMYFUNCTION("""COMPUTED_VALUE"""),"Touchscreen 1366x768")</f>
        <v>Touchscreen 1366x768</v>
      </c>
      <c r="G248" s="2" t="str">
        <f ca="1">IFERROR(__xludf.DUMMYFUNCTION("""COMPUTED_VALUE"""),"Intel Core i5 7200U 2.5GHz")</f>
        <v>Intel Core i5 7200U 2.5GHz</v>
      </c>
      <c r="H248" s="2" t="str">
        <f ca="1">IFERROR(__xludf.DUMMYFUNCTION("""COMPUTED_VALUE"""),"8GB")</f>
        <v>8GB</v>
      </c>
      <c r="I248" s="2" t="str">
        <f ca="1">IFERROR(__xludf.DUMMYFUNCTION("""COMPUTED_VALUE"""),"1TB HDD")</f>
        <v>1TB HDD</v>
      </c>
      <c r="J248" s="2" t="str">
        <f ca="1">IFERROR(__xludf.DUMMYFUNCTION("""COMPUTED_VALUE"""),"Intel HD Graphics 620")</f>
        <v>Intel HD Graphics 620</v>
      </c>
      <c r="K248" s="2" t="str">
        <f ca="1">IFERROR(__xludf.DUMMYFUNCTION("""COMPUTED_VALUE"""),"Windows 10")</f>
        <v>Windows 10</v>
      </c>
      <c r="L248" s="2" t="str">
        <f ca="1">IFERROR(__xludf.DUMMYFUNCTION("""COMPUTED_VALUE"""),"2.04kg")</f>
        <v>2.04kg</v>
      </c>
      <c r="M248" s="2">
        <f ca="1">IFERROR(__xludf.DUMMYFUNCTION("""COMPUTED_VALUE"""),559)</f>
        <v>559</v>
      </c>
    </row>
    <row r="249" spans="1:13">
      <c r="A249" s="2">
        <f ca="1">IFERROR(__xludf.DUMMYFUNCTION("""COMPUTED_VALUE"""),252)</f>
        <v>252</v>
      </c>
      <c r="B249" s="2" t="str">
        <f ca="1">IFERROR(__xludf.DUMMYFUNCTION("""COMPUTED_VALUE"""),"Asus")</f>
        <v>Asus</v>
      </c>
      <c r="C249" s="2" t="str">
        <f ca="1">IFERROR(__xludf.DUMMYFUNCTION("""COMPUTED_VALUE"""),"Rog G701VIK-BA060T")</f>
        <v>Rog G701VIK-BA060T</v>
      </c>
      <c r="D249" s="2" t="str">
        <f ca="1">IFERROR(__xludf.DUMMYFUNCTION("""COMPUTED_VALUE"""),"Gaming")</f>
        <v>Gaming</v>
      </c>
      <c r="E249" s="2">
        <f ca="1">IFERROR(__xludf.DUMMYFUNCTION("""COMPUTED_VALUE"""),17.3)</f>
        <v>17.3</v>
      </c>
      <c r="F249" s="2" t="str">
        <f ca="1">IFERROR(__xludf.DUMMYFUNCTION("""COMPUTED_VALUE"""),"Full HD 1920x1080")</f>
        <v>Full HD 1920x1080</v>
      </c>
      <c r="G249" s="2" t="str">
        <f ca="1">IFERROR(__xludf.DUMMYFUNCTION("""COMPUTED_VALUE"""),"Intel Core i7 7820HK 2.9GHz")</f>
        <v>Intel Core i7 7820HK 2.9GHz</v>
      </c>
      <c r="H249" s="2" t="str">
        <f ca="1">IFERROR(__xludf.DUMMYFUNCTION("""COMPUTED_VALUE"""),"16GB")</f>
        <v>16GB</v>
      </c>
      <c r="I249" s="2" t="str">
        <f ca="1">IFERROR(__xludf.DUMMYFUNCTION("""COMPUTED_VALUE"""),"256GB SSD")</f>
        <v>256GB SSD</v>
      </c>
      <c r="J249" s="2" t="str">
        <f ca="1">IFERROR(__xludf.DUMMYFUNCTION("""COMPUTED_VALUE"""),"Nvidia GeForce GTX 1080")</f>
        <v>Nvidia GeForce GTX 1080</v>
      </c>
      <c r="K249" s="2" t="str">
        <f ca="1">IFERROR(__xludf.DUMMYFUNCTION("""COMPUTED_VALUE"""),"Windows 10")</f>
        <v>Windows 10</v>
      </c>
      <c r="L249" s="2" t="str">
        <f ca="1">IFERROR(__xludf.DUMMYFUNCTION("""COMPUTED_VALUE"""),"3.6kg")</f>
        <v>3.6kg</v>
      </c>
      <c r="M249" s="2">
        <f ca="1">IFERROR(__xludf.DUMMYFUNCTION("""COMPUTED_VALUE"""),2999)</f>
        <v>2999</v>
      </c>
    </row>
    <row r="250" spans="1:13">
      <c r="A250" s="2">
        <f ca="1">IFERROR(__xludf.DUMMYFUNCTION("""COMPUTED_VALUE"""),253)</f>
        <v>253</v>
      </c>
      <c r="B250" s="2" t="str">
        <f ca="1">IFERROR(__xludf.DUMMYFUNCTION("""COMPUTED_VALUE"""),"HP")</f>
        <v>HP</v>
      </c>
      <c r="C250" s="2" t="str">
        <f ca="1">IFERROR(__xludf.DUMMYFUNCTION("""COMPUTED_VALUE"""),"ProBook 430")</f>
        <v>ProBook 430</v>
      </c>
      <c r="D250" s="2" t="str">
        <f ca="1">IFERROR(__xludf.DUMMYFUNCTION("""COMPUTED_VALUE"""),"Notebook")</f>
        <v>Notebook</v>
      </c>
      <c r="E250" s="2">
        <f ca="1">IFERROR(__xludf.DUMMYFUNCTION("""COMPUTED_VALUE"""),13.3)</f>
        <v>13.3</v>
      </c>
      <c r="F250" s="2" t="str">
        <f ca="1">IFERROR(__xludf.DUMMYFUNCTION("""COMPUTED_VALUE"""),"IPS Panel Full HD 1920x1080")</f>
        <v>IPS Panel Full HD 1920x1080</v>
      </c>
      <c r="G250" s="2" t="str">
        <f ca="1">IFERROR(__xludf.DUMMYFUNCTION("""COMPUTED_VALUE"""),"Intel Core i5 8250U 1.6GHz")</f>
        <v>Intel Core i5 8250U 1.6GHz</v>
      </c>
      <c r="H250" s="2" t="str">
        <f ca="1">IFERROR(__xludf.DUMMYFUNCTION("""COMPUTED_VALUE"""),"4GB")</f>
        <v>4GB</v>
      </c>
      <c r="I250" s="2" t="str">
        <f ca="1">IFERROR(__xludf.DUMMYFUNCTION("""COMPUTED_VALUE"""),"500GB HDD")</f>
        <v>500GB HDD</v>
      </c>
      <c r="J250" s="2" t="str">
        <f ca="1">IFERROR(__xludf.DUMMYFUNCTION("""COMPUTED_VALUE"""),"Intel UHD Graphics 620")</f>
        <v>Intel UHD Graphics 620</v>
      </c>
      <c r="K250" s="2" t="str">
        <f ca="1">IFERROR(__xludf.DUMMYFUNCTION("""COMPUTED_VALUE"""),"Windows 10")</f>
        <v>Windows 10</v>
      </c>
      <c r="L250" s="2" t="str">
        <f ca="1">IFERROR(__xludf.DUMMYFUNCTION("""COMPUTED_VALUE"""),"1.49kg")</f>
        <v>1.49kg</v>
      </c>
      <c r="M250" s="2">
        <f ca="1">IFERROR(__xludf.DUMMYFUNCTION("""COMPUTED_VALUE"""),675)</f>
        <v>675</v>
      </c>
    </row>
    <row r="251" spans="1:13">
      <c r="A251" s="2">
        <f ca="1">IFERROR(__xludf.DUMMYFUNCTION("""COMPUTED_VALUE"""),254)</f>
        <v>254</v>
      </c>
      <c r="B251" s="2" t="str">
        <f ca="1">IFERROR(__xludf.DUMMYFUNCTION("""COMPUTED_VALUE"""),"Apple")</f>
        <v>Apple</v>
      </c>
      <c r="C251" s="2" t="str">
        <f ca="1">IFERROR(__xludf.DUMMYFUNCTION("""COMPUTED_VALUE"""),"MacBook Pro")</f>
        <v>MacBook Pro</v>
      </c>
      <c r="D251" s="2" t="str">
        <f ca="1">IFERROR(__xludf.DUMMYFUNCTION("""COMPUTED_VALUE"""),"Ultrabook")</f>
        <v>Ultrabook</v>
      </c>
      <c r="E251" s="2">
        <f ca="1">IFERROR(__xludf.DUMMYFUNCTION("""COMPUTED_VALUE"""),13.3)</f>
        <v>13.3</v>
      </c>
      <c r="F251" s="2" t="str">
        <f ca="1">IFERROR(__xludf.DUMMYFUNCTION("""COMPUTED_VALUE"""),"IPS Panel Retina Display 2560x1600")</f>
        <v>IPS Panel Retina Display 2560x1600</v>
      </c>
      <c r="G251" s="2" t="str">
        <f ca="1">IFERROR(__xludf.DUMMYFUNCTION("""COMPUTED_VALUE"""),"Intel Core i5 3.1GHz")</f>
        <v>Intel Core i5 3.1GHz</v>
      </c>
      <c r="H251" s="2" t="str">
        <f ca="1">IFERROR(__xludf.DUMMYFUNCTION("""COMPUTED_VALUE"""),"8GB")</f>
        <v>8GB</v>
      </c>
      <c r="I251" s="2" t="str">
        <f ca="1">IFERROR(__xludf.DUMMYFUNCTION("""COMPUTED_VALUE"""),"512GB SSD")</f>
        <v>512GB SSD</v>
      </c>
      <c r="J251" s="2" t="str">
        <f ca="1">IFERROR(__xludf.DUMMYFUNCTION("""COMPUTED_VALUE"""),"Intel Iris Plus Graphics 650")</f>
        <v>Intel Iris Plus Graphics 650</v>
      </c>
      <c r="K251" s="2" t="str">
        <f ca="1">IFERROR(__xludf.DUMMYFUNCTION("""COMPUTED_VALUE"""),"macOS")</f>
        <v>macOS</v>
      </c>
      <c r="L251" s="2" t="str">
        <f ca="1">IFERROR(__xludf.DUMMYFUNCTION("""COMPUTED_VALUE"""),"1.37kg")</f>
        <v>1.37kg</v>
      </c>
      <c r="M251" s="2">
        <f ca="1">IFERROR(__xludf.DUMMYFUNCTION("""COMPUTED_VALUE"""),2040)</f>
        <v>2040</v>
      </c>
    </row>
    <row r="252" spans="1:13">
      <c r="A252" s="2">
        <f ca="1">IFERROR(__xludf.DUMMYFUNCTION("""COMPUTED_VALUE"""),255)</f>
        <v>255</v>
      </c>
      <c r="B252" s="2" t="str">
        <f ca="1">IFERROR(__xludf.DUMMYFUNCTION("""COMPUTED_VALUE"""),"Dell")</f>
        <v>Dell</v>
      </c>
      <c r="C252" s="2" t="str">
        <f ca="1">IFERROR(__xludf.DUMMYFUNCTION("""COMPUTED_VALUE"""),"Inspiron 5579")</f>
        <v>Inspiron 5579</v>
      </c>
      <c r="D252" s="2" t="str">
        <f ca="1">IFERROR(__xludf.DUMMYFUNCTION("""COMPUTED_VALUE"""),"2 in 1 Convertible")</f>
        <v>2 in 1 Convertible</v>
      </c>
      <c r="E252" s="2">
        <f ca="1">IFERROR(__xludf.DUMMYFUNCTION("""COMPUTED_VALUE"""),15.6)</f>
        <v>15.6</v>
      </c>
      <c r="F252" s="2" t="str">
        <f ca="1">IFERROR(__xludf.DUMMYFUNCTION("""COMPUTED_VALUE"""),"IPS Panel Full HD / Touchscreen 1920x1080")</f>
        <v>IPS Panel Full HD / Touchscreen 1920x1080</v>
      </c>
      <c r="G252" s="2" t="str">
        <f ca="1">IFERROR(__xludf.DUMMYFUNCTION("""COMPUTED_VALUE"""),"Intel Core i7 8550U 1.8GHz")</f>
        <v>Intel Core i7 8550U 1.8GHz</v>
      </c>
      <c r="H252" s="2" t="str">
        <f ca="1">IFERROR(__xludf.DUMMYFUNCTION("""COMPUTED_VALUE"""),"8GB")</f>
        <v>8GB</v>
      </c>
      <c r="I252" s="2" t="str">
        <f ca="1">IFERROR(__xludf.DUMMYFUNCTION("""COMPUTED_VALUE"""),"1TB HDD")</f>
        <v>1TB HDD</v>
      </c>
      <c r="J252" s="2" t="str">
        <f ca="1">IFERROR(__xludf.DUMMYFUNCTION("""COMPUTED_VALUE"""),"Intel UHD Graphics 620")</f>
        <v>Intel UHD Graphics 620</v>
      </c>
      <c r="K252" s="2" t="str">
        <f ca="1">IFERROR(__xludf.DUMMYFUNCTION("""COMPUTED_VALUE"""),"Windows 10")</f>
        <v>Windows 10</v>
      </c>
      <c r="L252" s="2" t="str">
        <f ca="1">IFERROR(__xludf.DUMMYFUNCTION("""COMPUTED_VALUE"""),"2.08kg")</f>
        <v>2.08kg</v>
      </c>
      <c r="M252" s="2">
        <f ca="1">IFERROR(__xludf.DUMMYFUNCTION("""COMPUTED_VALUE"""),819)</f>
        <v>819</v>
      </c>
    </row>
    <row r="253" spans="1:13">
      <c r="A253" s="2">
        <f ca="1">IFERROR(__xludf.DUMMYFUNCTION("""COMPUTED_VALUE"""),256)</f>
        <v>256</v>
      </c>
      <c r="B253" s="2" t="str">
        <f ca="1">IFERROR(__xludf.DUMMYFUNCTION("""COMPUTED_VALUE"""),"Asus")</f>
        <v>Asus</v>
      </c>
      <c r="C253" s="2" t="str">
        <f ca="1">IFERROR(__xludf.DUMMYFUNCTION("""COMPUTED_VALUE"""),"ROG G752VSK-GC493T")</f>
        <v>ROG G752VSK-GC493T</v>
      </c>
      <c r="D253" s="2" t="str">
        <f ca="1">IFERROR(__xludf.DUMMYFUNCTION("""COMPUTED_VALUE"""),"Gaming")</f>
        <v>Gaming</v>
      </c>
      <c r="E253" s="2">
        <f ca="1">IFERROR(__xludf.DUMMYFUNCTION("""COMPUTED_VALUE"""),17.3)</f>
        <v>17.3</v>
      </c>
      <c r="F253" s="2" t="str">
        <f ca="1">IFERROR(__xludf.DUMMYFUNCTION("""COMPUTED_VALUE"""),"Full HD 1920x1080")</f>
        <v>Full HD 1920x1080</v>
      </c>
      <c r="G253" s="2" t="str">
        <f ca="1">IFERROR(__xludf.DUMMYFUNCTION("""COMPUTED_VALUE"""),"Intel Core i7 7700HQ 2.8GHz")</f>
        <v>Intel Core i7 7700HQ 2.8GHz</v>
      </c>
      <c r="H253" s="2" t="str">
        <f ca="1">IFERROR(__xludf.DUMMYFUNCTION("""COMPUTED_VALUE"""),"16GB")</f>
        <v>16GB</v>
      </c>
      <c r="I253" s="2" t="str">
        <f ca="1">IFERROR(__xludf.DUMMYFUNCTION("""COMPUTED_VALUE"""),"256GB SSD +  1TB HDD")</f>
        <v>256GB SSD +  1TB HDD</v>
      </c>
      <c r="J253" s="2" t="str">
        <f ca="1">IFERROR(__xludf.DUMMYFUNCTION("""COMPUTED_VALUE"""),"Nvidia GeForce GTX 980M")</f>
        <v>Nvidia GeForce GTX 980M</v>
      </c>
      <c r="K253" s="2" t="str">
        <f ca="1">IFERROR(__xludf.DUMMYFUNCTION("""COMPUTED_VALUE"""),"Windows 10")</f>
        <v>Windows 10</v>
      </c>
      <c r="L253" s="2" t="str">
        <f ca="1">IFERROR(__xludf.DUMMYFUNCTION("""COMPUTED_VALUE"""),"4.3kg")</f>
        <v>4.3kg</v>
      </c>
      <c r="M253" s="2">
        <f ca="1">IFERROR(__xludf.DUMMYFUNCTION("""COMPUTED_VALUE"""),1799)</f>
        <v>1799</v>
      </c>
    </row>
    <row r="254" spans="1:13">
      <c r="A254" s="2">
        <f ca="1">IFERROR(__xludf.DUMMYFUNCTION("""COMPUTED_VALUE"""),257)</f>
        <v>257</v>
      </c>
      <c r="B254" s="2" t="str">
        <f ca="1">IFERROR(__xludf.DUMMYFUNCTION("""COMPUTED_VALUE"""),"Asus")</f>
        <v>Asus</v>
      </c>
      <c r="C254" s="2" t="str">
        <f ca="1">IFERROR(__xludf.DUMMYFUNCTION("""COMPUTED_VALUE"""),"X505BP-BR019T (A9-9420/4GB/1TB/Radeon")</f>
        <v>X505BP-BR019T (A9-9420/4GB/1TB/Radeon</v>
      </c>
      <c r="D254" s="2" t="str">
        <f ca="1">IFERROR(__xludf.DUMMYFUNCTION("""COMPUTED_VALUE"""),"Notebook")</f>
        <v>Notebook</v>
      </c>
      <c r="E254" s="2">
        <f ca="1">IFERROR(__xludf.DUMMYFUNCTION("""COMPUTED_VALUE"""),15.6)</f>
        <v>15.6</v>
      </c>
      <c r="F254" s="2" t="str">
        <f ca="1">IFERROR(__xludf.DUMMYFUNCTION("""COMPUTED_VALUE"""),"1366x768")</f>
        <v>1366x768</v>
      </c>
      <c r="G254" s="2" t="str">
        <f ca="1">IFERROR(__xludf.DUMMYFUNCTION("""COMPUTED_VALUE"""),"AMD A9-Series 9420 3GHz")</f>
        <v>AMD A9-Series 9420 3GHz</v>
      </c>
      <c r="H254" s="2" t="str">
        <f ca="1">IFERROR(__xludf.DUMMYFUNCTION("""COMPUTED_VALUE"""),"4GB")</f>
        <v>4GB</v>
      </c>
      <c r="I254" s="2" t="str">
        <f ca="1">IFERROR(__xludf.DUMMYFUNCTION("""COMPUTED_VALUE"""),"1TB HDD")</f>
        <v>1TB HDD</v>
      </c>
      <c r="J254" s="2" t="str">
        <f ca="1">IFERROR(__xludf.DUMMYFUNCTION("""COMPUTED_VALUE"""),"AMD Radeon R5 M420")</f>
        <v>AMD Radeon R5 M420</v>
      </c>
      <c r="K254" s="2" t="str">
        <f ca="1">IFERROR(__xludf.DUMMYFUNCTION("""COMPUTED_VALUE"""),"Windows 10")</f>
        <v>Windows 10</v>
      </c>
      <c r="L254" s="2" t="str">
        <f ca="1">IFERROR(__xludf.DUMMYFUNCTION("""COMPUTED_VALUE"""),"1.68kg")</f>
        <v>1.68kg</v>
      </c>
      <c r="M254" s="2">
        <f ca="1">IFERROR(__xludf.DUMMYFUNCTION("""COMPUTED_VALUE"""),469)</f>
        <v>469</v>
      </c>
    </row>
    <row r="255" spans="1:13">
      <c r="A255" s="2">
        <f ca="1">IFERROR(__xludf.DUMMYFUNCTION("""COMPUTED_VALUE"""),258)</f>
        <v>258</v>
      </c>
      <c r="B255" s="2" t="str">
        <f ca="1">IFERROR(__xludf.DUMMYFUNCTION("""COMPUTED_VALUE"""),"Lenovo")</f>
        <v>Lenovo</v>
      </c>
      <c r="C255" s="2" t="str">
        <f ca="1">IFERROR(__xludf.DUMMYFUNCTION("""COMPUTED_VALUE"""),"Yoga 920-13IKB")</f>
        <v>Yoga 920-13IKB</v>
      </c>
      <c r="D255" s="2" t="str">
        <f ca="1">IFERROR(__xludf.DUMMYFUNCTION("""COMPUTED_VALUE"""),"2 in 1 Convertible")</f>
        <v>2 in 1 Convertible</v>
      </c>
      <c r="E255" s="2">
        <f ca="1">IFERROR(__xludf.DUMMYFUNCTION("""COMPUTED_VALUE"""),13.9)</f>
        <v>13.9</v>
      </c>
      <c r="F255" s="2" t="str">
        <f ca="1">IFERROR(__xludf.DUMMYFUNCTION("""COMPUTED_VALUE"""),"IPS Panel Full HD / Touchscreen 1920x1080")</f>
        <v>IPS Panel Full HD / Touchscreen 1920x1080</v>
      </c>
      <c r="G255" s="2" t="str">
        <f ca="1">IFERROR(__xludf.DUMMYFUNCTION("""COMPUTED_VALUE"""),"Intel Core i7 8550U 1.8GHz")</f>
        <v>Intel Core i7 8550U 1.8GHz</v>
      </c>
      <c r="H255" s="2" t="str">
        <f ca="1">IFERROR(__xludf.DUMMYFUNCTION("""COMPUTED_VALUE"""),"8GB")</f>
        <v>8GB</v>
      </c>
      <c r="I255" s="2" t="str">
        <f ca="1">IFERROR(__xludf.DUMMYFUNCTION("""COMPUTED_VALUE"""),"512GB SSD")</f>
        <v>512GB SSD</v>
      </c>
      <c r="J255" s="2" t="str">
        <f ca="1">IFERROR(__xludf.DUMMYFUNCTION("""COMPUTED_VALUE"""),"Intel UHD Graphics 620")</f>
        <v>Intel UHD Graphics 620</v>
      </c>
      <c r="K255" s="2" t="str">
        <f ca="1">IFERROR(__xludf.DUMMYFUNCTION("""COMPUTED_VALUE"""),"Windows 10")</f>
        <v>Windows 10</v>
      </c>
      <c r="L255" s="2" t="str">
        <f ca="1">IFERROR(__xludf.DUMMYFUNCTION("""COMPUTED_VALUE"""),"1.37kg")</f>
        <v>1.37kg</v>
      </c>
      <c r="M255" s="2">
        <f ca="1">IFERROR(__xludf.DUMMYFUNCTION("""COMPUTED_VALUE"""),1849)</f>
        <v>1849</v>
      </c>
    </row>
    <row r="256" spans="1:13">
      <c r="A256" s="2">
        <f ca="1">IFERROR(__xludf.DUMMYFUNCTION("""COMPUTED_VALUE"""),259)</f>
        <v>259</v>
      </c>
      <c r="B256" s="2" t="str">
        <f ca="1">IFERROR(__xludf.DUMMYFUNCTION("""COMPUTED_VALUE"""),"Acer")</f>
        <v>Acer</v>
      </c>
      <c r="C256" s="2" t="str">
        <f ca="1">IFERROR(__xludf.DUMMYFUNCTION("""COMPUTED_VALUE"""),"Aspire 5")</f>
        <v>Aspire 5</v>
      </c>
      <c r="D256" s="2" t="str">
        <f ca="1">IFERROR(__xludf.DUMMYFUNCTION("""COMPUTED_VALUE"""),"Notebook")</f>
        <v>Notebook</v>
      </c>
      <c r="E256" s="2">
        <f ca="1">IFERROR(__xludf.DUMMYFUNCTION("""COMPUTED_VALUE"""),17.3)</f>
        <v>17.3</v>
      </c>
      <c r="F256" s="2" t="str">
        <f ca="1">IFERROR(__xludf.DUMMYFUNCTION("""COMPUTED_VALUE"""),"IPS Panel Full HD 1920x1080")</f>
        <v>IPS Panel Full HD 1920x1080</v>
      </c>
      <c r="G256" s="2" t="str">
        <f ca="1">IFERROR(__xludf.DUMMYFUNCTION("""COMPUTED_VALUE"""),"Intel Core i3 7130U 2.7GHz")</f>
        <v>Intel Core i3 7130U 2.7GHz</v>
      </c>
      <c r="H256" s="2" t="str">
        <f ca="1">IFERROR(__xludf.DUMMYFUNCTION("""COMPUTED_VALUE"""),"4GB")</f>
        <v>4GB</v>
      </c>
      <c r="I256" s="2" t="str">
        <f ca="1">IFERROR(__xludf.DUMMYFUNCTION("""COMPUTED_VALUE"""),"256GB SSD")</f>
        <v>256GB SSD</v>
      </c>
      <c r="J256" s="2" t="str">
        <f ca="1">IFERROR(__xludf.DUMMYFUNCTION("""COMPUTED_VALUE"""),"Nvidia GeForce MX130")</f>
        <v>Nvidia GeForce MX130</v>
      </c>
      <c r="K256" s="2" t="str">
        <f ca="1">IFERROR(__xludf.DUMMYFUNCTION("""COMPUTED_VALUE"""),"Windows 10")</f>
        <v>Windows 10</v>
      </c>
      <c r="L256" s="2" t="str">
        <f ca="1">IFERROR(__xludf.DUMMYFUNCTION("""COMPUTED_VALUE"""),"3kg")</f>
        <v>3kg</v>
      </c>
      <c r="M256" s="2">
        <f ca="1">IFERROR(__xludf.DUMMYFUNCTION("""COMPUTED_VALUE"""),702)</f>
        <v>702</v>
      </c>
    </row>
    <row r="257" spans="1:13">
      <c r="A257" s="2">
        <f ca="1">IFERROR(__xludf.DUMMYFUNCTION("""COMPUTED_VALUE"""),260)</f>
        <v>260</v>
      </c>
      <c r="B257" s="2" t="str">
        <f ca="1">IFERROR(__xludf.DUMMYFUNCTION("""COMPUTED_VALUE"""),"Dell")</f>
        <v>Dell</v>
      </c>
      <c r="C257" s="2" t="str">
        <f ca="1">IFERROR(__xludf.DUMMYFUNCTION("""COMPUTED_VALUE"""),"Vostro 5370")</f>
        <v>Vostro 5370</v>
      </c>
      <c r="D257" s="2" t="str">
        <f ca="1">IFERROR(__xludf.DUMMYFUNCTION("""COMPUTED_VALUE"""),"Ultrabook")</f>
        <v>Ultrabook</v>
      </c>
      <c r="E257" s="2">
        <f ca="1">IFERROR(__xludf.DUMMYFUNCTION("""COMPUTED_VALUE"""),13.3)</f>
        <v>13.3</v>
      </c>
      <c r="F257" s="2" t="str">
        <f ca="1">IFERROR(__xludf.DUMMYFUNCTION("""COMPUTED_VALUE"""),"Full HD 1920x1080")</f>
        <v>Full HD 1920x1080</v>
      </c>
      <c r="G257" s="2" t="str">
        <f ca="1">IFERROR(__xludf.DUMMYFUNCTION("""COMPUTED_VALUE"""),"Intel Core i5 8250U 1.6GHz")</f>
        <v>Intel Core i5 8250U 1.6GHz</v>
      </c>
      <c r="H257" s="2" t="str">
        <f ca="1">IFERROR(__xludf.DUMMYFUNCTION("""COMPUTED_VALUE"""),"8GB")</f>
        <v>8GB</v>
      </c>
      <c r="I257" s="2" t="str">
        <f ca="1">IFERROR(__xludf.DUMMYFUNCTION("""COMPUTED_VALUE"""),"256GB SSD")</f>
        <v>256GB SSD</v>
      </c>
      <c r="J257" s="2" t="str">
        <f ca="1">IFERROR(__xludf.DUMMYFUNCTION("""COMPUTED_VALUE"""),"Intel UHD Graphics 620")</f>
        <v>Intel UHD Graphics 620</v>
      </c>
      <c r="K257" s="2" t="str">
        <f ca="1">IFERROR(__xludf.DUMMYFUNCTION("""COMPUTED_VALUE"""),"Windows 10")</f>
        <v>Windows 10</v>
      </c>
      <c r="L257" s="2" t="str">
        <f ca="1">IFERROR(__xludf.DUMMYFUNCTION("""COMPUTED_VALUE"""),"1.41kg")</f>
        <v>1.41kg</v>
      </c>
      <c r="M257" s="2">
        <f ca="1">IFERROR(__xludf.DUMMYFUNCTION("""COMPUTED_VALUE"""),949)</f>
        <v>949</v>
      </c>
    </row>
    <row r="258" spans="1:13">
      <c r="A258" s="2">
        <f ca="1">IFERROR(__xludf.DUMMYFUNCTION("""COMPUTED_VALUE"""),261)</f>
        <v>261</v>
      </c>
      <c r="B258" s="2" t="str">
        <f ca="1">IFERROR(__xludf.DUMMYFUNCTION("""COMPUTED_VALUE"""),"HP")</f>
        <v>HP</v>
      </c>
      <c r="C258" s="2" t="str">
        <f ca="1">IFERROR(__xludf.DUMMYFUNCTION("""COMPUTED_VALUE"""),"15-BW094nd (A6-9220/8GB/128GB/W10)")</f>
        <v>15-BW094nd (A6-9220/8GB/128GB/W10)</v>
      </c>
      <c r="D258" s="2" t="str">
        <f ca="1">IFERROR(__xludf.DUMMYFUNCTION("""COMPUTED_VALUE"""),"Notebook")</f>
        <v>Notebook</v>
      </c>
      <c r="E258" s="2">
        <f ca="1">IFERROR(__xludf.DUMMYFUNCTION("""COMPUTED_VALUE"""),15.6)</f>
        <v>15.6</v>
      </c>
      <c r="F258" s="2" t="str">
        <f ca="1">IFERROR(__xludf.DUMMYFUNCTION("""COMPUTED_VALUE"""),"1366x768")</f>
        <v>1366x768</v>
      </c>
      <c r="G258" s="2" t="str">
        <f ca="1">IFERROR(__xludf.DUMMYFUNCTION("""COMPUTED_VALUE"""),"AMD A6-Series A6-9220 2.5GHz")</f>
        <v>AMD A6-Series A6-9220 2.5GHz</v>
      </c>
      <c r="H258" s="2" t="str">
        <f ca="1">IFERROR(__xludf.DUMMYFUNCTION("""COMPUTED_VALUE"""),"8GB")</f>
        <v>8GB</v>
      </c>
      <c r="I258" s="2" t="str">
        <f ca="1">IFERROR(__xludf.DUMMYFUNCTION("""COMPUTED_VALUE"""),"128GB SSD")</f>
        <v>128GB SSD</v>
      </c>
      <c r="J258" s="2" t="str">
        <f ca="1">IFERROR(__xludf.DUMMYFUNCTION("""COMPUTED_VALUE"""),"AMD Radeon R4 Graphics")</f>
        <v>AMD Radeon R4 Graphics</v>
      </c>
      <c r="K258" s="2" t="str">
        <f ca="1">IFERROR(__xludf.DUMMYFUNCTION("""COMPUTED_VALUE"""),"Windows 10")</f>
        <v>Windows 10</v>
      </c>
      <c r="L258" s="2" t="str">
        <f ca="1">IFERROR(__xludf.DUMMYFUNCTION("""COMPUTED_VALUE"""),"1.91kg")</f>
        <v>1.91kg</v>
      </c>
      <c r="M258" s="2">
        <f ca="1">IFERROR(__xludf.DUMMYFUNCTION("""COMPUTED_VALUE"""),445.9)</f>
        <v>445.9</v>
      </c>
    </row>
    <row r="259" spans="1:13">
      <c r="A259" s="2">
        <f ca="1">IFERROR(__xludf.DUMMYFUNCTION("""COMPUTED_VALUE"""),262)</f>
        <v>262</v>
      </c>
      <c r="B259" s="2" t="str">
        <f ca="1">IFERROR(__xludf.DUMMYFUNCTION("""COMPUTED_VALUE"""),"HP")</f>
        <v>HP</v>
      </c>
      <c r="C259" s="2" t="str">
        <f ca="1">IFERROR(__xludf.DUMMYFUNCTION("""COMPUTED_VALUE"""),"Envy 17-U275cl")</f>
        <v>Envy 17-U275cl</v>
      </c>
      <c r="D259" s="2" t="str">
        <f ca="1">IFERROR(__xludf.DUMMYFUNCTION("""COMPUTED_VALUE"""),"Notebook")</f>
        <v>Notebook</v>
      </c>
      <c r="E259" s="2">
        <f ca="1">IFERROR(__xludf.DUMMYFUNCTION("""COMPUTED_VALUE"""),17.3)</f>
        <v>17.3</v>
      </c>
      <c r="F259" s="2" t="str">
        <f ca="1">IFERROR(__xludf.DUMMYFUNCTION("""COMPUTED_VALUE"""),"IPS Panel Full HD 1920x1080")</f>
        <v>IPS Panel Full HD 1920x1080</v>
      </c>
      <c r="G259" s="2" t="str">
        <f ca="1">IFERROR(__xludf.DUMMYFUNCTION("""COMPUTED_VALUE"""),"Intel Core i7 8550U 1.8GHz")</f>
        <v>Intel Core i7 8550U 1.8GHz</v>
      </c>
      <c r="H259" s="2" t="str">
        <f ca="1">IFERROR(__xludf.DUMMYFUNCTION("""COMPUTED_VALUE"""),"16GB")</f>
        <v>16GB</v>
      </c>
      <c r="I259" s="2" t="str">
        <f ca="1">IFERROR(__xludf.DUMMYFUNCTION("""COMPUTED_VALUE"""),"1TB HDD")</f>
        <v>1TB HDD</v>
      </c>
      <c r="J259" s="2" t="str">
        <f ca="1">IFERROR(__xludf.DUMMYFUNCTION("""COMPUTED_VALUE"""),"Nvidia GeForce MX150")</f>
        <v>Nvidia GeForce MX150</v>
      </c>
      <c r="K259" s="2" t="str">
        <f ca="1">IFERROR(__xludf.DUMMYFUNCTION("""COMPUTED_VALUE"""),"Windows 10")</f>
        <v>Windows 10</v>
      </c>
      <c r="L259" s="2" t="str">
        <f ca="1">IFERROR(__xludf.DUMMYFUNCTION("""COMPUTED_VALUE"""),"2.9kg")</f>
        <v>2.9kg</v>
      </c>
      <c r="M259" s="2">
        <f ca="1">IFERROR(__xludf.DUMMYFUNCTION("""COMPUTED_VALUE"""),1059)</f>
        <v>1059</v>
      </c>
    </row>
    <row r="260" spans="1:13">
      <c r="A260" s="2">
        <f ca="1">IFERROR(__xludf.DUMMYFUNCTION("""COMPUTED_VALUE"""),263)</f>
        <v>263</v>
      </c>
      <c r="B260" s="2" t="str">
        <f ca="1">IFERROR(__xludf.DUMMYFUNCTION("""COMPUTED_VALUE"""),"MSI")</f>
        <v>MSI</v>
      </c>
      <c r="C260" s="2" t="str">
        <f ca="1">IFERROR(__xludf.DUMMYFUNCTION("""COMPUTED_VALUE"""),"GT73EVR 7RE")</f>
        <v>GT73EVR 7RE</v>
      </c>
      <c r="D260" s="2" t="str">
        <f ca="1">IFERROR(__xludf.DUMMYFUNCTION("""COMPUTED_VALUE"""),"Gaming")</f>
        <v>Gaming</v>
      </c>
      <c r="E260" s="2">
        <f ca="1">IFERROR(__xludf.DUMMYFUNCTION("""COMPUTED_VALUE"""),17.3)</f>
        <v>17.3</v>
      </c>
      <c r="F260" s="2" t="str">
        <f ca="1">IFERROR(__xludf.DUMMYFUNCTION("""COMPUTED_VALUE"""),"Full HD 1920x1080")</f>
        <v>Full HD 1920x1080</v>
      </c>
      <c r="G260" s="2" t="str">
        <f ca="1">IFERROR(__xludf.DUMMYFUNCTION("""COMPUTED_VALUE"""),"Intel Core i7 7700HQ 2.8GHz")</f>
        <v>Intel Core i7 7700HQ 2.8GHz</v>
      </c>
      <c r="H260" s="2" t="str">
        <f ca="1">IFERROR(__xludf.DUMMYFUNCTION("""COMPUTED_VALUE"""),"16GB")</f>
        <v>16GB</v>
      </c>
      <c r="I260" s="2" t="str">
        <f ca="1">IFERROR(__xludf.DUMMYFUNCTION("""COMPUTED_VALUE"""),"512GB SSD +  1TB HDD")</f>
        <v>512GB SSD +  1TB HDD</v>
      </c>
      <c r="J260" s="2" t="str">
        <f ca="1">IFERROR(__xludf.DUMMYFUNCTION("""COMPUTED_VALUE"""),"Nvidia GeForce GTX 1070")</f>
        <v>Nvidia GeForce GTX 1070</v>
      </c>
      <c r="K260" s="2" t="str">
        <f ca="1">IFERROR(__xludf.DUMMYFUNCTION("""COMPUTED_VALUE"""),"Windows 10")</f>
        <v>Windows 10</v>
      </c>
      <c r="L260" s="2" t="str">
        <f ca="1">IFERROR(__xludf.DUMMYFUNCTION("""COMPUTED_VALUE"""),"4.14kg")</f>
        <v>4.14kg</v>
      </c>
      <c r="M260" s="2">
        <f ca="1">IFERROR(__xludf.DUMMYFUNCTION("""COMPUTED_VALUE"""),2499)</f>
        <v>2499</v>
      </c>
    </row>
    <row r="261" spans="1:13">
      <c r="A261" s="2">
        <f ca="1">IFERROR(__xludf.DUMMYFUNCTION("""COMPUTED_VALUE"""),264)</f>
        <v>264</v>
      </c>
      <c r="B261" s="2" t="str">
        <f ca="1">IFERROR(__xludf.DUMMYFUNCTION("""COMPUTED_VALUE"""),"Lenovo")</f>
        <v>Lenovo</v>
      </c>
      <c r="C261" s="2" t="str">
        <f ca="1">IFERROR(__xludf.DUMMYFUNCTION("""COMPUTED_VALUE"""),"Yoga 720-15IKB")</f>
        <v>Yoga 720-15IKB</v>
      </c>
      <c r="D261" s="2" t="str">
        <f ca="1">IFERROR(__xludf.DUMMYFUNCTION("""COMPUTED_VALUE"""),"2 in 1 Convertible")</f>
        <v>2 in 1 Convertible</v>
      </c>
      <c r="E261" s="2">
        <f ca="1">IFERROR(__xludf.DUMMYFUNCTION("""COMPUTED_VALUE"""),15.6)</f>
        <v>15.6</v>
      </c>
      <c r="F261" s="2" t="str">
        <f ca="1">IFERROR(__xludf.DUMMYFUNCTION("""COMPUTED_VALUE"""),"IPS Panel Full HD / Touchscreen 1920x1080")</f>
        <v>IPS Panel Full HD / Touchscreen 1920x1080</v>
      </c>
      <c r="G261" s="2" t="str">
        <f ca="1">IFERROR(__xludf.DUMMYFUNCTION("""COMPUTED_VALUE"""),"Intel Core i7 7700HQ 2.8GHz")</f>
        <v>Intel Core i7 7700HQ 2.8GHz</v>
      </c>
      <c r="H261" s="2" t="str">
        <f ca="1">IFERROR(__xludf.DUMMYFUNCTION("""COMPUTED_VALUE"""),"8GB")</f>
        <v>8GB</v>
      </c>
      <c r="I261" s="2" t="str">
        <f ca="1">IFERROR(__xludf.DUMMYFUNCTION("""COMPUTED_VALUE"""),"512GB SSD")</f>
        <v>512GB SSD</v>
      </c>
      <c r="J261" s="2" t="str">
        <f ca="1">IFERROR(__xludf.DUMMYFUNCTION("""COMPUTED_VALUE"""),"Nvidia GeForce GTX 1050M")</f>
        <v>Nvidia GeForce GTX 1050M</v>
      </c>
      <c r="K261" s="2" t="str">
        <f ca="1">IFERROR(__xludf.DUMMYFUNCTION("""COMPUTED_VALUE"""),"Windows 10")</f>
        <v>Windows 10</v>
      </c>
      <c r="L261" s="2" t="str">
        <f ca="1">IFERROR(__xludf.DUMMYFUNCTION("""COMPUTED_VALUE"""),"2kg")</f>
        <v>2kg</v>
      </c>
      <c r="M261" s="2">
        <f ca="1">IFERROR(__xludf.DUMMYFUNCTION("""COMPUTED_VALUE"""),1699)</f>
        <v>1699</v>
      </c>
    </row>
    <row r="262" spans="1:13">
      <c r="A262" s="2">
        <f ca="1">IFERROR(__xludf.DUMMYFUNCTION("""COMPUTED_VALUE"""),265)</f>
        <v>265</v>
      </c>
      <c r="B262" s="2" t="str">
        <f ca="1">IFERROR(__xludf.DUMMYFUNCTION("""COMPUTED_VALUE"""),"Dell")</f>
        <v>Dell</v>
      </c>
      <c r="C262" s="2" t="str">
        <f ca="1">IFERROR(__xludf.DUMMYFUNCTION("""COMPUTED_VALUE"""),"Inspiron 5770")</f>
        <v>Inspiron 5770</v>
      </c>
      <c r="D262" s="2" t="str">
        <f ca="1">IFERROR(__xludf.DUMMYFUNCTION("""COMPUTED_VALUE"""),"Notebook")</f>
        <v>Notebook</v>
      </c>
      <c r="E262" s="2">
        <f ca="1">IFERROR(__xludf.DUMMYFUNCTION("""COMPUTED_VALUE"""),17.3)</f>
        <v>17.3</v>
      </c>
      <c r="F262" s="2" t="str">
        <f ca="1">IFERROR(__xludf.DUMMYFUNCTION("""COMPUTED_VALUE"""),"Full HD 1920x1080")</f>
        <v>Full HD 1920x1080</v>
      </c>
      <c r="G262" s="2" t="str">
        <f ca="1">IFERROR(__xludf.DUMMYFUNCTION("""COMPUTED_VALUE"""),"Intel Core i7 8550U 1.8GHz")</f>
        <v>Intel Core i7 8550U 1.8GHz</v>
      </c>
      <c r="H262" s="2" t="str">
        <f ca="1">IFERROR(__xludf.DUMMYFUNCTION("""COMPUTED_VALUE"""),"8GB")</f>
        <v>8GB</v>
      </c>
      <c r="I262" s="2" t="str">
        <f ca="1">IFERROR(__xludf.DUMMYFUNCTION("""COMPUTED_VALUE"""),"128GB SSD +  1TB HDD")</f>
        <v>128GB SSD +  1TB HDD</v>
      </c>
      <c r="J262" s="2" t="str">
        <f ca="1">IFERROR(__xludf.DUMMYFUNCTION("""COMPUTED_VALUE"""),"AMD Radeon 530")</f>
        <v>AMD Radeon 530</v>
      </c>
      <c r="K262" s="2" t="str">
        <f ca="1">IFERROR(__xludf.DUMMYFUNCTION("""COMPUTED_VALUE"""),"Windows 10")</f>
        <v>Windows 10</v>
      </c>
      <c r="L262" s="2" t="str">
        <f ca="1">IFERROR(__xludf.DUMMYFUNCTION("""COMPUTED_VALUE"""),"2.8kg")</f>
        <v>2.8kg</v>
      </c>
      <c r="M262" s="2">
        <f ca="1">IFERROR(__xludf.DUMMYFUNCTION("""COMPUTED_VALUE"""),1142)</f>
        <v>1142</v>
      </c>
    </row>
    <row r="263" spans="1:13">
      <c r="A263" s="2">
        <f ca="1">IFERROR(__xludf.DUMMYFUNCTION("""COMPUTED_VALUE"""),266)</f>
        <v>266</v>
      </c>
      <c r="B263" s="2" t="str">
        <f ca="1">IFERROR(__xludf.DUMMYFUNCTION("""COMPUTED_VALUE"""),"Lenovo")</f>
        <v>Lenovo</v>
      </c>
      <c r="C263" s="2" t="str">
        <f ca="1">IFERROR(__xludf.DUMMYFUNCTION("""COMPUTED_VALUE"""),"IdeaPad 320-15ISK")</f>
        <v>IdeaPad 320-15ISK</v>
      </c>
      <c r="D263" s="2" t="str">
        <f ca="1">IFERROR(__xludf.DUMMYFUNCTION("""COMPUTED_VALUE"""),"Notebook")</f>
        <v>Notebook</v>
      </c>
      <c r="E263" s="2">
        <f ca="1">IFERROR(__xludf.DUMMYFUNCTION("""COMPUTED_VALUE"""),15.6)</f>
        <v>15.6</v>
      </c>
      <c r="F263" s="2" t="str">
        <f ca="1">IFERROR(__xludf.DUMMYFUNCTION("""COMPUTED_VALUE"""),"Full HD 1920x1080")</f>
        <v>Full HD 1920x1080</v>
      </c>
      <c r="G263" s="2" t="str">
        <f ca="1">IFERROR(__xludf.DUMMYFUNCTION("""COMPUTED_VALUE"""),"Intel Core i3 6006U 2GHz")</f>
        <v>Intel Core i3 6006U 2GHz</v>
      </c>
      <c r="H263" s="2" t="str">
        <f ca="1">IFERROR(__xludf.DUMMYFUNCTION("""COMPUTED_VALUE"""),"4GB")</f>
        <v>4GB</v>
      </c>
      <c r="I263" s="2" t="str">
        <f ca="1">IFERROR(__xludf.DUMMYFUNCTION("""COMPUTED_VALUE"""),"256GB SSD")</f>
        <v>256GB SSD</v>
      </c>
      <c r="J263" s="2" t="str">
        <f ca="1">IFERROR(__xludf.DUMMYFUNCTION("""COMPUTED_VALUE"""),"Intel HD Graphics 520")</f>
        <v>Intel HD Graphics 520</v>
      </c>
      <c r="K263" s="2" t="str">
        <f ca="1">IFERROR(__xludf.DUMMYFUNCTION("""COMPUTED_VALUE"""),"No OS")</f>
        <v>No OS</v>
      </c>
      <c r="L263" s="2" t="str">
        <f ca="1">IFERROR(__xludf.DUMMYFUNCTION("""COMPUTED_VALUE"""),"2.2kg")</f>
        <v>2.2kg</v>
      </c>
      <c r="M263" s="2">
        <f ca="1">IFERROR(__xludf.DUMMYFUNCTION("""COMPUTED_VALUE"""),444)</f>
        <v>444</v>
      </c>
    </row>
    <row r="264" spans="1:13">
      <c r="A264" s="2">
        <f ca="1">IFERROR(__xludf.DUMMYFUNCTION("""COMPUTED_VALUE"""),267)</f>
        <v>267</v>
      </c>
      <c r="B264" s="2" t="str">
        <f ca="1">IFERROR(__xludf.DUMMYFUNCTION("""COMPUTED_VALUE"""),"HP")</f>
        <v>HP</v>
      </c>
      <c r="C264" s="2" t="str">
        <f ca="1">IFERROR(__xludf.DUMMYFUNCTION("""COMPUTED_VALUE"""),"ProBook 450")</f>
        <v>ProBook 450</v>
      </c>
      <c r="D264" s="2" t="str">
        <f ca="1">IFERROR(__xludf.DUMMYFUNCTION("""COMPUTED_VALUE"""),"Notebook")</f>
        <v>Notebook</v>
      </c>
      <c r="E264" s="2">
        <f ca="1">IFERROR(__xludf.DUMMYFUNCTION("""COMPUTED_VALUE"""),15.6)</f>
        <v>15.6</v>
      </c>
      <c r="F264" s="2" t="str">
        <f ca="1">IFERROR(__xludf.DUMMYFUNCTION("""COMPUTED_VALUE"""),"IPS Panel Full HD 1920x1080")</f>
        <v>IPS Panel Full HD 1920x1080</v>
      </c>
      <c r="G264" s="2" t="str">
        <f ca="1">IFERROR(__xludf.DUMMYFUNCTION("""COMPUTED_VALUE"""),"Intel Core i5 8250U 1.6GHz")</f>
        <v>Intel Core i5 8250U 1.6GHz</v>
      </c>
      <c r="H264" s="2" t="str">
        <f ca="1">IFERROR(__xludf.DUMMYFUNCTION("""COMPUTED_VALUE"""),"4GB")</f>
        <v>4GB</v>
      </c>
      <c r="I264" s="2" t="str">
        <f ca="1">IFERROR(__xludf.DUMMYFUNCTION("""COMPUTED_VALUE"""),"500GB HDD")</f>
        <v>500GB HDD</v>
      </c>
      <c r="J264" s="2" t="str">
        <f ca="1">IFERROR(__xludf.DUMMYFUNCTION("""COMPUTED_VALUE"""),"Intel HD Graphics 620")</f>
        <v>Intel HD Graphics 620</v>
      </c>
      <c r="K264" s="2" t="str">
        <f ca="1">IFERROR(__xludf.DUMMYFUNCTION("""COMPUTED_VALUE"""),"Windows 10")</f>
        <v>Windows 10</v>
      </c>
      <c r="L264" s="2" t="str">
        <f ca="1">IFERROR(__xludf.DUMMYFUNCTION("""COMPUTED_VALUE"""),"2.1kg")</f>
        <v>2.1kg</v>
      </c>
      <c r="M264" s="2">
        <f ca="1">IFERROR(__xludf.DUMMYFUNCTION("""COMPUTED_VALUE"""),722)</f>
        <v>722</v>
      </c>
    </row>
    <row r="265" spans="1:13">
      <c r="A265" s="2">
        <f ca="1">IFERROR(__xludf.DUMMYFUNCTION("""COMPUTED_VALUE"""),268)</f>
        <v>268</v>
      </c>
      <c r="B265" s="2" t="str">
        <f ca="1">IFERROR(__xludf.DUMMYFUNCTION("""COMPUTED_VALUE"""),"Dell")</f>
        <v>Dell</v>
      </c>
      <c r="C265" s="2" t="str">
        <f ca="1">IFERROR(__xludf.DUMMYFUNCTION("""COMPUTED_VALUE"""),"Vostro 3568")</f>
        <v>Vostro 3568</v>
      </c>
      <c r="D265" s="2" t="str">
        <f ca="1">IFERROR(__xludf.DUMMYFUNCTION("""COMPUTED_VALUE"""),"Notebook")</f>
        <v>Notebook</v>
      </c>
      <c r="E265" s="2">
        <f ca="1">IFERROR(__xludf.DUMMYFUNCTION("""COMPUTED_VALUE"""),15.6)</f>
        <v>15.6</v>
      </c>
      <c r="F265" s="2" t="str">
        <f ca="1">IFERROR(__xludf.DUMMYFUNCTION("""COMPUTED_VALUE"""),"Full HD 1920x1080")</f>
        <v>Full HD 1920x1080</v>
      </c>
      <c r="G265" s="2" t="str">
        <f ca="1">IFERROR(__xludf.DUMMYFUNCTION("""COMPUTED_VALUE"""),"Intel Core i5 7200U 2.5GHz")</f>
        <v>Intel Core i5 7200U 2.5GHz</v>
      </c>
      <c r="H265" s="2" t="str">
        <f ca="1">IFERROR(__xludf.DUMMYFUNCTION("""COMPUTED_VALUE"""),"4GB")</f>
        <v>4GB</v>
      </c>
      <c r="I265" s="2" t="str">
        <f ca="1">IFERROR(__xludf.DUMMYFUNCTION("""COMPUTED_VALUE"""),"1TB HDD")</f>
        <v>1TB HDD</v>
      </c>
      <c r="J265" s="2" t="str">
        <f ca="1">IFERROR(__xludf.DUMMYFUNCTION("""COMPUTED_VALUE"""),"Intel HD Graphics 620")</f>
        <v>Intel HD Graphics 620</v>
      </c>
      <c r="K265" s="2" t="str">
        <f ca="1">IFERROR(__xludf.DUMMYFUNCTION("""COMPUTED_VALUE"""),"Windows 10")</f>
        <v>Windows 10</v>
      </c>
      <c r="L265" s="2" t="str">
        <f ca="1">IFERROR(__xludf.DUMMYFUNCTION("""COMPUTED_VALUE"""),"2.18kg")</f>
        <v>2.18kg</v>
      </c>
      <c r="M265" s="2">
        <f ca="1">IFERROR(__xludf.DUMMYFUNCTION("""COMPUTED_VALUE"""),657)</f>
        <v>657</v>
      </c>
    </row>
    <row r="266" spans="1:13">
      <c r="A266" s="2">
        <f ca="1">IFERROR(__xludf.DUMMYFUNCTION("""COMPUTED_VALUE"""),269)</f>
        <v>269</v>
      </c>
      <c r="B266" s="2" t="str">
        <f ca="1">IFERROR(__xludf.DUMMYFUNCTION("""COMPUTED_VALUE"""),"Dell")</f>
        <v>Dell</v>
      </c>
      <c r="C266" s="2" t="str">
        <f ca="1">IFERROR(__xludf.DUMMYFUNCTION("""COMPUTED_VALUE"""),"Inspiron 3567")</f>
        <v>Inspiron 3567</v>
      </c>
      <c r="D266" s="2" t="str">
        <f ca="1">IFERROR(__xludf.DUMMYFUNCTION("""COMPUTED_VALUE"""),"Notebook")</f>
        <v>Notebook</v>
      </c>
      <c r="E266" s="2">
        <f ca="1">IFERROR(__xludf.DUMMYFUNCTION("""COMPUTED_VALUE"""),15.6)</f>
        <v>15.6</v>
      </c>
      <c r="F266" s="2" t="str">
        <f ca="1">IFERROR(__xludf.DUMMYFUNCTION("""COMPUTED_VALUE"""),"Full HD 1920x1080")</f>
        <v>Full HD 1920x1080</v>
      </c>
      <c r="G266" s="2" t="str">
        <f ca="1">IFERROR(__xludf.DUMMYFUNCTION("""COMPUTED_VALUE"""),"Intel Core i5 7200U 2.5GHz")</f>
        <v>Intel Core i5 7200U 2.5GHz</v>
      </c>
      <c r="H266" s="2" t="str">
        <f ca="1">IFERROR(__xludf.DUMMYFUNCTION("""COMPUTED_VALUE"""),"8GB")</f>
        <v>8GB</v>
      </c>
      <c r="I266" s="2" t="str">
        <f ca="1">IFERROR(__xludf.DUMMYFUNCTION("""COMPUTED_VALUE"""),"1TB HDD")</f>
        <v>1TB HDD</v>
      </c>
      <c r="J266" s="2" t="str">
        <f ca="1">IFERROR(__xludf.DUMMYFUNCTION("""COMPUTED_VALUE"""),"AMD Radeon R5 M430")</f>
        <v>AMD Radeon R5 M430</v>
      </c>
      <c r="K266" s="2" t="str">
        <f ca="1">IFERROR(__xludf.DUMMYFUNCTION("""COMPUTED_VALUE"""),"Windows 10")</f>
        <v>Windows 10</v>
      </c>
      <c r="L266" s="2" t="str">
        <f ca="1">IFERROR(__xludf.DUMMYFUNCTION("""COMPUTED_VALUE"""),"2.24kg")</f>
        <v>2.24kg</v>
      </c>
      <c r="M266" s="2">
        <f ca="1">IFERROR(__xludf.DUMMYFUNCTION("""COMPUTED_VALUE"""),565)</f>
        <v>565</v>
      </c>
    </row>
    <row r="267" spans="1:13">
      <c r="A267" s="2">
        <f ca="1">IFERROR(__xludf.DUMMYFUNCTION("""COMPUTED_VALUE"""),270)</f>
        <v>270</v>
      </c>
      <c r="B267" s="2" t="str">
        <f ca="1">IFERROR(__xludf.DUMMYFUNCTION("""COMPUTED_VALUE"""),"Dell")</f>
        <v>Dell</v>
      </c>
      <c r="C267" s="2" t="str">
        <f ca="1">IFERROR(__xludf.DUMMYFUNCTION("""COMPUTED_VALUE"""),"Inspiron 5579")</f>
        <v>Inspiron 5579</v>
      </c>
      <c r="D267" s="2" t="str">
        <f ca="1">IFERROR(__xludf.DUMMYFUNCTION("""COMPUTED_VALUE"""),"2 in 1 Convertible")</f>
        <v>2 in 1 Convertible</v>
      </c>
      <c r="E267" s="2">
        <f ca="1">IFERROR(__xludf.DUMMYFUNCTION("""COMPUTED_VALUE"""),15.6)</f>
        <v>15.6</v>
      </c>
      <c r="F267" s="2" t="str">
        <f ca="1">IFERROR(__xludf.DUMMYFUNCTION("""COMPUTED_VALUE"""),"Full HD / Touchscreen 1920x1080")</f>
        <v>Full HD / Touchscreen 1920x1080</v>
      </c>
      <c r="G267" s="2" t="str">
        <f ca="1">IFERROR(__xludf.DUMMYFUNCTION("""COMPUTED_VALUE"""),"Intel Core i5 8250U 1.6GHz")</f>
        <v>Intel Core i5 8250U 1.6GHz</v>
      </c>
      <c r="H267" s="2" t="str">
        <f ca="1">IFERROR(__xludf.DUMMYFUNCTION("""COMPUTED_VALUE"""),"8GB")</f>
        <v>8GB</v>
      </c>
      <c r="I267" s="2" t="str">
        <f ca="1">IFERROR(__xludf.DUMMYFUNCTION("""COMPUTED_VALUE"""),"256GB SSD")</f>
        <v>256GB SSD</v>
      </c>
      <c r="J267" s="2" t="str">
        <f ca="1">IFERROR(__xludf.DUMMYFUNCTION("""COMPUTED_VALUE"""),"Intel UHD Graphics 620")</f>
        <v>Intel UHD Graphics 620</v>
      </c>
      <c r="K267" s="2" t="str">
        <f ca="1">IFERROR(__xludf.DUMMYFUNCTION("""COMPUTED_VALUE"""),"Windows 10")</f>
        <v>Windows 10</v>
      </c>
      <c r="L267" s="2" t="str">
        <f ca="1">IFERROR(__xludf.DUMMYFUNCTION("""COMPUTED_VALUE"""),"2.67kg")</f>
        <v>2.67kg</v>
      </c>
      <c r="M267" s="2">
        <f ca="1">IFERROR(__xludf.DUMMYFUNCTION("""COMPUTED_VALUE"""),799)</f>
        <v>799</v>
      </c>
    </row>
    <row r="268" spans="1:13">
      <c r="A268" s="2">
        <f ca="1">IFERROR(__xludf.DUMMYFUNCTION("""COMPUTED_VALUE"""),271)</f>
        <v>271</v>
      </c>
      <c r="B268" s="2" t="str">
        <f ca="1">IFERROR(__xludf.DUMMYFUNCTION("""COMPUTED_VALUE"""),"Asus")</f>
        <v>Asus</v>
      </c>
      <c r="C268" s="2" t="str">
        <f ca="1">IFERROR(__xludf.DUMMYFUNCTION("""COMPUTED_VALUE"""),"ZenBook Flip")</f>
        <v>ZenBook Flip</v>
      </c>
      <c r="D268" s="2" t="str">
        <f ca="1">IFERROR(__xludf.DUMMYFUNCTION("""COMPUTED_VALUE"""),"2 in 1 Convertible")</f>
        <v>2 in 1 Convertible</v>
      </c>
      <c r="E268" s="2">
        <f ca="1">IFERROR(__xludf.DUMMYFUNCTION("""COMPUTED_VALUE"""),13.3)</f>
        <v>13.3</v>
      </c>
      <c r="F268" s="2" t="str">
        <f ca="1">IFERROR(__xludf.DUMMYFUNCTION("""COMPUTED_VALUE"""),"Full HD / Touchscreen 1920x1080")</f>
        <v>Full HD / Touchscreen 1920x1080</v>
      </c>
      <c r="G268" s="2" t="str">
        <f ca="1">IFERROR(__xludf.DUMMYFUNCTION("""COMPUTED_VALUE"""),"Intel Core i7 8550U 1.8GHz")</f>
        <v>Intel Core i7 8550U 1.8GHz</v>
      </c>
      <c r="H268" s="2" t="str">
        <f ca="1">IFERROR(__xludf.DUMMYFUNCTION("""COMPUTED_VALUE"""),"8GB")</f>
        <v>8GB</v>
      </c>
      <c r="I268" s="2" t="str">
        <f ca="1">IFERROR(__xludf.DUMMYFUNCTION("""COMPUTED_VALUE"""),"512GB SSD +  512GB SSD")</f>
        <v>512GB SSD +  512GB SSD</v>
      </c>
      <c r="J268" s="2" t="str">
        <f ca="1">IFERROR(__xludf.DUMMYFUNCTION("""COMPUTED_VALUE"""),"Intel UHD Graphics 620")</f>
        <v>Intel UHD Graphics 620</v>
      </c>
      <c r="K268" s="2" t="str">
        <f ca="1">IFERROR(__xludf.DUMMYFUNCTION("""COMPUTED_VALUE"""),"Windows 10")</f>
        <v>Windows 10</v>
      </c>
      <c r="L268" s="2" t="str">
        <f ca="1">IFERROR(__xludf.DUMMYFUNCTION("""COMPUTED_VALUE"""),"1.1kg")</f>
        <v>1.1kg</v>
      </c>
      <c r="M268" s="2">
        <f ca="1">IFERROR(__xludf.DUMMYFUNCTION("""COMPUTED_VALUE"""),1499)</f>
        <v>1499</v>
      </c>
    </row>
    <row r="269" spans="1:13">
      <c r="A269" s="2">
        <f ca="1">IFERROR(__xludf.DUMMYFUNCTION("""COMPUTED_VALUE"""),272)</f>
        <v>272</v>
      </c>
      <c r="B269" s="2" t="str">
        <f ca="1">IFERROR(__xludf.DUMMYFUNCTION("""COMPUTED_VALUE"""),"Lenovo")</f>
        <v>Lenovo</v>
      </c>
      <c r="C269" s="2" t="str">
        <f ca="1">IFERROR(__xludf.DUMMYFUNCTION("""COMPUTED_VALUE"""),"IdeaPad 320-15IKBN")</f>
        <v>IdeaPad 320-15IKBN</v>
      </c>
      <c r="D269" s="2" t="str">
        <f ca="1">IFERROR(__xludf.DUMMYFUNCTION("""COMPUTED_VALUE"""),"Notebook")</f>
        <v>Notebook</v>
      </c>
      <c r="E269" s="2">
        <f ca="1">IFERROR(__xludf.DUMMYFUNCTION("""COMPUTED_VALUE"""),15.6)</f>
        <v>15.6</v>
      </c>
      <c r="F269" s="2" t="str">
        <f ca="1">IFERROR(__xludf.DUMMYFUNCTION("""COMPUTED_VALUE"""),"Full HD 1920x1080")</f>
        <v>Full HD 1920x1080</v>
      </c>
      <c r="G269" s="2" t="str">
        <f ca="1">IFERROR(__xludf.DUMMYFUNCTION("""COMPUTED_VALUE"""),"Intel Core i5 7200U 2.5GHz")</f>
        <v>Intel Core i5 7200U 2.5GHz</v>
      </c>
      <c r="H269" s="2" t="str">
        <f ca="1">IFERROR(__xludf.DUMMYFUNCTION("""COMPUTED_VALUE"""),"4GB")</f>
        <v>4GB</v>
      </c>
      <c r="I269" s="2" t="str">
        <f ca="1">IFERROR(__xludf.DUMMYFUNCTION("""COMPUTED_VALUE"""),"1TB HDD")</f>
        <v>1TB HDD</v>
      </c>
      <c r="J269" s="2" t="str">
        <f ca="1">IFERROR(__xludf.DUMMYFUNCTION("""COMPUTED_VALUE"""),"Intel HD Graphics 620")</f>
        <v>Intel HD Graphics 620</v>
      </c>
      <c r="K269" s="2" t="str">
        <f ca="1">IFERROR(__xludf.DUMMYFUNCTION("""COMPUTED_VALUE"""),"No OS")</f>
        <v>No OS</v>
      </c>
      <c r="L269" s="2" t="str">
        <f ca="1">IFERROR(__xludf.DUMMYFUNCTION("""COMPUTED_VALUE"""),"2.2kg")</f>
        <v>2.2kg</v>
      </c>
      <c r="M269" s="2">
        <f ca="1">IFERROR(__xludf.DUMMYFUNCTION("""COMPUTED_VALUE"""),467)</f>
        <v>467</v>
      </c>
    </row>
    <row r="270" spans="1:13">
      <c r="A270" s="2">
        <f ca="1">IFERROR(__xludf.DUMMYFUNCTION("""COMPUTED_VALUE"""),273)</f>
        <v>273</v>
      </c>
      <c r="B270" s="2" t="str">
        <f ca="1">IFERROR(__xludf.DUMMYFUNCTION("""COMPUTED_VALUE"""),"HP")</f>
        <v>HP</v>
      </c>
      <c r="C270" s="2" t="str">
        <f ca="1">IFERROR(__xludf.DUMMYFUNCTION("""COMPUTED_VALUE"""),"Probook 470")</f>
        <v>Probook 470</v>
      </c>
      <c r="D270" s="2" t="str">
        <f ca="1">IFERROR(__xludf.DUMMYFUNCTION("""COMPUTED_VALUE"""),"Notebook")</f>
        <v>Notebook</v>
      </c>
      <c r="E270" s="2">
        <f ca="1">IFERROR(__xludf.DUMMYFUNCTION("""COMPUTED_VALUE"""),17.3)</f>
        <v>17.3</v>
      </c>
      <c r="F270" s="2" t="str">
        <f ca="1">IFERROR(__xludf.DUMMYFUNCTION("""COMPUTED_VALUE"""),"Full HD 1920x1080")</f>
        <v>Full HD 1920x1080</v>
      </c>
      <c r="G270" s="2" t="str">
        <f ca="1">IFERROR(__xludf.DUMMYFUNCTION("""COMPUTED_VALUE"""),"Intel Core i7 8550U 1.8GHz")</f>
        <v>Intel Core i7 8550U 1.8GHz</v>
      </c>
      <c r="H270" s="2" t="str">
        <f ca="1">IFERROR(__xludf.DUMMYFUNCTION("""COMPUTED_VALUE"""),"8GB")</f>
        <v>8GB</v>
      </c>
      <c r="I270" s="2" t="str">
        <f ca="1">IFERROR(__xludf.DUMMYFUNCTION("""COMPUTED_VALUE"""),"1TB HDD")</f>
        <v>1TB HDD</v>
      </c>
      <c r="J270" s="2" t="str">
        <f ca="1">IFERROR(__xludf.DUMMYFUNCTION("""COMPUTED_VALUE"""),"Nvidia GeForce 930MX ")</f>
        <v xml:space="preserve">Nvidia GeForce 930MX </v>
      </c>
      <c r="K270" s="2" t="str">
        <f ca="1">IFERROR(__xludf.DUMMYFUNCTION("""COMPUTED_VALUE"""),"Windows 10")</f>
        <v>Windows 10</v>
      </c>
      <c r="L270" s="2" t="str">
        <f ca="1">IFERROR(__xludf.DUMMYFUNCTION("""COMPUTED_VALUE"""),"2.5kg")</f>
        <v>2.5kg</v>
      </c>
      <c r="M270" s="2">
        <f ca="1">IFERROR(__xludf.DUMMYFUNCTION("""COMPUTED_VALUE"""),1018)</f>
        <v>1018</v>
      </c>
    </row>
    <row r="271" spans="1:13">
      <c r="A271" s="2">
        <f ca="1">IFERROR(__xludf.DUMMYFUNCTION("""COMPUTED_VALUE"""),274)</f>
        <v>274</v>
      </c>
      <c r="B271" s="2" t="str">
        <f ca="1">IFERROR(__xludf.DUMMYFUNCTION("""COMPUTED_VALUE"""),"Lenovo")</f>
        <v>Lenovo</v>
      </c>
      <c r="C271" s="2" t="str">
        <f ca="1">IFERROR(__xludf.DUMMYFUNCTION("""COMPUTED_VALUE"""),"V330-15IKB (i7-8550U/8GB/256GB/FHD/W10)")</f>
        <v>V330-15IKB (i7-8550U/8GB/256GB/FHD/W10)</v>
      </c>
      <c r="D271" s="2" t="str">
        <f ca="1">IFERROR(__xludf.DUMMYFUNCTION("""COMPUTED_VALUE"""),"Notebook")</f>
        <v>Notebook</v>
      </c>
      <c r="E271" s="2">
        <f ca="1">IFERROR(__xludf.DUMMYFUNCTION("""COMPUTED_VALUE"""),15.6)</f>
        <v>15.6</v>
      </c>
      <c r="F271" s="2" t="str">
        <f ca="1">IFERROR(__xludf.DUMMYFUNCTION("""COMPUTED_VALUE"""),"Full HD 1920x1080")</f>
        <v>Full HD 1920x1080</v>
      </c>
      <c r="G271" s="2" t="str">
        <f ca="1">IFERROR(__xludf.DUMMYFUNCTION("""COMPUTED_VALUE"""),"Intel Core i7 8550U 1.8GHz")</f>
        <v>Intel Core i7 8550U 1.8GHz</v>
      </c>
      <c r="H271" s="2" t="str">
        <f ca="1">IFERROR(__xludf.DUMMYFUNCTION("""COMPUTED_VALUE"""),"8GB")</f>
        <v>8GB</v>
      </c>
      <c r="I271" s="2" t="str">
        <f ca="1">IFERROR(__xludf.DUMMYFUNCTION("""COMPUTED_VALUE"""),"256GB SSD")</f>
        <v>256GB SSD</v>
      </c>
      <c r="J271" s="2" t="str">
        <f ca="1">IFERROR(__xludf.DUMMYFUNCTION("""COMPUTED_VALUE"""),"Intel UHD Graphics 620")</f>
        <v>Intel UHD Graphics 620</v>
      </c>
      <c r="K271" s="2" t="str">
        <f ca="1">IFERROR(__xludf.DUMMYFUNCTION("""COMPUTED_VALUE"""),"Windows 10")</f>
        <v>Windows 10</v>
      </c>
      <c r="L271" s="2" t="str">
        <f ca="1">IFERROR(__xludf.DUMMYFUNCTION("""COMPUTED_VALUE"""),"2.05kg")</f>
        <v>2.05kg</v>
      </c>
      <c r="M271" s="2">
        <f ca="1">IFERROR(__xludf.DUMMYFUNCTION("""COMPUTED_VALUE"""),880)</f>
        <v>880</v>
      </c>
    </row>
    <row r="272" spans="1:13">
      <c r="A272" s="2">
        <f ca="1">IFERROR(__xludf.DUMMYFUNCTION("""COMPUTED_VALUE"""),275)</f>
        <v>275</v>
      </c>
      <c r="B272" s="2" t="str">
        <f ca="1">IFERROR(__xludf.DUMMYFUNCTION("""COMPUTED_VALUE"""),"Apple")</f>
        <v>Apple</v>
      </c>
      <c r="C272" s="2" t="str">
        <f ca="1">IFERROR(__xludf.DUMMYFUNCTION("""COMPUTED_VALUE"""),"MacBook Pro")</f>
        <v>MacBook Pro</v>
      </c>
      <c r="D272" s="2" t="str">
        <f ca="1">IFERROR(__xludf.DUMMYFUNCTION("""COMPUTED_VALUE"""),"Ultrabook")</f>
        <v>Ultrabook</v>
      </c>
      <c r="E272" s="2">
        <f ca="1">IFERROR(__xludf.DUMMYFUNCTION("""COMPUTED_VALUE"""),13.3)</f>
        <v>13.3</v>
      </c>
      <c r="F272" s="2" t="str">
        <f ca="1">IFERROR(__xludf.DUMMYFUNCTION("""COMPUTED_VALUE"""),"IPS Panel Retina Display 2560x1600")</f>
        <v>IPS Panel Retina Display 2560x1600</v>
      </c>
      <c r="G272" s="2" t="str">
        <f ca="1">IFERROR(__xludf.DUMMYFUNCTION("""COMPUTED_VALUE"""),"Intel Core i5 2.9GHz")</f>
        <v>Intel Core i5 2.9GHz</v>
      </c>
      <c r="H272" s="2" t="str">
        <f ca="1">IFERROR(__xludf.DUMMYFUNCTION("""COMPUTED_VALUE"""),"8GB")</f>
        <v>8GB</v>
      </c>
      <c r="I272" s="2" t="str">
        <f ca="1">IFERROR(__xludf.DUMMYFUNCTION("""COMPUTED_VALUE"""),"512GB SSD")</f>
        <v>512GB SSD</v>
      </c>
      <c r="J272" s="2" t="str">
        <f ca="1">IFERROR(__xludf.DUMMYFUNCTION("""COMPUTED_VALUE"""),"Intel Iris Graphics 550")</f>
        <v>Intel Iris Graphics 550</v>
      </c>
      <c r="K272" s="2" t="str">
        <f ca="1">IFERROR(__xludf.DUMMYFUNCTION("""COMPUTED_VALUE"""),"macOS")</f>
        <v>macOS</v>
      </c>
      <c r="L272" s="2" t="str">
        <f ca="1">IFERROR(__xludf.DUMMYFUNCTION("""COMPUTED_VALUE"""),"1.37kg")</f>
        <v>1.37kg</v>
      </c>
      <c r="M272" s="2">
        <f ca="1">IFERROR(__xludf.DUMMYFUNCTION("""COMPUTED_VALUE"""),1958.9)</f>
        <v>1958.9</v>
      </c>
    </row>
    <row r="273" spans="1:13">
      <c r="A273" s="2">
        <f ca="1">IFERROR(__xludf.DUMMYFUNCTION("""COMPUTED_VALUE"""),276)</f>
        <v>276</v>
      </c>
      <c r="B273" s="2" t="str">
        <f ca="1">IFERROR(__xludf.DUMMYFUNCTION("""COMPUTED_VALUE"""),"Asus")</f>
        <v>Asus</v>
      </c>
      <c r="C273" s="2" t="str">
        <f ca="1">IFERROR(__xludf.DUMMYFUNCTION("""COMPUTED_VALUE"""),"Rog Strix")</f>
        <v>Rog Strix</v>
      </c>
      <c r="D273" s="2" t="str">
        <f ca="1">IFERROR(__xludf.DUMMYFUNCTION("""COMPUTED_VALUE"""),"Gaming")</f>
        <v>Gaming</v>
      </c>
      <c r="E273" s="2">
        <f ca="1">IFERROR(__xludf.DUMMYFUNCTION("""COMPUTED_VALUE"""),17.3)</f>
        <v>17.3</v>
      </c>
      <c r="F273" s="2" t="str">
        <f ca="1">IFERROR(__xludf.DUMMYFUNCTION("""COMPUTED_VALUE"""),"Full HD 1920x1080")</f>
        <v>Full HD 1920x1080</v>
      </c>
      <c r="G273" s="2" t="str">
        <f ca="1">IFERROR(__xludf.DUMMYFUNCTION("""COMPUTED_VALUE"""),"AMD Ryzen 1700 3GHz")</f>
        <v>AMD Ryzen 1700 3GHz</v>
      </c>
      <c r="H273" s="2" t="str">
        <f ca="1">IFERROR(__xludf.DUMMYFUNCTION("""COMPUTED_VALUE"""),"16GB")</f>
        <v>16GB</v>
      </c>
      <c r="I273" s="2" t="str">
        <f ca="1">IFERROR(__xludf.DUMMYFUNCTION("""COMPUTED_VALUE"""),"256GB SSD +  1TB HDD")</f>
        <v>256GB SSD +  1TB HDD</v>
      </c>
      <c r="J273" s="2" t="str">
        <f ca="1">IFERROR(__xludf.DUMMYFUNCTION("""COMPUTED_VALUE"""),"AMD Radeon RX 580")</f>
        <v>AMD Radeon RX 580</v>
      </c>
      <c r="K273" s="2" t="str">
        <f ca="1">IFERROR(__xludf.DUMMYFUNCTION("""COMPUTED_VALUE"""),"Windows 10")</f>
        <v>Windows 10</v>
      </c>
      <c r="L273" s="2" t="str">
        <f ca="1">IFERROR(__xludf.DUMMYFUNCTION("""COMPUTED_VALUE"""),"3.2kg")</f>
        <v>3.2kg</v>
      </c>
      <c r="M273" s="2">
        <f ca="1">IFERROR(__xludf.DUMMYFUNCTION("""COMPUTED_VALUE"""),1549)</f>
        <v>1549</v>
      </c>
    </row>
    <row r="274" spans="1:13">
      <c r="A274" s="2">
        <f ca="1">IFERROR(__xludf.DUMMYFUNCTION("""COMPUTED_VALUE"""),277)</f>
        <v>277</v>
      </c>
      <c r="B274" s="2" t="str">
        <f ca="1">IFERROR(__xludf.DUMMYFUNCTION("""COMPUTED_VALUE"""),"Dell")</f>
        <v>Dell</v>
      </c>
      <c r="C274" s="2" t="str">
        <f ca="1">IFERROR(__xludf.DUMMYFUNCTION("""COMPUTED_VALUE"""),"Inspiron 3576")</f>
        <v>Inspiron 3576</v>
      </c>
      <c r="D274" s="2" t="str">
        <f ca="1">IFERROR(__xludf.DUMMYFUNCTION("""COMPUTED_VALUE"""),"Notebook")</f>
        <v>Notebook</v>
      </c>
      <c r="E274" s="2">
        <f ca="1">IFERROR(__xludf.DUMMYFUNCTION("""COMPUTED_VALUE"""),15.6)</f>
        <v>15.6</v>
      </c>
      <c r="F274" s="2" t="str">
        <f ca="1">IFERROR(__xludf.DUMMYFUNCTION("""COMPUTED_VALUE"""),"Full HD 1920x1080")</f>
        <v>Full HD 1920x1080</v>
      </c>
      <c r="G274" s="2" t="str">
        <f ca="1">IFERROR(__xludf.DUMMYFUNCTION("""COMPUTED_VALUE"""),"Intel Core i7 8550U 1.8GHz")</f>
        <v>Intel Core i7 8550U 1.8GHz</v>
      </c>
      <c r="H274" s="2" t="str">
        <f ca="1">IFERROR(__xludf.DUMMYFUNCTION("""COMPUTED_VALUE"""),"8GB")</f>
        <v>8GB</v>
      </c>
      <c r="I274" s="2" t="str">
        <f ca="1">IFERROR(__xludf.DUMMYFUNCTION("""COMPUTED_VALUE"""),"256GB SSD")</f>
        <v>256GB SSD</v>
      </c>
      <c r="J274" s="2" t="str">
        <f ca="1">IFERROR(__xludf.DUMMYFUNCTION("""COMPUTED_VALUE"""),"AMD Radeon 520")</f>
        <v>AMD Radeon 520</v>
      </c>
      <c r="K274" s="2" t="str">
        <f ca="1">IFERROR(__xludf.DUMMYFUNCTION("""COMPUTED_VALUE"""),"Linux")</f>
        <v>Linux</v>
      </c>
      <c r="L274" s="2" t="str">
        <f ca="1">IFERROR(__xludf.DUMMYFUNCTION("""COMPUTED_VALUE"""),"2.14kg")</f>
        <v>2.14kg</v>
      </c>
      <c r="M274" s="2">
        <f ca="1">IFERROR(__xludf.DUMMYFUNCTION("""COMPUTED_VALUE"""),735.07)</f>
        <v>735.07</v>
      </c>
    </row>
    <row r="275" spans="1:13">
      <c r="A275" s="2">
        <f ca="1">IFERROR(__xludf.DUMMYFUNCTION("""COMPUTED_VALUE"""),278)</f>
        <v>278</v>
      </c>
      <c r="B275" s="2" t="str">
        <f ca="1">IFERROR(__xludf.DUMMYFUNCTION("""COMPUTED_VALUE"""),"Lenovo")</f>
        <v>Lenovo</v>
      </c>
      <c r="C275" s="2" t="str">
        <f ca="1">IFERROR(__xludf.DUMMYFUNCTION("""COMPUTED_VALUE"""),"ThinkPad X1")</f>
        <v>ThinkPad X1</v>
      </c>
      <c r="D275" s="2" t="str">
        <f ca="1">IFERROR(__xludf.DUMMYFUNCTION("""COMPUTED_VALUE"""),"2 in 1 Convertible")</f>
        <v>2 in 1 Convertible</v>
      </c>
      <c r="E275" s="2">
        <f ca="1">IFERROR(__xludf.DUMMYFUNCTION("""COMPUTED_VALUE"""),14)</f>
        <v>14</v>
      </c>
      <c r="F275" s="2" t="str">
        <f ca="1">IFERROR(__xludf.DUMMYFUNCTION("""COMPUTED_VALUE"""),"Touchscreen 2560x1440")</f>
        <v>Touchscreen 2560x1440</v>
      </c>
      <c r="G275" s="2" t="str">
        <f ca="1">IFERROR(__xludf.DUMMYFUNCTION("""COMPUTED_VALUE"""),"Intel Core i7 6600U 2.6GHz")</f>
        <v>Intel Core i7 6600U 2.6GHz</v>
      </c>
      <c r="H275" s="2" t="str">
        <f ca="1">IFERROR(__xludf.DUMMYFUNCTION("""COMPUTED_VALUE"""),"16GB")</f>
        <v>16GB</v>
      </c>
      <c r="I275" s="2" t="str">
        <f ca="1">IFERROR(__xludf.DUMMYFUNCTION("""COMPUTED_VALUE"""),"512GB SSD")</f>
        <v>512GB SSD</v>
      </c>
      <c r="J275" s="2" t="str">
        <f ca="1">IFERROR(__xludf.DUMMYFUNCTION("""COMPUTED_VALUE"""),"Intel HD Graphics 520")</f>
        <v>Intel HD Graphics 520</v>
      </c>
      <c r="K275" s="2" t="str">
        <f ca="1">IFERROR(__xludf.DUMMYFUNCTION("""COMPUTED_VALUE"""),"Windows 10")</f>
        <v>Windows 10</v>
      </c>
      <c r="L275" s="2" t="str">
        <f ca="1">IFERROR(__xludf.DUMMYFUNCTION("""COMPUTED_VALUE"""),"1.36kg")</f>
        <v>1.36kg</v>
      </c>
      <c r="M275" s="2">
        <f ca="1">IFERROR(__xludf.DUMMYFUNCTION("""COMPUTED_VALUE"""),2499)</f>
        <v>2499</v>
      </c>
    </row>
    <row r="276" spans="1:13">
      <c r="A276" s="2">
        <f ca="1">IFERROR(__xludf.DUMMYFUNCTION("""COMPUTED_VALUE"""),279)</f>
        <v>279</v>
      </c>
      <c r="B276" s="2" t="str">
        <f ca="1">IFERROR(__xludf.DUMMYFUNCTION("""COMPUTED_VALUE"""),"Toshiba")</f>
        <v>Toshiba</v>
      </c>
      <c r="C276" s="2" t="str">
        <f ca="1">IFERROR(__xludf.DUMMYFUNCTION("""COMPUTED_VALUE"""),"Satellite Pro")</f>
        <v>Satellite Pro</v>
      </c>
      <c r="D276" s="2" t="str">
        <f ca="1">IFERROR(__xludf.DUMMYFUNCTION("""COMPUTED_VALUE"""),"Notebook")</f>
        <v>Notebook</v>
      </c>
      <c r="E276" s="2">
        <f ca="1">IFERROR(__xludf.DUMMYFUNCTION("""COMPUTED_VALUE"""),15.6)</f>
        <v>15.6</v>
      </c>
      <c r="F276" s="2" t="str">
        <f ca="1">IFERROR(__xludf.DUMMYFUNCTION("""COMPUTED_VALUE"""),"1366x768")</f>
        <v>1366x768</v>
      </c>
      <c r="G276" s="2" t="str">
        <f ca="1">IFERROR(__xludf.DUMMYFUNCTION("""COMPUTED_VALUE"""),"Intel Core i7 6500U 2.5GHz")</f>
        <v>Intel Core i7 6500U 2.5GHz</v>
      </c>
      <c r="H276" s="2" t="str">
        <f ca="1">IFERROR(__xludf.DUMMYFUNCTION("""COMPUTED_VALUE"""),"8GB")</f>
        <v>8GB</v>
      </c>
      <c r="I276" s="2" t="str">
        <f ca="1">IFERROR(__xludf.DUMMYFUNCTION("""COMPUTED_VALUE"""),"500GB HDD")</f>
        <v>500GB HDD</v>
      </c>
      <c r="J276" s="2" t="str">
        <f ca="1">IFERROR(__xludf.DUMMYFUNCTION("""COMPUTED_VALUE"""),"Nvidia GeForce 930M")</f>
        <v>Nvidia GeForce 930M</v>
      </c>
      <c r="K276" s="2" t="str">
        <f ca="1">IFERROR(__xludf.DUMMYFUNCTION("""COMPUTED_VALUE"""),"Windows 10")</f>
        <v>Windows 10</v>
      </c>
      <c r="L276" s="2" t="str">
        <f ca="1">IFERROR(__xludf.DUMMYFUNCTION("""COMPUTED_VALUE"""),"2.2kg")</f>
        <v>2.2kg</v>
      </c>
      <c r="M276" s="2">
        <f ca="1">IFERROR(__xludf.DUMMYFUNCTION("""COMPUTED_VALUE"""),812)</f>
        <v>812</v>
      </c>
    </row>
    <row r="277" spans="1:13">
      <c r="A277" s="2">
        <f ca="1">IFERROR(__xludf.DUMMYFUNCTION("""COMPUTED_VALUE"""),280)</f>
        <v>280</v>
      </c>
      <c r="B277" s="2" t="str">
        <f ca="1">IFERROR(__xludf.DUMMYFUNCTION("""COMPUTED_VALUE"""),"Dell")</f>
        <v>Dell</v>
      </c>
      <c r="C277" s="2" t="str">
        <f ca="1">IFERROR(__xludf.DUMMYFUNCTION("""COMPUTED_VALUE"""),"Inspiron 5567")</f>
        <v>Inspiron 5567</v>
      </c>
      <c r="D277" s="2" t="str">
        <f ca="1">IFERROR(__xludf.DUMMYFUNCTION("""COMPUTED_VALUE"""),"Notebook")</f>
        <v>Notebook</v>
      </c>
      <c r="E277" s="2">
        <f ca="1">IFERROR(__xludf.DUMMYFUNCTION("""COMPUTED_VALUE"""),15.6)</f>
        <v>15.6</v>
      </c>
      <c r="F277" s="2" t="str">
        <f ca="1">IFERROR(__xludf.DUMMYFUNCTION("""COMPUTED_VALUE"""),"1366x768")</f>
        <v>1366x768</v>
      </c>
      <c r="G277" s="2" t="str">
        <f ca="1">IFERROR(__xludf.DUMMYFUNCTION("""COMPUTED_VALUE"""),"Intel Core i7 7500U 2.7GHz")</f>
        <v>Intel Core i7 7500U 2.7GHz</v>
      </c>
      <c r="H277" s="2" t="str">
        <f ca="1">IFERROR(__xludf.DUMMYFUNCTION("""COMPUTED_VALUE"""),"12GB")</f>
        <v>12GB</v>
      </c>
      <c r="I277" s="2" t="str">
        <f ca="1">IFERROR(__xludf.DUMMYFUNCTION("""COMPUTED_VALUE"""),"1TB HDD")</f>
        <v>1TB HDD</v>
      </c>
      <c r="J277" s="2" t="str">
        <f ca="1">IFERROR(__xludf.DUMMYFUNCTION("""COMPUTED_VALUE"""),"Intel HD Graphics 620")</f>
        <v>Intel HD Graphics 620</v>
      </c>
      <c r="K277" s="2" t="str">
        <f ca="1">IFERROR(__xludf.DUMMYFUNCTION("""COMPUTED_VALUE"""),"Windows 10")</f>
        <v>Windows 10</v>
      </c>
      <c r="L277" s="2" t="str">
        <f ca="1">IFERROR(__xludf.DUMMYFUNCTION("""COMPUTED_VALUE"""),"2.3kg")</f>
        <v>2.3kg</v>
      </c>
      <c r="M277" s="2">
        <f ca="1">IFERROR(__xludf.DUMMYFUNCTION("""COMPUTED_VALUE"""),713.07)</f>
        <v>713.07</v>
      </c>
    </row>
    <row r="278" spans="1:13">
      <c r="A278" s="2">
        <f ca="1">IFERROR(__xludf.DUMMYFUNCTION("""COMPUTED_VALUE"""),281)</f>
        <v>281</v>
      </c>
      <c r="B278" s="2" t="str">
        <f ca="1">IFERROR(__xludf.DUMMYFUNCTION("""COMPUTED_VALUE"""),"Dell")</f>
        <v>Dell</v>
      </c>
      <c r="C278" s="2" t="str">
        <f ca="1">IFERROR(__xludf.DUMMYFUNCTION("""COMPUTED_VALUE"""),"Inspiron 5770")</f>
        <v>Inspiron 5770</v>
      </c>
      <c r="D278" s="2" t="str">
        <f ca="1">IFERROR(__xludf.DUMMYFUNCTION("""COMPUTED_VALUE"""),"Notebook")</f>
        <v>Notebook</v>
      </c>
      <c r="E278" s="2">
        <f ca="1">IFERROR(__xludf.DUMMYFUNCTION("""COMPUTED_VALUE"""),17.3)</f>
        <v>17.3</v>
      </c>
      <c r="F278" s="2" t="str">
        <f ca="1">IFERROR(__xludf.DUMMYFUNCTION("""COMPUTED_VALUE"""),"Full HD 1920x1080")</f>
        <v>Full HD 1920x1080</v>
      </c>
      <c r="G278" s="2" t="str">
        <f ca="1">IFERROR(__xludf.DUMMYFUNCTION("""COMPUTED_VALUE"""),"Intel Core i7 8550U 1.8GHz")</f>
        <v>Intel Core i7 8550U 1.8GHz</v>
      </c>
      <c r="H278" s="2" t="str">
        <f ca="1">IFERROR(__xludf.DUMMYFUNCTION("""COMPUTED_VALUE"""),"8GB")</f>
        <v>8GB</v>
      </c>
      <c r="I278" s="2" t="str">
        <f ca="1">IFERROR(__xludf.DUMMYFUNCTION("""COMPUTED_VALUE"""),"128GB SSD +  1TB HDD")</f>
        <v>128GB SSD +  1TB HDD</v>
      </c>
      <c r="J278" s="2" t="str">
        <f ca="1">IFERROR(__xludf.DUMMYFUNCTION("""COMPUTED_VALUE"""),"AMD Radeon 530")</f>
        <v>AMD Radeon 530</v>
      </c>
      <c r="K278" s="2" t="str">
        <f ca="1">IFERROR(__xludf.DUMMYFUNCTION("""COMPUTED_VALUE"""),"Linux")</f>
        <v>Linux</v>
      </c>
      <c r="L278" s="2" t="str">
        <f ca="1">IFERROR(__xludf.DUMMYFUNCTION("""COMPUTED_VALUE"""),"2.8kg")</f>
        <v>2.8kg</v>
      </c>
      <c r="M278" s="2">
        <f ca="1">IFERROR(__xludf.DUMMYFUNCTION("""COMPUTED_VALUE"""),1099)</f>
        <v>1099</v>
      </c>
    </row>
    <row r="279" spans="1:13">
      <c r="A279" s="2">
        <f ca="1">IFERROR(__xludf.DUMMYFUNCTION("""COMPUTED_VALUE"""),282)</f>
        <v>282</v>
      </c>
      <c r="B279" s="2" t="str">
        <f ca="1">IFERROR(__xludf.DUMMYFUNCTION("""COMPUTED_VALUE"""),"Acer")</f>
        <v>Acer</v>
      </c>
      <c r="C279" s="2" t="str">
        <f ca="1">IFERROR(__xludf.DUMMYFUNCTION("""COMPUTED_VALUE"""),"Aspire A515-51G")</f>
        <v>Aspire A515-51G</v>
      </c>
      <c r="D279" s="2" t="str">
        <f ca="1">IFERROR(__xludf.DUMMYFUNCTION("""COMPUTED_VALUE"""),"Notebook")</f>
        <v>Notebook</v>
      </c>
      <c r="E279" s="2">
        <f ca="1">IFERROR(__xludf.DUMMYFUNCTION("""COMPUTED_VALUE"""),15.6)</f>
        <v>15.6</v>
      </c>
      <c r="F279" s="2" t="str">
        <f ca="1">IFERROR(__xludf.DUMMYFUNCTION("""COMPUTED_VALUE"""),"IPS Panel Full HD 1920x1080")</f>
        <v>IPS Panel Full HD 1920x1080</v>
      </c>
      <c r="G279" s="2" t="str">
        <f ca="1">IFERROR(__xludf.DUMMYFUNCTION("""COMPUTED_VALUE"""),"Intel Core i7 8550U 1.8GHz")</f>
        <v>Intel Core i7 8550U 1.8GHz</v>
      </c>
      <c r="H279" s="2" t="str">
        <f ca="1">IFERROR(__xludf.DUMMYFUNCTION("""COMPUTED_VALUE"""),"8GB")</f>
        <v>8GB</v>
      </c>
      <c r="I279" s="2" t="str">
        <f ca="1">IFERROR(__xludf.DUMMYFUNCTION("""COMPUTED_VALUE"""),"1TB HDD")</f>
        <v>1TB HDD</v>
      </c>
      <c r="J279" s="2" t="str">
        <f ca="1">IFERROR(__xludf.DUMMYFUNCTION("""COMPUTED_VALUE"""),"Nvidia GeForce MX130")</f>
        <v>Nvidia GeForce MX130</v>
      </c>
      <c r="K279" s="2" t="str">
        <f ca="1">IFERROR(__xludf.DUMMYFUNCTION("""COMPUTED_VALUE"""),"Windows 10")</f>
        <v>Windows 10</v>
      </c>
      <c r="L279" s="2" t="str">
        <f ca="1">IFERROR(__xludf.DUMMYFUNCTION("""COMPUTED_VALUE"""),"2.2kg")</f>
        <v>2.2kg</v>
      </c>
      <c r="M279" s="2">
        <f ca="1">IFERROR(__xludf.DUMMYFUNCTION("""COMPUTED_VALUE"""),745)</f>
        <v>745</v>
      </c>
    </row>
    <row r="280" spans="1:13">
      <c r="A280" s="2">
        <f ca="1">IFERROR(__xludf.DUMMYFUNCTION("""COMPUTED_VALUE"""),283)</f>
        <v>283</v>
      </c>
      <c r="B280" s="2" t="str">
        <f ca="1">IFERROR(__xludf.DUMMYFUNCTION("""COMPUTED_VALUE"""),"Lenovo")</f>
        <v>Lenovo</v>
      </c>
      <c r="C280" s="2" t="str">
        <f ca="1">IFERROR(__xludf.DUMMYFUNCTION("""COMPUTED_VALUE"""),"IdeaPad 320-17ISK")</f>
        <v>IdeaPad 320-17ISK</v>
      </c>
      <c r="D280" s="2" t="str">
        <f ca="1">IFERROR(__xludf.DUMMYFUNCTION("""COMPUTED_VALUE"""),"Notebook")</f>
        <v>Notebook</v>
      </c>
      <c r="E280" s="2">
        <f ca="1">IFERROR(__xludf.DUMMYFUNCTION("""COMPUTED_VALUE"""),17.3)</f>
        <v>17.3</v>
      </c>
      <c r="F280" s="2" t="str">
        <f ca="1">IFERROR(__xludf.DUMMYFUNCTION("""COMPUTED_VALUE"""),"1600x900")</f>
        <v>1600x900</v>
      </c>
      <c r="G280" s="2" t="str">
        <f ca="1">IFERROR(__xludf.DUMMYFUNCTION("""COMPUTED_VALUE"""),"Intel Core i3 6006U 2GHz")</f>
        <v>Intel Core i3 6006U 2GHz</v>
      </c>
      <c r="H280" s="2" t="str">
        <f ca="1">IFERROR(__xludf.DUMMYFUNCTION("""COMPUTED_VALUE"""),"4GB")</f>
        <v>4GB</v>
      </c>
      <c r="I280" s="2" t="str">
        <f ca="1">IFERROR(__xludf.DUMMYFUNCTION("""COMPUTED_VALUE"""),"1TB HDD")</f>
        <v>1TB HDD</v>
      </c>
      <c r="J280" s="2" t="str">
        <f ca="1">IFERROR(__xludf.DUMMYFUNCTION("""COMPUTED_VALUE"""),"Intel HD Graphics 520")</f>
        <v>Intel HD Graphics 520</v>
      </c>
      <c r="K280" s="2" t="str">
        <f ca="1">IFERROR(__xludf.DUMMYFUNCTION("""COMPUTED_VALUE"""),"Windows 10")</f>
        <v>Windows 10</v>
      </c>
      <c r="L280" s="2" t="str">
        <f ca="1">IFERROR(__xludf.DUMMYFUNCTION("""COMPUTED_VALUE"""),"2.8kg")</f>
        <v>2.8kg</v>
      </c>
      <c r="M280" s="2">
        <f ca="1">IFERROR(__xludf.DUMMYFUNCTION("""COMPUTED_VALUE"""),489)</f>
        <v>489</v>
      </c>
    </row>
    <row r="281" spans="1:13">
      <c r="A281" s="2">
        <f ca="1">IFERROR(__xludf.DUMMYFUNCTION("""COMPUTED_VALUE"""),284)</f>
        <v>284</v>
      </c>
      <c r="B281" s="2" t="str">
        <f ca="1">IFERROR(__xludf.DUMMYFUNCTION("""COMPUTED_VALUE"""),"Lenovo")</f>
        <v>Lenovo</v>
      </c>
      <c r="C281" s="2" t="str">
        <f ca="1">IFERROR(__xludf.DUMMYFUNCTION("""COMPUTED_VALUE"""),"IdeaPad 320-17IKBR")</f>
        <v>IdeaPad 320-17IKBR</v>
      </c>
      <c r="D281" s="2" t="str">
        <f ca="1">IFERROR(__xludf.DUMMYFUNCTION("""COMPUTED_VALUE"""),"Notebook")</f>
        <v>Notebook</v>
      </c>
      <c r="E281" s="2">
        <f ca="1">IFERROR(__xludf.DUMMYFUNCTION("""COMPUTED_VALUE"""),17.3)</f>
        <v>17.3</v>
      </c>
      <c r="F281" s="2" t="str">
        <f ca="1">IFERROR(__xludf.DUMMYFUNCTION("""COMPUTED_VALUE"""),"Full HD 1920x1080")</f>
        <v>Full HD 1920x1080</v>
      </c>
      <c r="G281" s="2" t="str">
        <f ca="1">IFERROR(__xludf.DUMMYFUNCTION("""COMPUTED_VALUE"""),"Intel Core i7 8550U 1.8GHz")</f>
        <v>Intel Core i7 8550U 1.8GHz</v>
      </c>
      <c r="H281" s="2" t="str">
        <f ca="1">IFERROR(__xludf.DUMMYFUNCTION("""COMPUTED_VALUE"""),"8GB")</f>
        <v>8GB</v>
      </c>
      <c r="I281" s="2" t="str">
        <f ca="1">IFERROR(__xludf.DUMMYFUNCTION("""COMPUTED_VALUE"""),"2TB HDD")</f>
        <v>2TB HDD</v>
      </c>
      <c r="J281" s="2" t="str">
        <f ca="1">IFERROR(__xludf.DUMMYFUNCTION("""COMPUTED_VALUE"""),"Nvidia GeForce MX150")</f>
        <v>Nvidia GeForce MX150</v>
      </c>
      <c r="K281" s="2" t="str">
        <f ca="1">IFERROR(__xludf.DUMMYFUNCTION("""COMPUTED_VALUE"""),"No OS")</f>
        <v>No OS</v>
      </c>
      <c r="L281" s="2" t="str">
        <f ca="1">IFERROR(__xludf.DUMMYFUNCTION("""COMPUTED_VALUE"""),"2.8kg")</f>
        <v>2.8kg</v>
      </c>
      <c r="M281" s="2">
        <f ca="1">IFERROR(__xludf.DUMMYFUNCTION("""COMPUTED_VALUE"""),849)</f>
        <v>849</v>
      </c>
    </row>
    <row r="282" spans="1:13">
      <c r="A282" s="2">
        <f ca="1">IFERROR(__xludf.DUMMYFUNCTION("""COMPUTED_VALUE"""),285)</f>
        <v>285</v>
      </c>
      <c r="B282" s="2" t="str">
        <f ca="1">IFERROR(__xludf.DUMMYFUNCTION("""COMPUTED_VALUE"""),"Lenovo")</f>
        <v>Lenovo</v>
      </c>
      <c r="C282" s="2" t="str">
        <f ca="1">IFERROR(__xludf.DUMMYFUNCTION("""COMPUTED_VALUE"""),"IdeaPad 320-17IKB")</f>
        <v>IdeaPad 320-17IKB</v>
      </c>
      <c r="D282" s="2" t="str">
        <f ca="1">IFERROR(__xludf.DUMMYFUNCTION("""COMPUTED_VALUE"""),"Notebook")</f>
        <v>Notebook</v>
      </c>
      <c r="E282" s="2">
        <f ca="1">IFERROR(__xludf.DUMMYFUNCTION("""COMPUTED_VALUE"""),17.3)</f>
        <v>17.3</v>
      </c>
      <c r="F282" s="2" t="str">
        <f ca="1">IFERROR(__xludf.DUMMYFUNCTION("""COMPUTED_VALUE"""),"1600x900")</f>
        <v>1600x900</v>
      </c>
      <c r="G282" s="2" t="str">
        <f ca="1">IFERROR(__xludf.DUMMYFUNCTION("""COMPUTED_VALUE"""),"Intel Core i7 7500U 2.7GHz")</f>
        <v>Intel Core i7 7500U 2.7GHz</v>
      </c>
      <c r="H282" s="2" t="str">
        <f ca="1">IFERROR(__xludf.DUMMYFUNCTION("""COMPUTED_VALUE"""),"6GB")</f>
        <v>6GB</v>
      </c>
      <c r="I282" s="2" t="str">
        <f ca="1">IFERROR(__xludf.DUMMYFUNCTION("""COMPUTED_VALUE"""),"128GB SSD +  1TB HDD")</f>
        <v>128GB SSD +  1TB HDD</v>
      </c>
      <c r="J282" s="2" t="str">
        <f ca="1">IFERROR(__xludf.DUMMYFUNCTION("""COMPUTED_VALUE"""),"Nvidia GeForce 940MX")</f>
        <v>Nvidia GeForce 940MX</v>
      </c>
      <c r="K282" s="2" t="str">
        <f ca="1">IFERROR(__xludf.DUMMYFUNCTION("""COMPUTED_VALUE"""),"Windows 10")</f>
        <v>Windows 10</v>
      </c>
      <c r="L282" s="2" t="str">
        <f ca="1">IFERROR(__xludf.DUMMYFUNCTION("""COMPUTED_VALUE"""),"2.8kg")</f>
        <v>2.8kg</v>
      </c>
      <c r="M282" s="2">
        <f ca="1">IFERROR(__xludf.DUMMYFUNCTION("""COMPUTED_VALUE"""),859)</f>
        <v>859</v>
      </c>
    </row>
    <row r="283" spans="1:13">
      <c r="A283" s="2">
        <f ca="1">IFERROR(__xludf.DUMMYFUNCTION("""COMPUTED_VALUE"""),286)</f>
        <v>286</v>
      </c>
      <c r="B283" s="2" t="str">
        <f ca="1">IFERROR(__xludf.DUMMYFUNCTION("""COMPUTED_VALUE"""),"Dell")</f>
        <v>Dell</v>
      </c>
      <c r="C283" s="2" t="str">
        <f ca="1">IFERROR(__xludf.DUMMYFUNCTION("""COMPUTED_VALUE"""),"Inspiron 3567")</f>
        <v>Inspiron 3567</v>
      </c>
      <c r="D283" s="2" t="str">
        <f ca="1">IFERROR(__xludf.DUMMYFUNCTION("""COMPUTED_VALUE"""),"Notebook")</f>
        <v>Notebook</v>
      </c>
      <c r="E283" s="2">
        <f ca="1">IFERROR(__xludf.DUMMYFUNCTION("""COMPUTED_VALUE"""),15.6)</f>
        <v>15.6</v>
      </c>
      <c r="F283" s="2" t="str">
        <f ca="1">IFERROR(__xludf.DUMMYFUNCTION("""COMPUTED_VALUE"""),"Full HD 1920x1080")</f>
        <v>Full HD 1920x1080</v>
      </c>
      <c r="G283" s="2" t="str">
        <f ca="1">IFERROR(__xludf.DUMMYFUNCTION("""COMPUTED_VALUE"""),"Intel Core i3 6006U 2.0GHz")</f>
        <v>Intel Core i3 6006U 2.0GHz</v>
      </c>
      <c r="H283" s="2" t="str">
        <f ca="1">IFERROR(__xludf.DUMMYFUNCTION("""COMPUTED_VALUE"""),"4GB")</f>
        <v>4GB</v>
      </c>
      <c r="I283" s="2" t="str">
        <f ca="1">IFERROR(__xludf.DUMMYFUNCTION("""COMPUTED_VALUE"""),"1TB HDD")</f>
        <v>1TB HDD</v>
      </c>
      <c r="J283" s="2" t="str">
        <f ca="1">IFERROR(__xludf.DUMMYFUNCTION("""COMPUTED_VALUE"""),"AMD Radeon R5 M430")</f>
        <v>AMD Radeon R5 M430</v>
      </c>
      <c r="K283" s="2" t="str">
        <f ca="1">IFERROR(__xludf.DUMMYFUNCTION("""COMPUTED_VALUE"""),"Linux")</f>
        <v>Linux</v>
      </c>
      <c r="L283" s="2" t="str">
        <f ca="1">IFERROR(__xludf.DUMMYFUNCTION("""COMPUTED_VALUE"""),"2.25kg")</f>
        <v>2.25kg</v>
      </c>
      <c r="M283" s="2">
        <f ca="1">IFERROR(__xludf.DUMMYFUNCTION("""COMPUTED_VALUE"""),428)</f>
        <v>428</v>
      </c>
    </row>
    <row r="284" spans="1:13">
      <c r="A284" s="2">
        <f ca="1">IFERROR(__xludf.DUMMYFUNCTION("""COMPUTED_VALUE"""),287)</f>
        <v>287</v>
      </c>
      <c r="B284" s="2" t="str">
        <f ca="1">IFERROR(__xludf.DUMMYFUNCTION("""COMPUTED_VALUE"""),"Lenovo")</f>
        <v>Lenovo</v>
      </c>
      <c r="C284" s="2" t="str">
        <f ca="1">IFERROR(__xludf.DUMMYFUNCTION("""COMPUTED_VALUE"""),"Legion Y520-15IKBN")</f>
        <v>Legion Y520-15IKBN</v>
      </c>
      <c r="D284" s="2" t="str">
        <f ca="1">IFERROR(__xludf.DUMMYFUNCTION("""COMPUTED_VALUE"""),"Gaming")</f>
        <v>Gaming</v>
      </c>
      <c r="E284" s="2">
        <f ca="1">IFERROR(__xludf.DUMMYFUNCTION("""COMPUTED_VALUE"""),15.6)</f>
        <v>15.6</v>
      </c>
      <c r="F284" s="2" t="str">
        <f ca="1">IFERROR(__xludf.DUMMYFUNCTION("""COMPUTED_VALUE"""),"IPS Panel Full HD 1920x1080")</f>
        <v>IPS Panel Full HD 1920x1080</v>
      </c>
      <c r="G284" s="2" t="str">
        <f ca="1">IFERROR(__xludf.DUMMYFUNCTION("""COMPUTED_VALUE"""),"Intel Core i5 7300HQ 2.5GHz")</f>
        <v>Intel Core i5 7300HQ 2.5GHz</v>
      </c>
      <c r="H284" s="2" t="str">
        <f ca="1">IFERROR(__xludf.DUMMYFUNCTION("""COMPUTED_VALUE"""),"8GB")</f>
        <v>8GB</v>
      </c>
      <c r="I284" s="2" t="str">
        <f ca="1">IFERROR(__xludf.DUMMYFUNCTION("""COMPUTED_VALUE"""),"256GB SSD")</f>
        <v>256GB SSD</v>
      </c>
      <c r="J284" s="2" t="str">
        <f ca="1">IFERROR(__xludf.DUMMYFUNCTION("""COMPUTED_VALUE"""),"Nvidia GeForce GTX 1050")</f>
        <v>Nvidia GeForce GTX 1050</v>
      </c>
      <c r="K284" s="2" t="str">
        <f ca="1">IFERROR(__xludf.DUMMYFUNCTION("""COMPUTED_VALUE"""),"Windows 10")</f>
        <v>Windows 10</v>
      </c>
      <c r="L284" s="2" t="str">
        <f ca="1">IFERROR(__xludf.DUMMYFUNCTION("""COMPUTED_VALUE"""),"2.5kg")</f>
        <v>2.5kg</v>
      </c>
      <c r="M284" s="2">
        <f ca="1">IFERROR(__xludf.DUMMYFUNCTION("""COMPUTED_VALUE"""),829)</f>
        <v>829</v>
      </c>
    </row>
    <row r="285" spans="1:13">
      <c r="A285" s="2">
        <f ca="1">IFERROR(__xludf.DUMMYFUNCTION("""COMPUTED_VALUE"""),288)</f>
        <v>288</v>
      </c>
      <c r="B285" s="2" t="str">
        <f ca="1">IFERROR(__xludf.DUMMYFUNCTION("""COMPUTED_VALUE"""),"Lenovo")</f>
        <v>Lenovo</v>
      </c>
      <c r="C285" s="2" t="str">
        <f ca="1">IFERROR(__xludf.DUMMYFUNCTION("""COMPUTED_VALUE"""),"Ideapad 320-15IKBN")</f>
        <v>Ideapad 320-15IKBN</v>
      </c>
      <c r="D285" s="2" t="str">
        <f ca="1">IFERROR(__xludf.DUMMYFUNCTION("""COMPUTED_VALUE"""),"Notebook")</f>
        <v>Notebook</v>
      </c>
      <c r="E285" s="2">
        <f ca="1">IFERROR(__xludf.DUMMYFUNCTION("""COMPUTED_VALUE"""),15.6)</f>
        <v>15.6</v>
      </c>
      <c r="F285" s="2" t="str">
        <f ca="1">IFERROR(__xludf.DUMMYFUNCTION("""COMPUTED_VALUE"""),"Full HD 1920x1080")</f>
        <v>Full HD 1920x1080</v>
      </c>
      <c r="G285" s="2" t="str">
        <f ca="1">IFERROR(__xludf.DUMMYFUNCTION("""COMPUTED_VALUE"""),"Intel Core i5 7200U 2.5GHz")</f>
        <v>Intel Core i5 7200U 2.5GHz</v>
      </c>
      <c r="H285" s="2" t="str">
        <f ca="1">IFERROR(__xludf.DUMMYFUNCTION("""COMPUTED_VALUE"""),"6GB")</f>
        <v>6GB</v>
      </c>
      <c r="I285" s="2" t="str">
        <f ca="1">IFERROR(__xludf.DUMMYFUNCTION("""COMPUTED_VALUE"""),"256GB SSD")</f>
        <v>256GB SSD</v>
      </c>
      <c r="J285" s="2" t="str">
        <f ca="1">IFERROR(__xludf.DUMMYFUNCTION("""COMPUTED_VALUE"""),"Intel HD Graphics 620")</f>
        <v>Intel HD Graphics 620</v>
      </c>
      <c r="K285" s="2" t="str">
        <f ca="1">IFERROR(__xludf.DUMMYFUNCTION("""COMPUTED_VALUE"""),"Windows 10")</f>
        <v>Windows 10</v>
      </c>
      <c r="L285" s="2" t="str">
        <f ca="1">IFERROR(__xludf.DUMMYFUNCTION("""COMPUTED_VALUE"""),"2.2kg")</f>
        <v>2.2kg</v>
      </c>
      <c r="M285" s="2">
        <f ca="1">IFERROR(__xludf.DUMMYFUNCTION("""COMPUTED_VALUE"""),579)</f>
        <v>579</v>
      </c>
    </row>
    <row r="286" spans="1:13">
      <c r="A286" s="2">
        <f ca="1">IFERROR(__xludf.DUMMYFUNCTION("""COMPUTED_VALUE"""),289)</f>
        <v>289</v>
      </c>
      <c r="B286" s="2" t="str">
        <f ca="1">IFERROR(__xludf.DUMMYFUNCTION("""COMPUTED_VALUE"""),"Acer")</f>
        <v>Acer</v>
      </c>
      <c r="C286" s="2" t="str">
        <f ca="1">IFERROR(__xludf.DUMMYFUNCTION("""COMPUTED_VALUE"""),"Aspire A517-51G")</f>
        <v>Aspire A517-51G</v>
      </c>
      <c r="D286" s="2" t="str">
        <f ca="1">IFERROR(__xludf.DUMMYFUNCTION("""COMPUTED_VALUE"""),"Notebook")</f>
        <v>Notebook</v>
      </c>
      <c r="E286" s="2">
        <f ca="1">IFERROR(__xludf.DUMMYFUNCTION("""COMPUTED_VALUE"""),15.6)</f>
        <v>15.6</v>
      </c>
      <c r="F286" s="2" t="str">
        <f ca="1">IFERROR(__xludf.DUMMYFUNCTION("""COMPUTED_VALUE"""),"IPS Panel Full HD 1920x1080")</f>
        <v>IPS Panel Full HD 1920x1080</v>
      </c>
      <c r="G286" s="2" t="str">
        <f ca="1">IFERROR(__xludf.DUMMYFUNCTION("""COMPUTED_VALUE"""),"Intel Core i7 8550U 1.8GHz")</f>
        <v>Intel Core i7 8550U 1.8GHz</v>
      </c>
      <c r="H286" s="2" t="str">
        <f ca="1">IFERROR(__xludf.DUMMYFUNCTION("""COMPUTED_VALUE"""),"8GB")</f>
        <v>8GB</v>
      </c>
      <c r="I286" s="2" t="str">
        <f ca="1">IFERROR(__xludf.DUMMYFUNCTION("""COMPUTED_VALUE"""),"256GB SSD")</f>
        <v>256GB SSD</v>
      </c>
      <c r="J286" s="2" t="str">
        <f ca="1">IFERROR(__xludf.DUMMYFUNCTION("""COMPUTED_VALUE"""),"Nvidia GeForce MX150")</f>
        <v>Nvidia GeForce MX150</v>
      </c>
      <c r="K286" s="2" t="str">
        <f ca="1">IFERROR(__xludf.DUMMYFUNCTION("""COMPUTED_VALUE"""),"Windows 10")</f>
        <v>Windows 10</v>
      </c>
      <c r="L286" s="2" t="str">
        <f ca="1">IFERROR(__xludf.DUMMYFUNCTION("""COMPUTED_VALUE"""),"3kg")</f>
        <v>3kg</v>
      </c>
      <c r="M286" s="2">
        <f ca="1">IFERROR(__xludf.DUMMYFUNCTION("""COMPUTED_VALUE"""),951)</f>
        <v>951</v>
      </c>
    </row>
    <row r="287" spans="1:13">
      <c r="A287" s="2">
        <f ca="1">IFERROR(__xludf.DUMMYFUNCTION("""COMPUTED_VALUE"""),290)</f>
        <v>290</v>
      </c>
      <c r="B287" s="2" t="str">
        <f ca="1">IFERROR(__xludf.DUMMYFUNCTION("""COMPUTED_VALUE"""),"Acer")</f>
        <v>Acer</v>
      </c>
      <c r="C287" s="2" t="str">
        <f ca="1">IFERROR(__xludf.DUMMYFUNCTION("""COMPUTED_VALUE"""),"SP315-51 (i7-7500U/12GB/1TB/FHD/W10)")</f>
        <v>SP315-51 (i7-7500U/12GB/1TB/FHD/W10)</v>
      </c>
      <c r="D287" s="2" t="str">
        <f ca="1">IFERROR(__xludf.DUMMYFUNCTION("""COMPUTED_VALUE"""),"Notebook")</f>
        <v>Notebook</v>
      </c>
      <c r="E287" s="2">
        <f ca="1">IFERROR(__xludf.DUMMYFUNCTION("""COMPUTED_VALUE"""),15.6)</f>
        <v>15.6</v>
      </c>
      <c r="F287" s="2" t="str">
        <f ca="1">IFERROR(__xludf.DUMMYFUNCTION("""COMPUTED_VALUE"""),"IPS Panel Full HD / Touchscreen 1920x1080")</f>
        <v>IPS Panel Full HD / Touchscreen 1920x1080</v>
      </c>
      <c r="G287" s="2" t="str">
        <f ca="1">IFERROR(__xludf.DUMMYFUNCTION("""COMPUTED_VALUE"""),"Intel Core i7 7500U 2.7GHz")</f>
        <v>Intel Core i7 7500U 2.7GHz</v>
      </c>
      <c r="H287" s="2" t="str">
        <f ca="1">IFERROR(__xludf.DUMMYFUNCTION("""COMPUTED_VALUE"""),"12GB")</f>
        <v>12GB</v>
      </c>
      <c r="I287" s="2" t="str">
        <f ca="1">IFERROR(__xludf.DUMMYFUNCTION("""COMPUTED_VALUE"""),"1TB HDD")</f>
        <v>1TB HDD</v>
      </c>
      <c r="J287" s="2" t="str">
        <f ca="1">IFERROR(__xludf.DUMMYFUNCTION("""COMPUTED_VALUE"""),"Intel HD Graphics 620")</f>
        <v>Intel HD Graphics 620</v>
      </c>
      <c r="K287" s="2" t="str">
        <f ca="1">IFERROR(__xludf.DUMMYFUNCTION("""COMPUTED_VALUE"""),"Windows 10")</f>
        <v>Windows 10</v>
      </c>
      <c r="L287" s="2" t="str">
        <f ca="1">IFERROR(__xludf.DUMMYFUNCTION("""COMPUTED_VALUE"""),"2.15kg")</f>
        <v>2.15kg</v>
      </c>
      <c r="M287" s="2">
        <f ca="1">IFERROR(__xludf.DUMMYFUNCTION("""COMPUTED_VALUE"""),659)</f>
        <v>659</v>
      </c>
    </row>
    <row r="288" spans="1:13">
      <c r="A288" s="2">
        <f ca="1">IFERROR(__xludf.DUMMYFUNCTION("""COMPUTED_VALUE"""),291)</f>
        <v>291</v>
      </c>
      <c r="B288" s="2" t="str">
        <f ca="1">IFERROR(__xludf.DUMMYFUNCTION("""COMPUTED_VALUE"""),"Lenovo")</f>
        <v>Lenovo</v>
      </c>
      <c r="C288" s="2" t="str">
        <f ca="1">IFERROR(__xludf.DUMMYFUNCTION("""COMPUTED_VALUE"""),"Thinkpad T570")</f>
        <v>Thinkpad T570</v>
      </c>
      <c r="D288" s="2" t="str">
        <f ca="1">IFERROR(__xludf.DUMMYFUNCTION("""COMPUTED_VALUE"""),"Notebook")</f>
        <v>Notebook</v>
      </c>
      <c r="E288" s="2">
        <f ca="1">IFERROR(__xludf.DUMMYFUNCTION("""COMPUTED_VALUE"""),15.6)</f>
        <v>15.6</v>
      </c>
      <c r="F288" s="2" t="str">
        <f ca="1">IFERROR(__xludf.DUMMYFUNCTION("""COMPUTED_VALUE"""),"IPS Panel Full HD 1920x1080")</f>
        <v>IPS Panel Full HD 1920x1080</v>
      </c>
      <c r="G288" s="2" t="str">
        <f ca="1">IFERROR(__xludf.DUMMYFUNCTION("""COMPUTED_VALUE"""),"Intel Core i7 7500U 2.7GHz")</f>
        <v>Intel Core i7 7500U 2.7GHz</v>
      </c>
      <c r="H288" s="2" t="str">
        <f ca="1">IFERROR(__xludf.DUMMYFUNCTION("""COMPUTED_VALUE"""),"8GB")</f>
        <v>8GB</v>
      </c>
      <c r="I288" s="2" t="str">
        <f ca="1">IFERROR(__xludf.DUMMYFUNCTION("""COMPUTED_VALUE"""),"256GB SSD")</f>
        <v>256GB SSD</v>
      </c>
      <c r="J288" s="2" t="str">
        <f ca="1">IFERROR(__xludf.DUMMYFUNCTION("""COMPUTED_VALUE"""),"Intel HD Graphics 630")</f>
        <v>Intel HD Graphics 630</v>
      </c>
      <c r="K288" s="2" t="str">
        <f ca="1">IFERROR(__xludf.DUMMYFUNCTION("""COMPUTED_VALUE"""),"Windows 10")</f>
        <v>Windows 10</v>
      </c>
      <c r="L288" s="2" t="str">
        <f ca="1">IFERROR(__xludf.DUMMYFUNCTION("""COMPUTED_VALUE"""),"1.95kg")</f>
        <v>1.95kg</v>
      </c>
      <c r="M288" s="2">
        <f ca="1">IFERROR(__xludf.DUMMYFUNCTION("""COMPUTED_VALUE"""),1097)</f>
        <v>1097</v>
      </c>
    </row>
    <row r="289" spans="1:13">
      <c r="A289" s="2">
        <f ca="1">IFERROR(__xludf.DUMMYFUNCTION("""COMPUTED_VALUE"""),292)</f>
        <v>292</v>
      </c>
      <c r="B289" s="2" t="str">
        <f ca="1">IFERROR(__xludf.DUMMYFUNCTION("""COMPUTED_VALUE"""),"Asus")</f>
        <v>Asus</v>
      </c>
      <c r="C289" s="2" t="str">
        <f ca="1">IFERROR(__xludf.DUMMYFUNCTION("""COMPUTED_VALUE"""),"VivoBook S15")</f>
        <v>VivoBook S15</v>
      </c>
      <c r="D289" s="2" t="str">
        <f ca="1">IFERROR(__xludf.DUMMYFUNCTION("""COMPUTED_VALUE"""),"Ultrabook")</f>
        <v>Ultrabook</v>
      </c>
      <c r="E289" s="2">
        <f ca="1">IFERROR(__xludf.DUMMYFUNCTION("""COMPUTED_VALUE"""),15.6)</f>
        <v>15.6</v>
      </c>
      <c r="F289" s="2" t="str">
        <f ca="1">IFERROR(__xludf.DUMMYFUNCTION("""COMPUTED_VALUE"""),"Full HD 1920x1080")</f>
        <v>Full HD 1920x1080</v>
      </c>
      <c r="G289" s="2" t="str">
        <f ca="1">IFERROR(__xludf.DUMMYFUNCTION("""COMPUTED_VALUE"""),"Intel Core i5 7200U 2.5GHz")</f>
        <v>Intel Core i5 7200U 2.5GHz</v>
      </c>
      <c r="H289" s="2" t="str">
        <f ca="1">IFERROR(__xludf.DUMMYFUNCTION("""COMPUTED_VALUE"""),"8GB")</f>
        <v>8GB</v>
      </c>
      <c r="I289" s="2" t="str">
        <f ca="1">IFERROR(__xludf.DUMMYFUNCTION("""COMPUTED_VALUE"""),"256GB SSD")</f>
        <v>256GB SSD</v>
      </c>
      <c r="J289" s="2" t="str">
        <f ca="1">IFERROR(__xludf.DUMMYFUNCTION("""COMPUTED_VALUE"""),"Nvidia GeForce 940MX")</f>
        <v>Nvidia GeForce 940MX</v>
      </c>
      <c r="K289" s="2" t="str">
        <f ca="1">IFERROR(__xludf.DUMMYFUNCTION("""COMPUTED_VALUE"""),"Windows 10")</f>
        <v>Windows 10</v>
      </c>
      <c r="L289" s="2" t="str">
        <f ca="1">IFERROR(__xludf.DUMMYFUNCTION("""COMPUTED_VALUE"""),"1.7kg")</f>
        <v>1.7kg</v>
      </c>
      <c r="M289" s="2">
        <f ca="1">IFERROR(__xludf.DUMMYFUNCTION("""COMPUTED_VALUE"""),977)</f>
        <v>977</v>
      </c>
    </row>
    <row r="290" spans="1:13">
      <c r="A290" s="2">
        <f ca="1">IFERROR(__xludf.DUMMYFUNCTION("""COMPUTED_VALUE"""),293)</f>
        <v>293</v>
      </c>
      <c r="B290" s="2" t="str">
        <f ca="1">IFERROR(__xludf.DUMMYFUNCTION("""COMPUTED_VALUE"""),"Lenovo")</f>
        <v>Lenovo</v>
      </c>
      <c r="C290" s="2" t="str">
        <f ca="1">IFERROR(__xludf.DUMMYFUNCTION("""COMPUTED_VALUE"""),"Legion Y520-15IKBN")</f>
        <v>Legion Y520-15IKBN</v>
      </c>
      <c r="D290" s="2" t="str">
        <f ca="1">IFERROR(__xludf.DUMMYFUNCTION("""COMPUTED_VALUE"""),"Gaming")</f>
        <v>Gaming</v>
      </c>
      <c r="E290" s="2">
        <f ca="1">IFERROR(__xludf.DUMMYFUNCTION("""COMPUTED_VALUE"""),15.6)</f>
        <v>15.6</v>
      </c>
      <c r="F290" s="2" t="str">
        <f ca="1">IFERROR(__xludf.DUMMYFUNCTION("""COMPUTED_VALUE"""),"IPS Panel Full HD 1920x1080")</f>
        <v>IPS Panel Full HD 1920x1080</v>
      </c>
      <c r="G290" s="2" t="str">
        <f ca="1">IFERROR(__xludf.DUMMYFUNCTION("""COMPUTED_VALUE"""),"Intel Core i7 7700HQ 2.8GHz")</f>
        <v>Intel Core i7 7700HQ 2.8GHz</v>
      </c>
      <c r="H290" s="2" t="str">
        <f ca="1">IFERROR(__xludf.DUMMYFUNCTION("""COMPUTED_VALUE"""),"16GB")</f>
        <v>16GB</v>
      </c>
      <c r="I290" s="2" t="str">
        <f ca="1">IFERROR(__xludf.DUMMYFUNCTION("""COMPUTED_VALUE"""),"256GB SSD +  1TB HDD")</f>
        <v>256GB SSD +  1TB HDD</v>
      </c>
      <c r="J290" s="2" t="str">
        <f ca="1">IFERROR(__xludf.DUMMYFUNCTION("""COMPUTED_VALUE"""),"Nvidia GeForce GTX 1050 Ti")</f>
        <v>Nvidia GeForce GTX 1050 Ti</v>
      </c>
      <c r="K290" s="2" t="str">
        <f ca="1">IFERROR(__xludf.DUMMYFUNCTION("""COMPUTED_VALUE"""),"Windows 10")</f>
        <v>Windows 10</v>
      </c>
      <c r="L290" s="2" t="str">
        <f ca="1">IFERROR(__xludf.DUMMYFUNCTION("""COMPUTED_VALUE"""),"2.5kg")</f>
        <v>2.5kg</v>
      </c>
      <c r="M290" s="2">
        <f ca="1">IFERROR(__xludf.DUMMYFUNCTION("""COMPUTED_VALUE"""),1179)</f>
        <v>1179</v>
      </c>
    </row>
    <row r="291" spans="1:13">
      <c r="A291" s="2">
        <f ca="1">IFERROR(__xludf.DUMMYFUNCTION("""COMPUTED_VALUE"""),294)</f>
        <v>294</v>
      </c>
      <c r="B291" s="2" t="str">
        <f ca="1">IFERROR(__xludf.DUMMYFUNCTION("""COMPUTED_VALUE"""),"Lenovo")</f>
        <v>Lenovo</v>
      </c>
      <c r="C291" s="2" t="str">
        <f ca="1">IFERROR(__xludf.DUMMYFUNCTION("""COMPUTED_VALUE"""),"IdeaPad 320-15IKB")</f>
        <v>IdeaPad 320-15IKB</v>
      </c>
      <c r="D291" s="2" t="str">
        <f ca="1">IFERROR(__xludf.DUMMYFUNCTION("""COMPUTED_VALUE"""),"Notebook")</f>
        <v>Notebook</v>
      </c>
      <c r="E291" s="2">
        <f ca="1">IFERROR(__xludf.DUMMYFUNCTION("""COMPUTED_VALUE"""),15.6)</f>
        <v>15.6</v>
      </c>
      <c r="F291" s="2" t="str">
        <f ca="1">IFERROR(__xludf.DUMMYFUNCTION("""COMPUTED_VALUE"""),"Full HD 1920x1080")</f>
        <v>Full HD 1920x1080</v>
      </c>
      <c r="G291" s="2" t="str">
        <f ca="1">IFERROR(__xludf.DUMMYFUNCTION("""COMPUTED_VALUE"""),"Intel Core i7 7500U 2.7GHz")</f>
        <v>Intel Core i7 7500U 2.7GHz</v>
      </c>
      <c r="H291" s="2" t="str">
        <f ca="1">IFERROR(__xludf.DUMMYFUNCTION("""COMPUTED_VALUE"""),"8GB")</f>
        <v>8GB</v>
      </c>
      <c r="I291" s="2" t="str">
        <f ca="1">IFERROR(__xludf.DUMMYFUNCTION("""COMPUTED_VALUE"""),"1TB HDD")</f>
        <v>1TB HDD</v>
      </c>
      <c r="J291" s="2" t="str">
        <f ca="1">IFERROR(__xludf.DUMMYFUNCTION("""COMPUTED_VALUE"""),"Nvidia GeForce 940MX")</f>
        <v>Nvidia GeForce 940MX</v>
      </c>
      <c r="K291" s="2" t="str">
        <f ca="1">IFERROR(__xludf.DUMMYFUNCTION("""COMPUTED_VALUE"""),"No OS")</f>
        <v>No OS</v>
      </c>
      <c r="L291" s="2" t="str">
        <f ca="1">IFERROR(__xludf.DUMMYFUNCTION("""COMPUTED_VALUE"""),"2.2kg")</f>
        <v>2.2kg</v>
      </c>
      <c r="M291" s="2">
        <f ca="1">IFERROR(__xludf.DUMMYFUNCTION("""COMPUTED_VALUE"""),659.01)</f>
        <v>659.01</v>
      </c>
    </row>
    <row r="292" spans="1:13">
      <c r="A292" s="2">
        <f ca="1">IFERROR(__xludf.DUMMYFUNCTION("""COMPUTED_VALUE"""),295)</f>
        <v>295</v>
      </c>
      <c r="B292" s="2" t="str">
        <f ca="1">IFERROR(__xludf.DUMMYFUNCTION("""COMPUTED_VALUE"""),"Acer")</f>
        <v>Acer</v>
      </c>
      <c r="C292" s="2" t="str">
        <f ca="1">IFERROR(__xludf.DUMMYFUNCTION("""COMPUTED_VALUE"""),"Chromebook C910-C2ST")</f>
        <v>Chromebook C910-C2ST</v>
      </c>
      <c r="D292" s="2" t="str">
        <f ca="1">IFERROR(__xludf.DUMMYFUNCTION("""COMPUTED_VALUE"""),"Notebook")</f>
        <v>Notebook</v>
      </c>
      <c r="E292" s="2">
        <f ca="1">IFERROR(__xludf.DUMMYFUNCTION("""COMPUTED_VALUE"""),15.6)</f>
        <v>15.6</v>
      </c>
      <c r="F292" s="2" t="str">
        <f ca="1">IFERROR(__xludf.DUMMYFUNCTION("""COMPUTED_VALUE"""),"1366x768")</f>
        <v>1366x768</v>
      </c>
      <c r="G292" s="2" t="str">
        <f ca="1">IFERROR(__xludf.DUMMYFUNCTION("""COMPUTED_VALUE"""),"Intel Celeron Dual Core 3205U 1.5GHz")</f>
        <v>Intel Celeron Dual Core 3205U 1.5GHz</v>
      </c>
      <c r="H292" s="2" t="str">
        <f ca="1">IFERROR(__xludf.DUMMYFUNCTION("""COMPUTED_VALUE"""),"2GB")</f>
        <v>2GB</v>
      </c>
      <c r="I292" s="2" t="str">
        <f ca="1">IFERROR(__xludf.DUMMYFUNCTION("""COMPUTED_VALUE"""),"16GB SSD")</f>
        <v>16GB SSD</v>
      </c>
      <c r="J292" s="2" t="str">
        <f ca="1">IFERROR(__xludf.DUMMYFUNCTION("""COMPUTED_VALUE"""),"Intel HD Graphics")</f>
        <v>Intel HD Graphics</v>
      </c>
      <c r="K292" s="2" t="str">
        <f ca="1">IFERROR(__xludf.DUMMYFUNCTION("""COMPUTED_VALUE"""),"Chrome OS")</f>
        <v>Chrome OS</v>
      </c>
      <c r="L292" s="2" t="str">
        <f ca="1">IFERROR(__xludf.DUMMYFUNCTION("""COMPUTED_VALUE"""),"2.19kg")</f>
        <v>2.19kg</v>
      </c>
      <c r="M292" s="2">
        <f ca="1">IFERROR(__xludf.DUMMYFUNCTION("""COMPUTED_VALUE"""),199)</f>
        <v>199</v>
      </c>
    </row>
    <row r="293" spans="1:13">
      <c r="A293" s="2">
        <f ca="1">IFERROR(__xludf.DUMMYFUNCTION("""COMPUTED_VALUE"""),296)</f>
        <v>296</v>
      </c>
      <c r="B293" s="2" t="str">
        <f ca="1">IFERROR(__xludf.DUMMYFUNCTION("""COMPUTED_VALUE"""),"Asus")</f>
        <v>Asus</v>
      </c>
      <c r="C293" s="2" t="str">
        <f ca="1">IFERROR(__xludf.DUMMYFUNCTION("""COMPUTED_VALUE"""),"FX753VD-GC071T (i7-7700HQ/8GB/1TB/GeForce")</f>
        <v>FX753VD-GC071T (i7-7700HQ/8GB/1TB/GeForce</v>
      </c>
      <c r="D293" s="2" t="str">
        <f ca="1">IFERROR(__xludf.DUMMYFUNCTION("""COMPUTED_VALUE"""),"Gaming")</f>
        <v>Gaming</v>
      </c>
      <c r="E293" s="2">
        <f ca="1">IFERROR(__xludf.DUMMYFUNCTION("""COMPUTED_VALUE"""),17.3)</f>
        <v>17.3</v>
      </c>
      <c r="F293" s="2" t="str">
        <f ca="1">IFERROR(__xludf.DUMMYFUNCTION("""COMPUTED_VALUE"""),"Full HD 1920x1080")</f>
        <v>Full HD 1920x1080</v>
      </c>
      <c r="G293" s="2" t="str">
        <f ca="1">IFERROR(__xludf.DUMMYFUNCTION("""COMPUTED_VALUE"""),"Intel Core i7 7700HQ 2.8GHz")</f>
        <v>Intel Core i7 7700HQ 2.8GHz</v>
      </c>
      <c r="H293" s="2" t="str">
        <f ca="1">IFERROR(__xludf.DUMMYFUNCTION("""COMPUTED_VALUE"""),"8GB")</f>
        <v>8GB</v>
      </c>
      <c r="I293" s="2" t="str">
        <f ca="1">IFERROR(__xludf.DUMMYFUNCTION("""COMPUTED_VALUE"""),"1TB HDD")</f>
        <v>1TB HDD</v>
      </c>
      <c r="J293" s="2" t="str">
        <f ca="1">IFERROR(__xludf.DUMMYFUNCTION("""COMPUTED_VALUE"""),"Nvidia GeForce GTX 1050")</f>
        <v>Nvidia GeForce GTX 1050</v>
      </c>
      <c r="K293" s="2" t="str">
        <f ca="1">IFERROR(__xludf.DUMMYFUNCTION("""COMPUTED_VALUE"""),"Windows 10")</f>
        <v>Windows 10</v>
      </c>
      <c r="L293" s="2" t="str">
        <f ca="1">IFERROR(__xludf.DUMMYFUNCTION("""COMPUTED_VALUE"""),"3kg")</f>
        <v>3kg</v>
      </c>
      <c r="M293" s="2">
        <f ca="1">IFERROR(__xludf.DUMMYFUNCTION("""COMPUTED_VALUE"""),1187)</f>
        <v>1187</v>
      </c>
    </row>
    <row r="294" spans="1:13">
      <c r="A294" s="2">
        <f ca="1">IFERROR(__xludf.DUMMYFUNCTION("""COMPUTED_VALUE"""),297)</f>
        <v>297</v>
      </c>
      <c r="B294" s="2" t="str">
        <f ca="1">IFERROR(__xludf.DUMMYFUNCTION("""COMPUTED_VALUE"""),"HP")</f>
        <v>HP</v>
      </c>
      <c r="C294" s="2" t="str">
        <f ca="1">IFERROR(__xludf.DUMMYFUNCTION("""COMPUTED_VALUE"""),"17-BS037cl (i3-6006U/8GB/1TB/W10)")</f>
        <v>17-BS037cl (i3-6006U/8GB/1TB/W10)</v>
      </c>
      <c r="D294" s="2" t="str">
        <f ca="1">IFERROR(__xludf.DUMMYFUNCTION("""COMPUTED_VALUE"""),"Notebook")</f>
        <v>Notebook</v>
      </c>
      <c r="E294" s="2">
        <f ca="1">IFERROR(__xludf.DUMMYFUNCTION("""COMPUTED_VALUE"""),17.3)</f>
        <v>17.3</v>
      </c>
      <c r="F294" s="2" t="str">
        <f ca="1">IFERROR(__xludf.DUMMYFUNCTION("""COMPUTED_VALUE"""),"1600x900")</f>
        <v>1600x900</v>
      </c>
      <c r="G294" s="2" t="str">
        <f ca="1">IFERROR(__xludf.DUMMYFUNCTION("""COMPUTED_VALUE"""),"Intel Core i3 6006U 2GHz")</f>
        <v>Intel Core i3 6006U 2GHz</v>
      </c>
      <c r="H294" s="2" t="str">
        <f ca="1">IFERROR(__xludf.DUMMYFUNCTION("""COMPUTED_VALUE"""),"8GB")</f>
        <v>8GB</v>
      </c>
      <c r="I294" s="2" t="str">
        <f ca="1">IFERROR(__xludf.DUMMYFUNCTION("""COMPUTED_VALUE"""),"1TB HDD")</f>
        <v>1TB HDD</v>
      </c>
      <c r="J294" s="2" t="str">
        <f ca="1">IFERROR(__xludf.DUMMYFUNCTION("""COMPUTED_VALUE"""),"Intel HD Graphics 520")</f>
        <v>Intel HD Graphics 520</v>
      </c>
      <c r="K294" s="2" t="str">
        <f ca="1">IFERROR(__xludf.DUMMYFUNCTION("""COMPUTED_VALUE"""),"Windows 10")</f>
        <v>Windows 10</v>
      </c>
      <c r="L294" s="2" t="str">
        <f ca="1">IFERROR(__xludf.DUMMYFUNCTION("""COMPUTED_VALUE"""),"2.54kg")</f>
        <v>2.54kg</v>
      </c>
      <c r="M294" s="2">
        <f ca="1">IFERROR(__xludf.DUMMYFUNCTION("""COMPUTED_VALUE"""),489)</f>
        <v>489</v>
      </c>
    </row>
    <row r="295" spans="1:13">
      <c r="A295" s="2">
        <f ca="1">IFERROR(__xludf.DUMMYFUNCTION("""COMPUTED_VALUE"""),298)</f>
        <v>298</v>
      </c>
      <c r="B295" s="2" t="str">
        <f ca="1">IFERROR(__xludf.DUMMYFUNCTION("""COMPUTED_VALUE"""),"Dell")</f>
        <v>Dell</v>
      </c>
      <c r="C295" s="2" t="str">
        <f ca="1">IFERROR(__xludf.DUMMYFUNCTION("""COMPUTED_VALUE"""),"XPS 15")</f>
        <v>XPS 15</v>
      </c>
      <c r="D295" s="2" t="str">
        <f ca="1">IFERROR(__xludf.DUMMYFUNCTION("""COMPUTED_VALUE"""),"Notebook")</f>
        <v>Notebook</v>
      </c>
      <c r="E295" s="2">
        <f ca="1">IFERROR(__xludf.DUMMYFUNCTION("""COMPUTED_VALUE"""),15.6)</f>
        <v>15.6</v>
      </c>
      <c r="F295" s="2" t="str">
        <f ca="1">IFERROR(__xludf.DUMMYFUNCTION("""COMPUTED_VALUE"""),"Full HD 1920x1080")</f>
        <v>Full HD 1920x1080</v>
      </c>
      <c r="G295" s="2" t="str">
        <f ca="1">IFERROR(__xludf.DUMMYFUNCTION("""COMPUTED_VALUE"""),"Intel Core i7 7700HQ 2.8GHz")</f>
        <v>Intel Core i7 7700HQ 2.8GHz</v>
      </c>
      <c r="H295" s="2" t="str">
        <f ca="1">IFERROR(__xludf.DUMMYFUNCTION("""COMPUTED_VALUE"""),"8GB")</f>
        <v>8GB</v>
      </c>
      <c r="I295" s="2" t="str">
        <f ca="1">IFERROR(__xludf.DUMMYFUNCTION("""COMPUTED_VALUE"""),"256GB SSD")</f>
        <v>256GB SSD</v>
      </c>
      <c r="J295" s="2" t="str">
        <f ca="1">IFERROR(__xludf.DUMMYFUNCTION("""COMPUTED_VALUE"""),"Nvidia GeForce GTX 1050")</f>
        <v>Nvidia GeForce GTX 1050</v>
      </c>
      <c r="K295" s="2" t="str">
        <f ca="1">IFERROR(__xludf.DUMMYFUNCTION("""COMPUTED_VALUE"""),"Windows 10")</f>
        <v>Windows 10</v>
      </c>
      <c r="L295" s="2" t="str">
        <f ca="1">IFERROR(__xludf.DUMMYFUNCTION("""COMPUTED_VALUE"""),"2kg")</f>
        <v>2kg</v>
      </c>
      <c r="M295" s="2">
        <f ca="1">IFERROR(__xludf.DUMMYFUNCTION("""COMPUTED_VALUE"""),1829)</f>
        <v>1829</v>
      </c>
    </row>
    <row r="296" spans="1:13">
      <c r="A296" s="2">
        <f ca="1">IFERROR(__xludf.DUMMYFUNCTION("""COMPUTED_VALUE"""),299)</f>
        <v>299</v>
      </c>
      <c r="B296" s="2" t="str">
        <f ca="1">IFERROR(__xludf.DUMMYFUNCTION("""COMPUTED_VALUE"""),"Lenovo")</f>
        <v>Lenovo</v>
      </c>
      <c r="C296" s="2" t="str">
        <f ca="1">IFERROR(__xludf.DUMMYFUNCTION("""COMPUTED_VALUE"""),"V330-15IKB (i5-8250U/8GB/256GB/FHD/W10)")</f>
        <v>V330-15IKB (i5-8250U/8GB/256GB/FHD/W10)</v>
      </c>
      <c r="D296" s="2" t="str">
        <f ca="1">IFERROR(__xludf.DUMMYFUNCTION("""COMPUTED_VALUE"""),"Notebook")</f>
        <v>Notebook</v>
      </c>
      <c r="E296" s="2">
        <f ca="1">IFERROR(__xludf.DUMMYFUNCTION("""COMPUTED_VALUE"""),15.6)</f>
        <v>15.6</v>
      </c>
      <c r="F296" s="2" t="str">
        <f ca="1">IFERROR(__xludf.DUMMYFUNCTION("""COMPUTED_VALUE"""),"Full HD 1920x1080")</f>
        <v>Full HD 1920x1080</v>
      </c>
      <c r="G296" s="2" t="str">
        <f ca="1">IFERROR(__xludf.DUMMYFUNCTION("""COMPUTED_VALUE"""),"Intel Core i5 8250U 1.6GHz")</f>
        <v>Intel Core i5 8250U 1.6GHz</v>
      </c>
      <c r="H296" s="2" t="str">
        <f ca="1">IFERROR(__xludf.DUMMYFUNCTION("""COMPUTED_VALUE"""),"8GB")</f>
        <v>8GB</v>
      </c>
      <c r="I296" s="2" t="str">
        <f ca="1">IFERROR(__xludf.DUMMYFUNCTION("""COMPUTED_VALUE"""),"256GB SSD")</f>
        <v>256GB SSD</v>
      </c>
      <c r="J296" s="2" t="str">
        <f ca="1">IFERROR(__xludf.DUMMYFUNCTION("""COMPUTED_VALUE"""),"Intel UHD Graphics 620")</f>
        <v>Intel UHD Graphics 620</v>
      </c>
      <c r="K296" s="2" t="str">
        <f ca="1">IFERROR(__xludf.DUMMYFUNCTION("""COMPUTED_VALUE"""),"Windows 10")</f>
        <v>Windows 10</v>
      </c>
      <c r="L296" s="2" t="str">
        <f ca="1">IFERROR(__xludf.DUMMYFUNCTION("""COMPUTED_VALUE"""),"2.05kg")</f>
        <v>2.05kg</v>
      </c>
      <c r="M296" s="2">
        <f ca="1">IFERROR(__xludf.DUMMYFUNCTION("""COMPUTED_VALUE"""),739)</f>
        <v>739</v>
      </c>
    </row>
    <row r="297" spans="1:13">
      <c r="A297" s="2">
        <f ca="1">IFERROR(__xludf.DUMMYFUNCTION("""COMPUTED_VALUE"""),300)</f>
        <v>300</v>
      </c>
      <c r="B297" s="2" t="str">
        <f ca="1">IFERROR(__xludf.DUMMYFUNCTION("""COMPUTED_VALUE"""),"Lenovo")</f>
        <v>Lenovo</v>
      </c>
      <c r="C297" s="2" t="str">
        <f ca="1">IFERROR(__xludf.DUMMYFUNCTION("""COMPUTED_VALUE"""),"Legion Y720-15IKB")</f>
        <v>Legion Y720-15IKB</v>
      </c>
      <c r="D297" s="2" t="str">
        <f ca="1">IFERROR(__xludf.DUMMYFUNCTION("""COMPUTED_VALUE"""),"Gaming")</f>
        <v>Gaming</v>
      </c>
      <c r="E297" s="2">
        <f ca="1">IFERROR(__xludf.DUMMYFUNCTION("""COMPUTED_VALUE"""),15.6)</f>
        <v>15.6</v>
      </c>
      <c r="F297" s="2" t="str">
        <f ca="1">IFERROR(__xludf.DUMMYFUNCTION("""COMPUTED_VALUE"""),"IPS Panel Full HD 1920x1080")</f>
        <v>IPS Panel Full HD 1920x1080</v>
      </c>
      <c r="G297" s="2" t="str">
        <f ca="1">IFERROR(__xludf.DUMMYFUNCTION("""COMPUTED_VALUE"""),"Intel Core i7 7700HQ 2.8GHz")</f>
        <v>Intel Core i7 7700HQ 2.8GHz</v>
      </c>
      <c r="H297" s="2" t="str">
        <f ca="1">IFERROR(__xludf.DUMMYFUNCTION("""COMPUTED_VALUE"""),"8GB")</f>
        <v>8GB</v>
      </c>
      <c r="I297" s="2" t="str">
        <f ca="1">IFERROR(__xludf.DUMMYFUNCTION("""COMPUTED_VALUE"""),"1TB HDD")</f>
        <v>1TB HDD</v>
      </c>
      <c r="J297" s="2" t="str">
        <f ca="1">IFERROR(__xludf.DUMMYFUNCTION("""COMPUTED_VALUE"""),"Nvidia GeForce GTX 1060")</f>
        <v>Nvidia GeForce GTX 1060</v>
      </c>
      <c r="K297" s="2" t="str">
        <f ca="1">IFERROR(__xludf.DUMMYFUNCTION("""COMPUTED_VALUE"""),"Windows 10")</f>
        <v>Windows 10</v>
      </c>
      <c r="L297" s="2" t="str">
        <f ca="1">IFERROR(__xludf.DUMMYFUNCTION("""COMPUTED_VALUE"""),"3.2kg")</f>
        <v>3.2kg</v>
      </c>
      <c r="M297" s="2">
        <f ca="1">IFERROR(__xludf.DUMMYFUNCTION("""COMPUTED_VALUE"""),1299)</f>
        <v>1299</v>
      </c>
    </row>
    <row r="298" spans="1:13">
      <c r="A298" s="2">
        <f ca="1">IFERROR(__xludf.DUMMYFUNCTION("""COMPUTED_VALUE"""),301)</f>
        <v>301</v>
      </c>
      <c r="B298" s="2" t="str">
        <f ca="1">IFERROR(__xludf.DUMMYFUNCTION("""COMPUTED_VALUE"""),"Acer")</f>
        <v>Acer</v>
      </c>
      <c r="C298" s="2" t="str">
        <f ca="1">IFERROR(__xludf.DUMMYFUNCTION("""COMPUTED_VALUE"""),"Aspire A715-71G")</f>
        <v>Aspire A715-71G</v>
      </c>
      <c r="D298" s="2" t="str">
        <f ca="1">IFERROR(__xludf.DUMMYFUNCTION("""COMPUTED_VALUE"""),"Notebook")</f>
        <v>Notebook</v>
      </c>
      <c r="E298" s="2">
        <f ca="1">IFERROR(__xludf.DUMMYFUNCTION("""COMPUTED_VALUE"""),15.6)</f>
        <v>15.6</v>
      </c>
      <c r="F298" s="2" t="str">
        <f ca="1">IFERROR(__xludf.DUMMYFUNCTION("""COMPUTED_VALUE"""),"Full HD 1920x1080")</f>
        <v>Full HD 1920x1080</v>
      </c>
      <c r="G298" s="2" t="str">
        <f ca="1">IFERROR(__xludf.DUMMYFUNCTION("""COMPUTED_VALUE"""),"Intel Core i7 7700HQ 2.8GHz")</f>
        <v>Intel Core i7 7700HQ 2.8GHz</v>
      </c>
      <c r="H298" s="2" t="str">
        <f ca="1">IFERROR(__xludf.DUMMYFUNCTION("""COMPUTED_VALUE"""),"8GB")</f>
        <v>8GB</v>
      </c>
      <c r="I298" s="2" t="str">
        <f ca="1">IFERROR(__xludf.DUMMYFUNCTION("""COMPUTED_VALUE"""),"256GB SSD")</f>
        <v>256GB SSD</v>
      </c>
      <c r="J298" s="2" t="str">
        <f ca="1">IFERROR(__xludf.DUMMYFUNCTION("""COMPUTED_VALUE"""),"Nvidia GeForce GTX 1050 Ti")</f>
        <v>Nvidia GeForce GTX 1050 Ti</v>
      </c>
      <c r="K298" s="2" t="str">
        <f ca="1">IFERROR(__xludf.DUMMYFUNCTION("""COMPUTED_VALUE"""),"Linux")</f>
        <v>Linux</v>
      </c>
      <c r="L298" s="2" t="str">
        <f ca="1">IFERROR(__xludf.DUMMYFUNCTION("""COMPUTED_VALUE"""),"2.5kg")</f>
        <v>2.5kg</v>
      </c>
      <c r="M298" s="2">
        <f ca="1">IFERROR(__xludf.DUMMYFUNCTION("""COMPUTED_VALUE"""),979)</f>
        <v>979</v>
      </c>
    </row>
    <row r="299" spans="1:13">
      <c r="A299" s="2">
        <f ca="1">IFERROR(__xludf.DUMMYFUNCTION("""COMPUTED_VALUE"""),302)</f>
        <v>302</v>
      </c>
      <c r="B299" s="2" t="str">
        <f ca="1">IFERROR(__xludf.DUMMYFUNCTION("""COMPUTED_VALUE"""),"Dell")</f>
        <v>Dell</v>
      </c>
      <c r="C299" s="2" t="str">
        <f ca="1">IFERROR(__xludf.DUMMYFUNCTION("""COMPUTED_VALUE"""),"Precision 7720")</f>
        <v>Precision 7720</v>
      </c>
      <c r="D299" s="2" t="str">
        <f ca="1">IFERROR(__xludf.DUMMYFUNCTION("""COMPUTED_VALUE"""),"Workstation")</f>
        <v>Workstation</v>
      </c>
      <c r="E299" s="2">
        <f ca="1">IFERROR(__xludf.DUMMYFUNCTION("""COMPUTED_VALUE"""),17.3)</f>
        <v>17.3</v>
      </c>
      <c r="F299" s="2" t="str">
        <f ca="1">IFERROR(__xludf.DUMMYFUNCTION("""COMPUTED_VALUE"""),"Full HD 1920x1080")</f>
        <v>Full HD 1920x1080</v>
      </c>
      <c r="G299" s="2" t="str">
        <f ca="1">IFERROR(__xludf.DUMMYFUNCTION("""COMPUTED_VALUE"""),"Intel Core i7 7820HQ 2.9GHz")</f>
        <v>Intel Core i7 7820HQ 2.9GHz</v>
      </c>
      <c r="H299" s="2" t="str">
        <f ca="1">IFERROR(__xludf.DUMMYFUNCTION("""COMPUTED_VALUE"""),"16GB")</f>
        <v>16GB</v>
      </c>
      <c r="I299" s="2" t="str">
        <f ca="1">IFERROR(__xludf.DUMMYFUNCTION("""COMPUTED_VALUE"""),"256GB SSD")</f>
        <v>256GB SSD</v>
      </c>
      <c r="J299" s="2" t="str">
        <f ca="1">IFERROR(__xludf.DUMMYFUNCTION("""COMPUTED_VALUE"""),"Nvidia Quadro M1200")</f>
        <v>Nvidia Quadro M1200</v>
      </c>
      <c r="K299" s="2" t="str">
        <f ca="1">IFERROR(__xludf.DUMMYFUNCTION("""COMPUTED_VALUE"""),"Windows 10")</f>
        <v>Windows 10</v>
      </c>
      <c r="L299" s="2" t="str">
        <f ca="1">IFERROR(__xludf.DUMMYFUNCTION("""COMPUTED_VALUE"""),"3.42kg")</f>
        <v>3.42kg</v>
      </c>
      <c r="M299" s="2">
        <f ca="1">IFERROR(__xludf.DUMMYFUNCTION("""COMPUTED_VALUE"""),2884.86)</f>
        <v>2884.86</v>
      </c>
    </row>
    <row r="300" spans="1:13">
      <c r="A300" s="2">
        <f ca="1">IFERROR(__xludf.DUMMYFUNCTION("""COMPUTED_VALUE"""),303)</f>
        <v>303</v>
      </c>
      <c r="B300" s="2" t="str">
        <f ca="1">IFERROR(__xludf.DUMMYFUNCTION("""COMPUTED_VALUE"""),"Lenovo")</f>
        <v>Lenovo</v>
      </c>
      <c r="C300" s="2" t="str">
        <f ca="1">IFERROR(__xludf.DUMMYFUNCTION("""COMPUTED_VALUE"""),"IdeaPad 310-15ABR")</f>
        <v>IdeaPad 310-15ABR</v>
      </c>
      <c r="D300" s="2" t="str">
        <f ca="1">IFERROR(__xludf.DUMMYFUNCTION("""COMPUTED_VALUE"""),"Notebook")</f>
        <v>Notebook</v>
      </c>
      <c r="E300" s="2">
        <f ca="1">IFERROR(__xludf.DUMMYFUNCTION("""COMPUTED_VALUE"""),15.6)</f>
        <v>15.6</v>
      </c>
      <c r="F300" s="2" t="str">
        <f ca="1">IFERROR(__xludf.DUMMYFUNCTION("""COMPUTED_VALUE"""),"Full HD 1920x1080")</f>
        <v>Full HD 1920x1080</v>
      </c>
      <c r="G300" s="2" t="str">
        <f ca="1">IFERROR(__xludf.DUMMYFUNCTION("""COMPUTED_VALUE"""),"AMD A10-Series 9600P 2.4GHz")</f>
        <v>AMD A10-Series 9600P 2.4GHz</v>
      </c>
      <c r="H300" s="2" t="str">
        <f ca="1">IFERROR(__xludf.DUMMYFUNCTION("""COMPUTED_VALUE"""),"6GB")</f>
        <v>6GB</v>
      </c>
      <c r="I300" s="2" t="str">
        <f ca="1">IFERROR(__xludf.DUMMYFUNCTION("""COMPUTED_VALUE"""),"1TB HDD")</f>
        <v>1TB HDD</v>
      </c>
      <c r="J300" s="2" t="str">
        <f ca="1">IFERROR(__xludf.DUMMYFUNCTION("""COMPUTED_VALUE"""),"AMD Radeon R5 430")</f>
        <v>AMD Radeon R5 430</v>
      </c>
      <c r="K300" s="2" t="str">
        <f ca="1">IFERROR(__xludf.DUMMYFUNCTION("""COMPUTED_VALUE"""),"Windows 10")</f>
        <v>Windows 10</v>
      </c>
      <c r="L300" s="2" t="str">
        <f ca="1">IFERROR(__xludf.DUMMYFUNCTION("""COMPUTED_VALUE"""),"2.4kg")</f>
        <v>2.4kg</v>
      </c>
      <c r="M300" s="2">
        <f ca="1">IFERROR(__xludf.DUMMYFUNCTION("""COMPUTED_VALUE"""),499)</f>
        <v>499</v>
      </c>
    </row>
    <row r="301" spans="1:13">
      <c r="A301" s="2">
        <f ca="1">IFERROR(__xludf.DUMMYFUNCTION("""COMPUTED_VALUE"""),304)</f>
        <v>304</v>
      </c>
      <c r="B301" s="2" t="str">
        <f ca="1">IFERROR(__xludf.DUMMYFUNCTION("""COMPUTED_VALUE"""),"Asus")</f>
        <v>Asus</v>
      </c>
      <c r="C301" s="2" t="str">
        <f ca="1">IFERROR(__xludf.DUMMYFUNCTION("""COMPUTED_VALUE"""),"ZenBook UX530UQ-PRO")</f>
        <v>ZenBook UX530UQ-PRO</v>
      </c>
      <c r="D301" s="2" t="str">
        <f ca="1">IFERROR(__xludf.DUMMYFUNCTION("""COMPUTED_VALUE"""),"Ultrabook")</f>
        <v>Ultrabook</v>
      </c>
      <c r="E301" s="2">
        <f ca="1">IFERROR(__xludf.DUMMYFUNCTION("""COMPUTED_VALUE"""),15.6)</f>
        <v>15.6</v>
      </c>
      <c r="F301" s="2" t="str">
        <f ca="1">IFERROR(__xludf.DUMMYFUNCTION("""COMPUTED_VALUE"""),"Full HD 1920x1080")</f>
        <v>Full HD 1920x1080</v>
      </c>
      <c r="G301" s="2" t="str">
        <f ca="1">IFERROR(__xludf.DUMMYFUNCTION("""COMPUTED_VALUE"""),"Intel Core i7 7500U 2.7GHz")</f>
        <v>Intel Core i7 7500U 2.7GHz</v>
      </c>
      <c r="H301" s="2" t="str">
        <f ca="1">IFERROR(__xludf.DUMMYFUNCTION("""COMPUTED_VALUE"""),"16GB")</f>
        <v>16GB</v>
      </c>
      <c r="I301" s="2" t="str">
        <f ca="1">IFERROR(__xludf.DUMMYFUNCTION("""COMPUTED_VALUE"""),"512GB SSD")</f>
        <v>512GB SSD</v>
      </c>
      <c r="J301" s="2" t="str">
        <f ca="1">IFERROR(__xludf.DUMMYFUNCTION("""COMPUTED_VALUE"""),"Nvidia GeForce 940MX")</f>
        <v>Nvidia GeForce 940MX</v>
      </c>
      <c r="K301" s="2" t="str">
        <f ca="1">IFERROR(__xludf.DUMMYFUNCTION("""COMPUTED_VALUE"""),"Windows 10")</f>
        <v>Windows 10</v>
      </c>
      <c r="L301" s="2" t="str">
        <f ca="1">IFERROR(__xludf.DUMMYFUNCTION("""COMPUTED_VALUE"""),"1.63kg")</f>
        <v>1.63kg</v>
      </c>
      <c r="M301" s="2">
        <f ca="1">IFERROR(__xludf.DUMMYFUNCTION("""COMPUTED_VALUE"""),1468)</f>
        <v>1468</v>
      </c>
    </row>
    <row r="302" spans="1:13">
      <c r="A302" s="2">
        <f ca="1">IFERROR(__xludf.DUMMYFUNCTION("""COMPUTED_VALUE"""),305)</f>
        <v>305</v>
      </c>
      <c r="B302" s="2" t="str">
        <f ca="1">IFERROR(__xludf.DUMMYFUNCTION("""COMPUTED_VALUE"""),"Asus")</f>
        <v>Asus</v>
      </c>
      <c r="C302" s="2" t="str">
        <f ca="1">IFERROR(__xludf.DUMMYFUNCTION("""COMPUTED_VALUE"""),"VivoBook S14")</f>
        <v>VivoBook S14</v>
      </c>
      <c r="D302" s="2" t="str">
        <f ca="1">IFERROR(__xludf.DUMMYFUNCTION("""COMPUTED_VALUE"""),"Notebook")</f>
        <v>Notebook</v>
      </c>
      <c r="E302" s="2">
        <f ca="1">IFERROR(__xludf.DUMMYFUNCTION("""COMPUTED_VALUE"""),14)</f>
        <v>14</v>
      </c>
      <c r="F302" s="2" t="str">
        <f ca="1">IFERROR(__xludf.DUMMYFUNCTION("""COMPUTED_VALUE"""),"1366x768")</f>
        <v>1366x768</v>
      </c>
      <c r="G302" s="2" t="str">
        <f ca="1">IFERROR(__xludf.DUMMYFUNCTION("""COMPUTED_VALUE"""),"Intel Core i3 7100U 2.4GHz")</f>
        <v>Intel Core i3 7100U 2.4GHz</v>
      </c>
      <c r="H302" s="2" t="str">
        <f ca="1">IFERROR(__xludf.DUMMYFUNCTION("""COMPUTED_VALUE"""),"4GB")</f>
        <v>4GB</v>
      </c>
      <c r="I302" s="2" t="str">
        <f ca="1">IFERROR(__xludf.DUMMYFUNCTION("""COMPUTED_VALUE"""),"128GB SSD")</f>
        <v>128GB SSD</v>
      </c>
      <c r="J302" s="2" t="str">
        <f ca="1">IFERROR(__xludf.DUMMYFUNCTION("""COMPUTED_VALUE"""),"Intel HD Graphics 620")</f>
        <v>Intel HD Graphics 620</v>
      </c>
      <c r="K302" s="2" t="str">
        <f ca="1">IFERROR(__xludf.DUMMYFUNCTION("""COMPUTED_VALUE"""),"Windows 10")</f>
        <v>Windows 10</v>
      </c>
      <c r="L302" s="2" t="str">
        <f ca="1">IFERROR(__xludf.DUMMYFUNCTION("""COMPUTED_VALUE"""),"1.3kg")</f>
        <v>1.3kg</v>
      </c>
      <c r="M302" s="2">
        <f ca="1">IFERROR(__xludf.DUMMYFUNCTION("""COMPUTED_VALUE"""),509)</f>
        <v>509</v>
      </c>
    </row>
    <row r="303" spans="1:13">
      <c r="A303" s="2">
        <f ca="1">IFERROR(__xludf.DUMMYFUNCTION("""COMPUTED_VALUE"""),306)</f>
        <v>306</v>
      </c>
      <c r="B303" s="2" t="str">
        <f ca="1">IFERROR(__xludf.DUMMYFUNCTION("""COMPUTED_VALUE"""),"Asus")</f>
        <v>Asus</v>
      </c>
      <c r="C303" s="2" t="str">
        <f ca="1">IFERROR(__xludf.DUMMYFUNCTION("""COMPUTED_VALUE"""),"Rog GL702VS-GC095T")</f>
        <v>Rog GL702VS-GC095T</v>
      </c>
      <c r="D303" s="2" t="str">
        <f ca="1">IFERROR(__xludf.DUMMYFUNCTION("""COMPUTED_VALUE"""),"Gaming")</f>
        <v>Gaming</v>
      </c>
      <c r="E303" s="2">
        <f ca="1">IFERROR(__xludf.DUMMYFUNCTION("""COMPUTED_VALUE"""),17.3)</f>
        <v>17.3</v>
      </c>
      <c r="F303" s="2" t="str">
        <f ca="1">IFERROR(__xludf.DUMMYFUNCTION("""COMPUTED_VALUE"""),"Full HD 1920x1080")</f>
        <v>Full HD 1920x1080</v>
      </c>
      <c r="G303" s="2" t="str">
        <f ca="1">IFERROR(__xludf.DUMMYFUNCTION("""COMPUTED_VALUE"""),"Intel Core i7 7700HQ 2.8GHz")</f>
        <v>Intel Core i7 7700HQ 2.8GHz</v>
      </c>
      <c r="H303" s="2" t="str">
        <f ca="1">IFERROR(__xludf.DUMMYFUNCTION("""COMPUTED_VALUE"""),"16GB")</f>
        <v>16GB</v>
      </c>
      <c r="I303" s="2" t="str">
        <f ca="1">IFERROR(__xludf.DUMMYFUNCTION("""COMPUTED_VALUE"""),"256GB SSD +  1TB HDD")</f>
        <v>256GB SSD +  1TB HDD</v>
      </c>
      <c r="J303" s="2" t="str">
        <f ca="1">IFERROR(__xludf.DUMMYFUNCTION("""COMPUTED_VALUE"""),"Nvidia GeForce GTX 1070")</f>
        <v>Nvidia GeForce GTX 1070</v>
      </c>
      <c r="K303" s="2" t="str">
        <f ca="1">IFERROR(__xludf.DUMMYFUNCTION("""COMPUTED_VALUE"""),"Windows 10")</f>
        <v>Windows 10</v>
      </c>
      <c r="L303" s="2" t="str">
        <f ca="1">IFERROR(__xludf.DUMMYFUNCTION("""COMPUTED_VALUE"""),"2.9kg")</f>
        <v>2.9kg</v>
      </c>
      <c r="M303" s="2">
        <f ca="1">IFERROR(__xludf.DUMMYFUNCTION("""COMPUTED_VALUE"""),2122)</f>
        <v>2122</v>
      </c>
    </row>
    <row r="304" spans="1:13">
      <c r="A304" s="2">
        <f ca="1">IFERROR(__xludf.DUMMYFUNCTION("""COMPUTED_VALUE"""),307)</f>
        <v>307</v>
      </c>
      <c r="B304" s="2" t="str">
        <f ca="1">IFERROR(__xludf.DUMMYFUNCTION("""COMPUTED_VALUE"""),"Lenovo")</f>
        <v>Lenovo</v>
      </c>
      <c r="C304" s="2" t="str">
        <f ca="1">IFERROR(__xludf.DUMMYFUNCTION("""COMPUTED_VALUE"""),"IdeaPad 320-17IKB")</f>
        <v>IdeaPad 320-17IKB</v>
      </c>
      <c r="D304" s="2" t="str">
        <f ca="1">IFERROR(__xludf.DUMMYFUNCTION("""COMPUTED_VALUE"""),"Notebook")</f>
        <v>Notebook</v>
      </c>
      <c r="E304" s="2">
        <f ca="1">IFERROR(__xludf.DUMMYFUNCTION("""COMPUTED_VALUE"""),17.3)</f>
        <v>17.3</v>
      </c>
      <c r="F304" s="2" t="str">
        <f ca="1">IFERROR(__xludf.DUMMYFUNCTION("""COMPUTED_VALUE"""),"1600x900")</f>
        <v>1600x900</v>
      </c>
      <c r="G304" s="2" t="str">
        <f ca="1">IFERROR(__xludf.DUMMYFUNCTION("""COMPUTED_VALUE"""),"Intel Core i5 7200U 2.5GHz")</f>
        <v>Intel Core i5 7200U 2.5GHz</v>
      </c>
      <c r="H304" s="2" t="str">
        <f ca="1">IFERROR(__xludf.DUMMYFUNCTION("""COMPUTED_VALUE"""),"6GB")</f>
        <v>6GB</v>
      </c>
      <c r="I304" s="2" t="str">
        <f ca="1">IFERROR(__xludf.DUMMYFUNCTION("""COMPUTED_VALUE"""),"1TB HDD")</f>
        <v>1TB HDD</v>
      </c>
      <c r="J304" s="2" t="str">
        <f ca="1">IFERROR(__xludf.DUMMYFUNCTION("""COMPUTED_VALUE"""),"Nvidia GeForce GTX 940M")</f>
        <v>Nvidia GeForce GTX 940M</v>
      </c>
      <c r="K304" s="2" t="str">
        <f ca="1">IFERROR(__xludf.DUMMYFUNCTION("""COMPUTED_VALUE"""),"Windows 10")</f>
        <v>Windows 10</v>
      </c>
      <c r="L304" s="2" t="str">
        <f ca="1">IFERROR(__xludf.DUMMYFUNCTION("""COMPUTED_VALUE"""),"2.8kg")</f>
        <v>2.8kg</v>
      </c>
      <c r="M304" s="2">
        <f ca="1">IFERROR(__xludf.DUMMYFUNCTION("""COMPUTED_VALUE"""),649)</f>
        <v>649</v>
      </c>
    </row>
    <row r="305" spans="1:13">
      <c r="A305" s="2">
        <f ca="1">IFERROR(__xludf.DUMMYFUNCTION("""COMPUTED_VALUE"""),308)</f>
        <v>308</v>
      </c>
      <c r="B305" s="2" t="str">
        <f ca="1">IFERROR(__xludf.DUMMYFUNCTION("""COMPUTED_VALUE"""),"Lenovo")</f>
        <v>Lenovo</v>
      </c>
      <c r="C305" s="2" t="str">
        <f ca="1">IFERROR(__xludf.DUMMYFUNCTION("""COMPUTED_VALUE"""),"IdeaPad 320-15IKBN")</f>
        <v>IdeaPad 320-15IKBN</v>
      </c>
      <c r="D305" s="2" t="str">
        <f ca="1">IFERROR(__xludf.DUMMYFUNCTION("""COMPUTED_VALUE"""),"Notebook")</f>
        <v>Notebook</v>
      </c>
      <c r="E305" s="2">
        <f ca="1">IFERROR(__xludf.DUMMYFUNCTION("""COMPUTED_VALUE"""),15.6)</f>
        <v>15.6</v>
      </c>
      <c r="F305" s="2" t="str">
        <f ca="1">IFERROR(__xludf.DUMMYFUNCTION("""COMPUTED_VALUE"""),"1366x768")</f>
        <v>1366x768</v>
      </c>
      <c r="G305" s="2" t="str">
        <f ca="1">IFERROR(__xludf.DUMMYFUNCTION("""COMPUTED_VALUE"""),"Intel Core i5 7200U 2.5GHz")</f>
        <v>Intel Core i5 7200U 2.5GHz</v>
      </c>
      <c r="H305" s="2" t="str">
        <f ca="1">IFERROR(__xludf.DUMMYFUNCTION("""COMPUTED_VALUE"""),"8GB")</f>
        <v>8GB</v>
      </c>
      <c r="I305" s="2" t="str">
        <f ca="1">IFERROR(__xludf.DUMMYFUNCTION("""COMPUTED_VALUE"""),"2TB HDD")</f>
        <v>2TB HDD</v>
      </c>
      <c r="J305" s="2" t="str">
        <f ca="1">IFERROR(__xludf.DUMMYFUNCTION("""COMPUTED_VALUE"""),"Nvidia GeForce 940MX")</f>
        <v>Nvidia GeForce 940MX</v>
      </c>
      <c r="K305" s="2" t="str">
        <f ca="1">IFERROR(__xludf.DUMMYFUNCTION("""COMPUTED_VALUE"""),"No OS")</f>
        <v>No OS</v>
      </c>
      <c r="L305" s="2" t="str">
        <f ca="1">IFERROR(__xludf.DUMMYFUNCTION("""COMPUTED_VALUE"""),"2.2kg")</f>
        <v>2.2kg</v>
      </c>
      <c r="M305" s="2">
        <f ca="1">IFERROR(__xludf.DUMMYFUNCTION("""COMPUTED_VALUE"""),549)</f>
        <v>549</v>
      </c>
    </row>
    <row r="306" spans="1:13">
      <c r="A306" s="2">
        <f ca="1">IFERROR(__xludf.DUMMYFUNCTION("""COMPUTED_VALUE"""),309)</f>
        <v>309</v>
      </c>
      <c r="B306" s="2" t="str">
        <f ca="1">IFERROR(__xludf.DUMMYFUNCTION("""COMPUTED_VALUE"""),"Asus")</f>
        <v>Asus</v>
      </c>
      <c r="C306" s="2" t="str">
        <f ca="1">IFERROR(__xludf.DUMMYFUNCTION("""COMPUTED_VALUE"""),"GL553VE-FY082T (i7-7700HQ/8GB/1TB")</f>
        <v>GL553VE-FY082T (i7-7700HQ/8GB/1TB</v>
      </c>
      <c r="D306" s="2" t="str">
        <f ca="1">IFERROR(__xludf.DUMMYFUNCTION("""COMPUTED_VALUE"""),"Gaming")</f>
        <v>Gaming</v>
      </c>
      <c r="E306" s="2">
        <f ca="1">IFERROR(__xludf.DUMMYFUNCTION("""COMPUTED_VALUE"""),15.6)</f>
        <v>15.6</v>
      </c>
      <c r="F306" s="2" t="str">
        <f ca="1">IFERROR(__xludf.DUMMYFUNCTION("""COMPUTED_VALUE"""),"Full HD 1920x1080")</f>
        <v>Full HD 1920x1080</v>
      </c>
      <c r="G306" s="2" t="str">
        <f ca="1">IFERROR(__xludf.DUMMYFUNCTION("""COMPUTED_VALUE"""),"Intel Core i7 7700HQ 2.8GHz")</f>
        <v>Intel Core i7 7700HQ 2.8GHz</v>
      </c>
      <c r="H306" s="2" t="str">
        <f ca="1">IFERROR(__xludf.DUMMYFUNCTION("""COMPUTED_VALUE"""),"8GB")</f>
        <v>8GB</v>
      </c>
      <c r="I306" s="2" t="str">
        <f ca="1">IFERROR(__xludf.DUMMYFUNCTION("""COMPUTED_VALUE"""),"128GB SSD +  1TB HDD")</f>
        <v>128GB SSD +  1TB HDD</v>
      </c>
      <c r="J306" s="2" t="str">
        <f ca="1">IFERROR(__xludf.DUMMYFUNCTION("""COMPUTED_VALUE"""),"Nvidia GeForce GTX 1050 Ti")</f>
        <v>Nvidia GeForce GTX 1050 Ti</v>
      </c>
      <c r="K306" s="2" t="str">
        <f ca="1">IFERROR(__xludf.DUMMYFUNCTION("""COMPUTED_VALUE"""),"Windows 10")</f>
        <v>Windows 10</v>
      </c>
      <c r="L306" s="2" t="str">
        <f ca="1">IFERROR(__xludf.DUMMYFUNCTION("""COMPUTED_VALUE"""),"2.5kg")</f>
        <v>2.5kg</v>
      </c>
      <c r="M306" s="2">
        <f ca="1">IFERROR(__xludf.DUMMYFUNCTION("""COMPUTED_VALUE"""),1265)</f>
        <v>1265</v>
      </c>
    </row>
    <row r="307" spans="1:13">
      <c r="A307" s="2">
        <f ca="1">IFERROR(__xludf.DUMMYFUNCTION("""COMPUTED_VALUE"""),310)</f>
        <v>310</v>
      </c>
      <c r="B307" s="2" t="str">
        <f ca="1">IFERROR(__xludf.DUMMYFUNCTION("""COMPUTED_VALUE"""),"Lenovo")</f>
        <v>Lenovo</v>
      </c>
      <c r="C307" s="2" t="str">
        <f ca="1">IFERROR(__xludf.DUMMYFUNCTION("""COMPUTED_VALUE"""),"IdeaPad 320-15IAP")</f>
        <v>IdeaPad 320-15IAP</v>
      </c>
      <c r="D307" s="2" t="str">
        <f ca="1">IFERROR(__xludf.DUMMYFUNCTION("""COMPUTED_VALUE"""),"Notebook")</f>
        <v>Notebook</v>
      </c>
      <c r="E307" s="2">
        <f ca="1">IFERROR(__xludf.DUMMYFUNCTION("""COMPUTED_VALUE"""),15.6)</f>
        <v>15.6</v>
      </c>
      <c r="F307" s="2" t="str">
        <f ca="1">IFERROR(__xludf.DUMMYFUNCTION("""COMPUTED_VALUE"""),"1366x768")</f>
        <v>1366x768</v>
      </c>
      <c r="G307" s="2" t="str">
        <f ca="1">IFERROR(__xludf.DUMMYFUNCTION("""COMPUTED_VALUE"""),"Intel Pentium Quad Core N4200 1.1GHz")</f>
        <v>Intel Pentium Quad Core N4200 1.1GHz</v>
      </c>
      <c r="H307" s="2" t="str">
        <f ca="1">IFERROR(__xludf.DUMMYFUNCTION("""COMPUTED_VALUE"""),"4GB")</f>
        <v>4GB</v>
      </c>
      <c r="I307" s="2" t="str">
        <f ca="1">IFERROR(__xludf.DUMMYFUNCTION("""COMPUTED_VALUE"""),"1TB HDD")</f>
        <v>1TB HDD</v>
      </c>
      <c r="J307" s="2" t="str">
        <f ca="1">IFERROR(__xludf.DUMMYFUNCTION("""COMPUTED_VALUE"""),"Intel HD Graphics 505")</f>
        <v>Intel HD Graphics 505</v>
      </c>
      <c r="K307" s="2" t="str">
        <f ca="1">IFERROR(__xludf.DUMMYFUNCTION("""COMPUTED_VALUE"""),"No OS")</f>
        <v>No OS</v>
      </c>
      <c r="L307" s="2" t="str">
        <f ca="1">IFERROR(__xludf.DUMMYFUNCTION("""COMPUTED_VALUE"""),"2.2kg")</f>
        <v>2.2kg</v>
      </c>
      <c r="M307" s="2">
        <f ca="1">IFERROR(__xludf.DUMMYFUNCTION("""COMPUTED_VALUE"""),359.99)</f>
        <v>359.99</v>
      </c>
    </row>
    <row r="308" spans="1:13">
      <c r="A308" s="2">
        <f ca="1">IFERROR(__xludf.DUMMYFUNCTION("""COMPUTED_VALUE"""),311)</f>
        <v>311</v>
      </c>
      <c r="B308" s="2" t="str">
        <f ca="1">IFERROR(__xludf.DUMMYFUNCTION("""COMPUTED_VALUE"""),"HP")</f>
        <v>HP</v>
      </c>
      <c r="C308" s="2" t="str">
        <f ca="1">IFERROR(__xludf.DUMMYFUNCTION("""COMPUTED_VALUE"""),"EliteBook x360")</f>
        <v>EliteBook x360</v>
      </c>
      <c r="D308" s="2" t="str">
        <f ca="1">IFERROR(__xludf.DUMMYFUNCTION("""COMPUTED_VALUE"""),"2 in 1 Convertible")</f>
        <v>2 in 1 Convertible</v>
      </c>
      <c r="E308" s="2">
        <f ca="1">IFERROR(__xludf.DUMMYFUNCTION("""COMPUTED_VALUE"""),13.3)</f>
        <v>13.3</v>
      </c>
      <c r="F308" s="2" t="str">
        <f ca="1">IFERROR(__xludf.DUMMYFUNCTION("""COMPUTED_VALUE"""),"Full HD / Touchscreen 1920x1080")</f>
        <v>Full HD / Touchscreen 1920x1080</v>
      </c>
      <c r="G308" s="2" t="str">
        <f ca="1">IFERROR(__xludf.DUMMYFUNCTION("""COMPUTED_VALUE"""),"Intel Core i7 7600U 2.8GHz")</f>
        <v>Intel Core i7 7600U 2.8GHz</v>
      </c>
      <c r="H308" s="2" t="str">
        <f ca="1">IFERROR(__xludf.DUMMYFUNCTION("""COMPUTED_VALUE"""),"16GB")</f>
        <v>16GB</v>
      </c>
      <c r="I308" s="2" t="str">
        <f ca="1">IFERROR(__xludf.DUMMYFUNCTION("""COMPUTED_VALUE"""),"256GB SSD")</f>
        <v>256GB SSD</v>
      </c>
      <c r="J308" s="2" t="str">
        <f ca="1">IFERROR(__xludf.DUMMYFUNCTION("""COMPUTED_VALUE"""),"Intel HD Graphics 620")</f>
        <v>Intel HD Graphics 620</v>
      </c>
      <c r="K308" s="2" t="str">
        <f ca="1">IFERROR(__xludf.DUMMYFUNCTION("""COMPUTED_VALUE"""),"Windows 10")</f>
        <v>Windows 10</v>
      </c>
      <c r="L308" s="2" t="str">
        <f ca="1">IFERROR(__xludf.DUMMYFUNCTION("""COMPUTED_VALUE"""),"1.28kg")</f>
        <v>1.28kg</v>
      </c>
      <c r="M308" s="2">
        <f ca="1">IFERROR(__xludf.DUMMYFUNCTION("""COMPUTED_VALUE"""),1975)</f>
        <v>1975</v>
      </c>
    </row>
    <row r="309" spans="1:13">
      <c r="A309" s="2">
        <f ca="1">IFERROR(__xludf.DUMMYFUNCTION("""COMPUTED_VALUE"""),312)</f>
        <v>312</v>
      </c>
      <c r="B309" s="2" t="str">
        <f ca="1">IFERROR(__xludf.DUMMYFUNCTION("""COMPUTED_VALUE"""),"Toshiba")</f>
        <v>Toshiba</v>
      </c>
      <c r="C309" s="2" t="str">
        <f ca="1">IFERROR(__xludf.DUMMYFUNCTION("""COMPUTED_VALUE"""),"Satellite Pro")</f>
        <v>Satellite Pro</v>
      </c>
      <c r="D309" s="2" t="str">
        <f ca="1">IFERROR(__xludf.DUMMYFUNCTION("""COMPUTED_VALUE"""),"Notebook")</f>
        <v>Notebook</v>
      </c>
      <c r="E309" s="2">
        <f ca="1">IFERROR(__xludf.DUMMYFUNCTION("""COMPUTED_VALUE"""),15.6)</f>
        <v>15.6</v>
      </c>
      <c r="F309" s="2" t="str">
        <f ca="1">IFERROR(__xludf.DUMMYFUNCTION("""COMPUTED_VALUE"""),"IPS Panel Full HD 1920x1080")</f>
        <v>IPS Panel Full HD 1920x1080</v>
      </c>
      <c r="G309" s="2" t="str">
        <f ca="1">IFERROR(__xludf.DUMMYFUNCTION("""COMPUTED_VALUE"""),"Intel Core i7 6500U 2.5GHz")</f>
        <v>Intel Core i7 6500U 2.5GHz</v>
      </c>
      <c r="H309" s="2" t="str">
        <f ca="1">IFERROR(__xludf.DUMMYFUNCTION("""COMPUTED_VALUE"""),"8GB")</f>
        <v>8GB</v>
      </c>
      <c r="I309" s="2" t="str">
        <f ca="1">IFERROR(__xludf.DUMMYFUNCTION("""COMPUTED_VALUE"""),"256GB SSD")</f>
        <v>256GB SSD</v>
      </c>
      <c r="J309" s="2" t="str">
        <f ca="1">IFERROR(__xludf.DUMMYFUNCTION("""COMPUTED_VALUE"""),"Nvidia GeForce 930M")</f>
        <v>Nvidia GeForce 930M</v>
      </c>
      <c r="K309" s="2" t="str">
        <f ca="1">IFERROR(__xludf.DUMMYFUNCTION("""COMPUTED_VALUE"""),"Windows 10")</f>
        <v>Windows 10</v>
      </c>
      <c r="L309" s="2" t="str">
        <f ca="1">IFERROR(__xludf.DUMMYFUNCTION("""COMPUTED_VALUE"""),"2.2kg")</f>
        <v>2.2kg</v>
      </c>
      <c r="M309" s="2">
        <f ca="1">IFERROR(__xludf.DUMMYFUNCTION("""COMPUTED_VALUE"""),1043)</f>
        <v>1043</v>
      </c>
    </row>
    <row r="310" spans="1:13">
      <c r="A310" s="2">
        <f ca="1">IFERROR(__xludf.DUMMYFUNCTION("""COMPUTED_VALUE"""),313)</f>
        <v>313</v>
      </c>
      <c r="B310" s="2" t="str">
        <f ca="1">IFERROR(__xludf.DUMMYFUNCTION("""COMPUTED_VALUE"""),"Lenovo")</f>
        <v>Lenovo</v>
      </c>
      <c r="C310" s="2" t="str">
        <f ca="1">IFERROR(__xludf.DUMMYFUNCTION("""COMPUTED_VALUE"""),"IdeaPad 320-15IKB")</f>
        <v>IdeaPad 320-15IKB</v>
      </c>
      <c r="D310" s="2" t="str">
        <f ca="1">IFERROR(__xludf.DUMMYFUNCTION("""COMPUTED_VALUE"""),"Notebook")</f>
        <v>Notebook</v>
      </c>
      <c r="E310" s="2">
        <f ca="1">IFERROR(__xludf.DUMMYFUNCTION("""COMPUTED_VALUE"""),15.6)</f>
        <v>15.6</v>
      </c>
      <c r="F310" s="2" t="str">
        <f ca="1">IFERROR(__xludf.DUMMYFUNCTION("""COMPUTED_VALUE"""),"Full HD 1920x1080")</f>
        <v>Full HD 1920x1080</v>
      </c>
      <c r="G310" s="2" t="str">
        <f ca="1">IFERROR(__xludf.DUMMYFUNCTION("""COMPUTED_VALUE"""),"Intel Core i5 7200U 2.5GHz")</f>
        <v>Intel Core i5 7200U 2.5GHz</v>
      </c>
      <c r="H310" s="2" t="str">
        <f ca="1">IFERROR(__xludf.DUMMYFUNCTION("""COMPUTED_VALUE"""),"8GB")</f>
        <v>8GB</v>
      </c>
      <c r="I310" s="2" t="str">
        <f ca="1">IFERROR(__xludf.DUMMYFUNCTION("""COMPUTED_VALUE"""),"128GB SSD +  1TB HDD")</f>
        <v>128GB SSD +  1TB HDD</v>
      </c>
      <c r="J310" s="2" t="str">
        <f ca="1">IFERROR(__xludf.DUMMYFUNCTION("""COMPUTED_VALUE"""),"Nvidia GeForce 940MX")</f>
        <v>Nvidia GeForce 940MX</v>
      </c>
      <c r="K310" s="2" t="str">
        <f ca="1">IFERROR(__xludf.DUMMYFUNCTION("""COMPUTED_VALUE"""),"Windows 10")</f>
        <v>Windows 10</v>
      </c>
      <c r="L310" s="2" t="str">
        <f ca="1">IFERROR(__xludf.DUMMYFUNCTION("""COMPUTED_VALUE"""),"2.3kg")</f>
        <v>2.3kg</v>
      </c>
      <c r="M310" s="2">
        <f ca="1">IFERROR(__xludf.DUMMYFUNCTION("""COMPUTED_VALUE"""),819)</f>
        <v>819</v>
      </c>
    </row>
    <row r="311" spans="1:13">
      <c r="A311" s="2">
        <f ca="1">IFERROR(__xludf.DUMMYFUNCTION("""COMPUTED_VALUE"""),314)</f>
        <v>314</v>
      </c>
      <c r="B311" s="2" t="str">
        <f ca="1">IFERROR(__xludf.DUMMYFUNCTION("""COMPUTED_VALUE"""),"HP")</f>
        <v>HP</v>
      </c>
      <c r="C311" s="2" t="str">
        <f ca="1">IFERROR(__xludf.DUMMYFUNCTION("""COMPUTED_VALUE"""),"250 G6")</f>
        <v>250 G6</v>
      </c>
      <c r="D311" s="2" t="str">
        <f ca="1">IFERROR(__xludf.DUMMYFUNCTION("""COMPUTED_VALUE"""),"Notebook")</f>
        <v>Notebook</v>
      </c>
      <c r="E311" s="2">
        <f ca="1">IFERROR(__xludf.DUMMYFUNCTION("""COMPUTED_VALUE"""),15.6)</f>
        <v>15.6</v>
      </c>
      <c r="F311" s="2" t="str">
        <f ca="1">IFERROR(__xludf.DUMMYFUNCTION("""COMPUTED_VALUE"""),"Full HD 1920x1080")</f>
        <v>Full HD 1920x1080</v>
      </c>
      <c r="G311" s="2" t="str">
        <f ca="1">IFERROR(__xludf.DUMMYFUNCTION("""COMPUTED_VALUE"""),"Intel Core i3 6006U 2GHz")</f>
        <v>Intel Core i3 6006U 2GHz</v>
      </c>
      <c r="H311" s="2" t="str">
        <f ca="1">IFERROR(__xludf.DUMMYFUNCTION("""COMPUTED_VALUE"""),"4GB")</f>
        <v>4GB</v>
      </c>
      <c r="I311" s="2" t="str">
        <f ca="1">IFERROR(__xludf.DUMMYFUNCTION("""COMPUTED_VALUE"""),"1TB HDD")</f>
        <v>1TB HDD</v>
      </c>
      <c r="J311" s="2" t="str">
        <f ca="1">IFERROR(__xludf.DUMMYFUNCTION("""COMPUTED_VALUE"""),"Intel HD Graphics 520")</f>
        <v>Intel HD Graphics 520</v>
      </c>
      <c r="K311" s="2" t="str">
        <f ca="1">IFERROR(__xludf.DUMMYFUNCTION("""COMPUTED_VALUE"""),"Windows 10")</f>
        <v>Windows 10</v>
      </c>
      <c r="L311" s="2" t="str">
        <f ca="1">IFERROR(__xludf.DUMMYFUNCTION("""COMPUTED_VALUE"""),"1.86kg")</f>
        <v>1.86kg</v>
      </c>
      <c r="M311" s="2">
        <f ca="1">IFERROR(__xludf.DUMMYFUNCTION("""COMPUTED_VALUE"""),469)</f>
        <v>469</v>
      </c>
    </row>
    <row r="312" spans="1:13">
      <c r="A312" s="2">
        <f ca="1">IFERROR(__xludf.DUMMYFUNCTION("""COMPUTED_VALUE"""),315)</f>
        <v>315</v>
      </c>
      <c r="B312" s="2" t="str">
        <f ca="1">IFERROR(__xludf.DUMMYFUNCTION("""COMPUTED_VALUE"""),"Lenovo")</f>
        <v>Lenovo</v>
      </c>
      <c r="C312" s="2" t="str">
        <f ca="1">IFERROR(__xludf.DUMMYFUNCTION("""COMPUTED_VALUE"""),"IdeaPad 720S-13IKB")</f>
        <v>IdeaPad 720S-13IKB</v>
      </c>
      <c r="D312" s="2" t="str">
        <f ca="1">IFERROR(__xludf.DUMMYFUNCTION("""COMPUTED_VALUE"""),"Notebook")</f>
        <v>Notebook</v>
      </c>
      <c r="E312" s="2">
        <f ca="1">IFERROR(__xludf.DUMMYFUNCTION("""COMPUTED_VALUE"""),13.3)</f>
        <v>13.3</v>
      </c>
      <c r="F312" s="2" t="str">
        <f ca="1">IFERROR(__xludf.DUMMYFUNCTION("""COMPUTED_VALUE"""),"IPS Panel Full HD 1920x1080")</f>
        <v>IPS Panel Full HD 1920x1080</v>
      </c>
      <c r="G312" s="2" t="str">
        <f ca="1">IFERROR(__xludf.DUMMYFUNCTION("""COMPUTED_VALUE"""),"Intel Core i5 7200U 2.5GHz")</f>
        <v>Intel Core i5 7200U 2.5GHz</v>
      </c>
      <c r="H312" s="2" t="str">
        <f ca="1">IFERROR(__xludf.DUMMYFUNCTION("""COMPUTED_VALUE"""),"8GB")</f>
        <v>8GB</v>
      </c>
      <c r="I312" s="2" t="str">
        <f ca="1">IFERROR(__xludf.DUMMYFUNCTION("""COMPUTED_VALUE"""),"256GB SSD")</f>
        <v>256GB SSD</v>
      </c>
      <c r="J312" s="2" t="str">
        <f ca="1">IFERROR(__xludf.DUMMYFUNCTION("""COMPUTED_VALUE"""),"Intel HD Graphics 620")</f>
        <v>Intel HD Graphics 620</v>
      </c>
      <c r="K312" s="2" t="str">
        <f ca="1">IFERROR(__xludf.DUMMYFUNCTION("""COMPUTED_VALUE"""),"Windows 10")</f>
        <v>Windows 10</v>
      </c>
      <c r="L312" s="2" t="str">
        <f ca="1">IFERROR(__xludf.DUMMYFUNCTION("""COMPUTED_VALUE"""),"1.1kg")</f>
        <v>1.1kg</v>
      </c>
      <c r="M312" s="2">
        <f ca="1">IFERROR(__xludf.DUMMYFUNCTION("""COMPUTED_VALUE"""),999)</f>
        <v>999</v>
      </c>
    </row>
    <row r="313" spans="1:13">
      <c r="A313" s="2">
        <f ca="1">IFERROR(__xludf.DUMMYFUNCTION("""COMPUTED_VALUE"""),316)</f>
        <v>316</v>
      </c>
      <c r="B313" s="2" t="str">
        <f ca="1">IFERROR(__xludf.DUMMYFUNCTION("""COMPUTED_VALUE"""),"Dell")</f>
        <v>Dell</v>
      </c>
      <c r="C313" s="2" t="str">
        <f ca="1">IFERROR(__xludf.DUMMYFUNCTION("""COMPUTED_VALUE"""),"XPS 13")</f>
        <v>XPS 13</v>
      </c>
      <c r="D313" s="2" t="str">
        <f ca="1">IFERROR(__xludf.DUMMYFUNCTION("""COMPUTED_VALUE"""),"Ultrabook")</f>
        <v>Ultrabook</v>
      </c>
      <c r="E313" s="2">
        <f ca="1">IFERROR(__xludf.DUMMYFUNCTION("""COMPUTED_VALUE"""),13.3)</f>
        <v>13.3</v>
      </c>
      <c r="F313" s="2" t="str">
        <f ca="1">IFERROR(__xludf.DUMMYFUNCTION("""COMPUTED_VALUE"""),"IPS Panel 4K Ultra HD / Touchscreen 3840x2160")</f>
        <v>IPS Panel 4K Ultra HD / Touchscreen 3840x2160</v>
      </c>
      <c r="G313" s="2" t="str">
        <f ca="1">IFERROR(__xludf.DUMMYFUNCTION("""COMPUTED_VALUE"""),"Intel Core i7 8550U 1.8GHz")</f>
        <v>Intel Core i7 8550U 1.8GHz</v>
      </c>
      <c r="H313" s="2" t="str">
        <f ca="1">IFERROR(__xludf.DUMMYFUNCTION("""COMPUTED_VALUE"""),"16GB")</f>
        <v>16GB</v>
      </c>
      <c r="I313" s="2" t="str">
        <f ca="1">IFERROR(__xludf.DUMMYFUNCTION("""COMPUTED_VALUE"""),"1TB SSD")</f>
        <v>1TB SSD</v>
      </c>
      <c r="J313" s="2" t="str">
        <f ca="1">IFERROR(__xludf.DUMMYFUNCTION("""COMPUTED_VALUE"""),"Intel UHD Graphics 620")</f>
        <v>Intel UHD Graphics 620</v>
      </c>
      <c r="K313" s="2" t="str">
        <f ca="1">IFERROR(__xludf.DUMMYFUNCTION("""COMPUTED_VALUE"""),"Windows 10")</f>
        <v>Windows 10</v>
      </c>
      <c r="L313" s="2" t="str">
        <f ca="1">IFERROR(__xludf.DUMMYFUNCTION("""COMPUTED_VALUE"""),"1.21kg")</f>
        <v>1.21kg</v>
      </c>
      <c r="M313" s="2">
        <f ca="1">IFERROR(__xludf.DUMMYFUNCTION("""COMPUTED_VALUE"""),2499)</f>
        <v>2499</v>
      </c>
    </row>
    <row r="314" spans="1:13">
      <c r="A314" s="2">
        <f ca="1">IFERROR(__xludf.DUMMYFUNCTION("""COMPUTED_VALUE"""),317)</f>
        <v>317</v>
      </c>
      <c r="B314" s="2" t="str">
        <f ca="1">IFERROR(__xludf.DUMMYFUNCTION("""COMPUTED_VALUE"""),"MSI")</f>
        <v>MSI</v>
      </c>
      <c r="C314" s="2" t="str">
        <f ca="1">IFERROR(__xludf.DUMMYFUNCTION("""COMPUTED_VALUE"""),"GE63VR 7RF")</f>
        <v>GE63VR 7RF</v>
      </c>
      <c r="D314" s="2" t="str">
        <f ca="1">IFERROR(__xludf.DUMMYFUNCTION("""COMPUTED_VALUE"""),"Gaming")</f>
        <v>Gaming</v>
      </c>
      <c r="E314" s="2">
        <f ca="1">IFERROR(__xludf.DUMMYFUNCTION("""COMPUTED_VALUE"""),15.6)</f>
        <v>15.6</v>
      </c>
      <c r="F314" s="2" t="str">
        <f ca="1">IFERROR(__xludf.DUMMYFUNCTION("""COMPUTED_VALUE"""),"IPS Panel Full HD 1920x1080")</f>
        <v>IPS Panel Full HD 1920x1080</v>
      </c>
      <c r="G314" s="2" t="str">
        <f ca="1">IFERROR(__xludf.DUMMYFUNCTION("""COMPUTED_VALUE"""),"Intel Core i7 7700HQ 2.8GHz")</f>
        <v>Intel Core i7 7700HQ 2.8GHz</v>
      </c>
      <c r="H314" s="2" t="str">
        <f ca="1">IFERROR(__xludf.DUMMYFUNCTION("""COMPUTED_VALUE"""),"16GB")</f>
        <v>16GB</v>
      </c>
      <c r="I314" s="2" t="str">
        <f ca="1">IFERROR(__xludf.DUMMYFUNCTION("""COMPUTED_VALUE"""),"256GB SSD +  1TB HDD")</f>
        <v>256GB SSD +  1TB HDD</v>
      </c>
      <c r="J314" s="2" t="str">
        <f ca="1">IFERROR(__xludf.DUMMYFUNCTION("""COMPUTED_VALUE"""),"Nvidia GeForce GTX 1070")</f>
        <v>Nvidia GeForce GTX 1070</v>
      </c>
      <c r="K314" s="2" t="str">
        <f ca="1">IFERROR(__xludf.DUMMYFUNCTION("""COMPUTED_VALUE"""),"Windows 10")</f>
        <v>Windows 10</v>
      </c>
      <c r="L314" s="2" t="str">
        <f ca="1">IFERROR(__xludf.DUMMYFUNCTION("""COMPUTED_VALUE"""),"2.8kg")</f>
        <v>2.8kg</v>
      </c>
      <c r="M314" s="2">
        <f ca="1">IFERROR(__xludf.DUMMYFUNCTION("""COMPUTED_VALUE"""),2099)</f>
        <v>2099</v>
      </c>
    </row>
    <row r="315" spans="1:13">
      <c r="A315" s="2">
        <f ca="1">IFERROR(__xludf.DUMMYFUNCTION("""COMPUTED_VALUE"""),318)</f>
        <v>318</v>
      </c>
      <c r="B315" s="2" t="str">
        <f ca="1">IFERROR(__xludf.DUMMYFUNCTION("""COMPUTED_VALUE"""),"Acer")</f>
        <v>Acer</v>
      </c>
      <c r="C315" s="2" t="str">
        <f ca="1">IFERROR(__xludf.DUMMYFUNCTION("""COMPUTED_VALUE"""),"ES1-523-84K7 (A8-7410/8GB/256GB/FHD/W10)")</f>
        <v>ES1-523-84K7 (A8-7410/8GB/256GB/FHD/W10)</v>
      </c>
      <c r="D315" s="2" t="str">
        <f ca="1">IFERROR(__xludf.DUMMYFUNCTION("""COMPUTED_VALUE"""),"Notebook")</f>
        <v>Notebook</v>
      </c>
      <c r="E315" s="2">
        <f ca="1">IFERROR(__xludf.DUMMYFUNCTION("""COMPUTED_VALUE"""),15.6)</f>
        <v>15.6</v>
      </c>
      <c r="F315" s="2" t="str">
        <f ca="1">IFERROR(__xludf.DUMMYFUNCTION("""COMPUTED_VALUE"""),"Full HD 1920x1080")</f>
        <v>Full HD 1920x1080</v>
      </c>
      <c r="G315" s="2" t="str">
        <f ca="1">IFERROR(__xludf.DUMMYFUNCTION("""COMPUTED_VALUE"""),"AMD A8-Series 7410 2.2GHz")</f>
        <v>AMD A8-Series 7410 2.2GHz</v>
      </c>
      <c r="H315" s="2" t="str">
        <f ca="1">IFERROR(__xludf.DUMMYFUNCTION("""COMPUTED_VALUE"""),"8GB")</f>
        <v>8GB</v>
      </c>
      <c r="I315" s="2" t="str">
        <f ca="1">IFERROR(__xludf.DUMMYFUNCTION("""COMPUTED_VALUE"""),"256GB SSD")</f>
        <v>256GB SSD</v>
      </c>
      <c r="J315" s="2" t="str">
        <f ca="1">IFERROR(__xludf.DUMMYFUNCTION("""COMPUTED_VALUE"""),"AMD Radeon R5")</f>
        <v>AMD Radeon R5</v>
      </c>
      <c r="K315" s="2" t="str">
        <f ca="1">IFERROR(__xludf.DUMMYFUNCTION("""COMPUTED_VALUE"""),"Windows 10")</f>
        <v>Windows 10</v>
      </c>
      <c r="L315" s="2" t="str">
        <f ca="1">IFERROR(__xludf.DUMMYFUNCTION("""COMPUTED_VALUE"""),"2.23kg")</f>
        <v>2.23kg</v>
      </c>
      <c r="M315" s="2">
        <f ca="1">IFERROR(__xludf.DUMMYFUNCTION("""COMPUTED_VALUE"""),469)</f>
        <v>469</v>
      </c>
    </row>
    <row r="316" spans="1:13">
      <c r="A316" s="2">
        <f ca="1">IFERROR(__xludf.DUMMYFUNCTION("""COMPUTED_VALUE"""),319)</f>
        <v>319</v>
      </c>
      <c r="B316" s="2" t="str">
        <f ca="1">IFERROR(__xludf.DUMMYFUNCTION("""COMPUTED_VALUE"""),"Asus")</f>
        <v>Asus</v>
      </c>
      <c r="C316" s="2" t="str">
        <f ca="1">IFERROR(__xludf.DUMMYFUNCTION("""COMPUTED_VALUE"""),"VivoBook Flip")</f>
        <v>VivoBook Flip</v>
      </c>
      <c r="D316" s="2" t="str">
        <f ca="1">IFERROR(__xludf.DUMMYFUNCTION("""COMPUTED_VALUE"""),"2 in 1 Convertible")</f>
        <v>2 in 1 Convertible</v>
      </c>
      <c r="E316" s="2">
        <f ca="1">IFERROR(__xludf.DUMMYFUNCTION("""COMPUTED_VALUE"""),11.6)</f>
        <v>11.6</v>
      </c>
      <c r="F316" s="2" t="str">
        <f ca="1">IFERROR(__xludf.DUMMYFUNCTION("""COMPUTED_VALUE"""),"Touchscreen 1366x768")</f>
        <v>Touchscreen 1366x768</v>
      </c>
      <c r="G316" s="2" t="str">
        <f ca="1">IFERROR(__xludf.DUMMYFUNCTION("""COMPUTED_VALUE"""),"Intel Celeron Dual Core N3350 1.1GHz")</f>
        <v>Intel Celeron Dual Core N3350 1.1GHz</v>
      </c>
      <c r="H316" s="2" t="str">
        <f ca="1">IFERROR(__xludf.DUMMYFUNCTION("""COMPUTED_VALUE"""),"2GB")</f>
        <v>2GB</v>
      </c>
      <c r="I316" s="2" t="str">
        <f ca="1">IFERROR(__xludf.DUMMYFUNCTION("""COMPUTED_VALUE"""),"32GB Flash Storage")</f>
        <v>32GB Flash Storage</v>
      </c>
      <c r="J316" s="2" t="str">
        <f ca="1">IFERROR(__xludf.DUMMYFUNCTION("""COMPUTED_VALUE"""),"Intel HD Graphics 500")</f>
        <v>Intel HD Graphics 500</v>
      </c>
      <c r="K316" s="2" t="str">
        <f ca="1">IFERROR(__xludf.DUMMYFUNCTION("""COMPUTED_VALUE"""),"Windows 10")</f>
        <v>Windows 10</v>
      </c>
      <c r="L316" s="2" t="str">
        <f ca="1">IFERROR(__xludf.DUMMYFUNCTION("""COMPUTED_VALUE"""),"1.1kg")</f>
        <v>1.1kg</v>
      </c>
      <c r="M316" s="2">
        <f ca="1">IFERROR(__xludf.DUMMYFUNCTION("""COMPUTED_VALUE"""),275)</f>
        <v>275</v>
      </c>
    </row>
    <row r="317" spans="1:13">
      <c r="A317" s="2">
        <f ca="1">IFERROR(__xludf.DUMMYFUNCTION("""COMPUTED_VALUE"""),320)</f>
        <v>320</v>
      </c>
      <c r="B317" s="2" t="str">
        <f ca="1">IFERROR(__xludf.DUMMYFUNCTION("""COMPUTED_VALUE"""),"Dell")</f>
        <v>Dell</v>
      </c>
      <c r="C317" s="2" t="str">
        <f ca="1">IFERROR(__xludf.DUMMYFUNCTION("""COMPUTED_VALUE"""),"Inspiron 5570")</f>
        <v>Inspiron 5570</v>
      </c>
      <c r="D317" s="2" t="str">
        <f ca="1">IFERROR(__xludf.DUMMYFUNCTION("""COMPUTED_VALUE"""),"Notebook")</f>
        <v>Notebook</v>
      </c>
      <c r="E317" s="2">
        <f ca="1">IFERROR(__xludf.DUMMYFUNCTION("""COMPUTED_VALUE"""),15.6)</f>
        <v>15.6</v>
      </c>
      <c r="F317" s="2" t="str">
        <f ca="1">IFERROR(__xludf.DUMMYFUNCTION("""COMPUTED_VALUE"""),"Full HD 1920x1080")</f>
        <v>Full HD 1920x1080</v>
      </c>
      <c r="G317" s="2" t="str">
        <f ca="1">IFERROR(__xludf.DUMMYFUNCTION("""COMPUTED_VALUE"""),"Intel Core i5 8250U 1.6GHz")</f>
        <v>Intel Core i5 8250U 1.6GHz</v>
      </c>
      <c r="H317" s="2" t="str">
        <f ca="1">IFERROR(__xludf.DUMMYFUNCTION("""COMPUTED_VALUE"""),"8GB")</f>
        <v>8GB</v>
      </c>
      <c r="I317" s="2" t="str">
        <f ca="1">IFERROR(__xludf.DUMMYFUNCTION("""COMPUTED_VALUE"""),"128GB SSD +  1TB HDD")</f>
        <v>128GB SSD +  1TB HDD</v>
      </c>
      <c r="J317" s="2" t="str">
        <f ca="1">IFERROR(__xludf.DUMMYFUNCTION("""COMPUTED_VALUE"""),"AMD Radeon 530")</f>
        <v>AMD Radeon 530</v>
      </c>
      <c r="K317" s="2" t="str">
        <f ca="1">IFERROR(__xludf.DUMMYFUNCTION("""COMPUTED_VALUE"""),"Windows 10")</f>
        <v>Windows 10</v>
      </c>
      <c r="L317" s="2" t="str">
        <f ca="1">IFERROR(__xludf.DUMMYFUNCTION("""COMPUTED_VALUE"""),"2.33kg")</f>
        <v>2.33kg</v>
      </c>
      <c r="M317" s="2">
        <f ca="1">IFERROR(__xludf.DUMMYFUNCTION("""COMPUTED_VALUE"""),844)</f>
        <v>844</v>
      </c>
    </row>
    <row r="318" spans="1:13">
      <c r="A318" s="2">
        <f ca="1">IFERROR(__xludf.DUMMYFUNCTION("""COMPUTED_VALUE"""),321)</f>
        <v>321</v>
      </c>
      <c r="B318" s="2" t="str">
        <f ca="1">IFERROR(__xludf.DUMMYFUNCTION("""COMPUTED_VALUE"""),"HP")</f>
        <v>HP</v>
      </c>
      <c r="C318" s="2" t="str">
        <f ca="1">IFERROR(__xludf.DUMMYFUNCTION("""COMPUTED_VALUE"""),"Spectre x360")</f>
        <v>Spectre x360</v>
      </c>
      <c r="D318" s="2" t="str">
        <f ca="1">IFERROR(__xludf.DUMMYFUNCTION("""COMPUTED_VALUE"""),"2 in 1 Convertible")</f>
        <v>2 in 1 Convertible</v>
      </c>
      <c r="E318" s="2">
        <f ca="1">IFERROR(__xludf.DUMMYFUNCTION("""COMPUTED_VALUE"""),13.3)</f>
        <v>13.3</v>
      </c>
      <c r="F318" s="2" t="str">
        <f ca="1">IFERROR(__xludf.DUMMYFUNCTION("""COMPUTED_VALUE"""),"IPS Panel 4K Ultra HD / Touchscreen 3840x2160")</f>
        <v>IPS Panel 4K Ultra HD / Touchscreen 3840x2160</v>
      </c>
      <c r="G318" s="2" t="str">
        <f ca="1">IFERROR(__xludf.DUMMYFUNCTION("""COMPUTED_VALUE"""),"Intel Core i7 8550U 1.8GHz")</f>
        <v>Intel Core i7 8550U 1.8GHz</v>
      </c>
      <c r="H318" s="2" t="str">
        <f ca="1">IFERROR(__xludf.DUMMYFUNCTION("""COMPUTED_VALUE"""),"16GB")</f>
        <v>16GB</v>
      </c>
      <c r="I318" s="2" t="str">
        <f ca="1">IFERROR(__xludf.DUMMYFUNCTION("""COMPUTED_VALUE"""),"1TB SSD")</f>
        <v>1TB SSD</v>
      </c>
      <c r="J318" s="2" t="str">
        <f ca="1">IFERROR(__xludf.DUMMYFUNCTION("""COMPUTED_VALUE"""),"Intel UHD Graphics 620")</f>
        <v>Intel UHD Graphics 620</v>
      </c>
      <c r="K318" s="2" t="str">
        <f ca="1">IFERROR(__xludf.DUMMYFUNCTION("""COMPUTED_VALUE"""),"Windows 10")</f>
        <v>Windows 10</v>
      </c>
      <c r="L318" s="2" t="str">
        <f ca="1">IFERROR(__xludf.DUMMYFUNCTION("""COMPUTED_VALUE"""),"1.29kg")</f>
        <v>1.29kg</v>
      </c>
      <c r="M318" s="2">
        <f ca="1">IFERROR(__xludf.DUMMYFUNCTION("""COMPUTED_VALUE"""),2449)</f>
        <v>2449</v>
      </c>
    </row>
    <row r="319" spans="1:13">
      <c r="A319" s="2">
        <f ca="1">IFERROR(__xludf.DUMMYFUNCTION("""COMPUTED_VALUE"""),322)</f>
        <v>322</v>
      </c>
      <c r="B319" s="2" t="str">
        <f ca="1">IFERROR(__xludf.DUMMYFUNCTION("""COMPUTED_VALUE"""),"Lenovo")</f>
        <v>Lenovo</v>
      </c>
      <c r="C319" s="2" t="str">
        <f ca="1">IFERROR(__xludf.DUMMYFUNCTION("""COMPUTED_VALUE"""),"ThinkPad 13")</f>
        <v>ThinkPad 13</v>
      </c>
      <c r="D319" s="2" t="str">
        <f ca="1">IFERROR(__xludf.DUMMYFUNCTION("""COMPUTED_VALUE"""),"Notebook")</f>
        <v>Notebook</v>
      </c>
      <c r="E319" s="2">
        <f ca="1">IFERROR(__xludf.DUMMYFUNCTION("""COMPUTED_VALUE"""),13.3)</f>
        <v>13.3</v>
      </c>
      <c r="F319" s="2" t="str">
        <f ca="1">IFERROR(__xludf.DUMMYFUNCTION("""COMPUTED_VALUE"""),"1366x768")</f>
        <v>1366x768</v>
      </c>
      <c r="G319" s="2" t="str">
        <f ca="1">IFERROR(__xludf.DUMMYFUNCTION("""COMPUTED_VALUE"""),"Intel Celeron Dual Core 3855U 1.6GHz")</f>
        <v>Intel Celeron Dual Core 3855U 1.6GHz</v>
      </c>
      <c r="H319" s="2" t="str">
        <f ca="1">IFERROR(__xludf.DUMMYFUNCTION("""COMPUTED_VALUE"""),"4GB")</f>
        <v>4GB</v>
      </c>
      <c r="I319" s="2" t="str">
        <f ca="1">IFERROR(__xludf.DUMMYFUNCTION("""COMPUTED_VALUE"""),"16GB Flash Storage")</f>
        <v>16GB Flash Storage</v>
      </c>
      <c r="J319" s="2" t="str">
        <f ca="1">IFERROR(__xludf.DUMMYFUNCTION("""COMPUTED_VALUE"""),"Intel HD Graphics 510")</f>
        <v>Intel HD Graphics 510</v>
      </c>
      <c r="K319" s="2" t="str">
        <f ca="1">IFERROR(__xludf.DUMMYFUNCTION("""COMPUTED_VALUE"""),"Chrome OS")</f>
        <v>Chrome OS</v>
      </c>
      <c r="L319" s="2" t="str">
        <f ca="1">IFERROR(__xludf.DUMMYFUNCTION("""COMPUTED_VALUE"""),"1.45kg")</f>
        <v>1.45kg</v>
      </c>
      <c r="M319" s="2">
        <f ca="1">IFERROR(__xludf.DUMMYFUNCTION("""COMPUTED_VALUE"""),459.9)</f>
        <v>459.9</v>
      </c>
    </row>
    <row r="320" spans="1:13">
      <c r="A320" s="2">
        <f ca="1">IFERROR(__xludf.DUMMYFUNCTION("""COMPUTED_VALUE"""),323)</f>
        <v>323</v>
      </c>
      <c r="B320" s="2" t="str">
        <f ca="1">IFERROR(__xludf.DUMMYFUNCTION("""COMPUTED_VALUE"""),"HP")</f>
        <v>HP</v>
      </c>
      <c r="C320" s="2" t="str">
        <f ca="1">IFERROR(__xludf.DUMMYFUNCTION("""COMPUTED_VALUE"""),"ProBook 640")</f>
        <v>ProBook 640</v>
      </c>
      <c r="D320" s="2" t="str">
        <f ca="1">IFERROR(__xludf.DUMMYFUNCTION("""COMPUTED_VALUE"""),"Notebook")</f>
        <v>Notebook</v>
      </c>
      <c r="E320" s="2">
        <f ca="1">IFERROR(__xludf.DUMMYFUNCTION("""COMPUTED_VALUE"""),14)</f>
        <v>14</v>
      </c>
      <c r="F320" s="2" t="str">
        <f ca="1">IFERROR(__xludf.DUMMYFUNCTION("""COMPUTED_VALUE"""),"Full HD 1920x1080")</f>
        <v>Full HD 1920x1080</v>
      </c>
      <c r="G320" s="2" t="str">
        <f ca="1">IFERROR(__xludf.DUMMYFUNCTION("""COMPUTED_VALUE"""),"Intel Core i5 7200U 2.5GHz")</f>
        <v>Intel Core i5 7200U 2.5GHz</v>
      </c>
      <c r="H320" s="2" t="str">
        <f ca="1">IFERROR(__xludf.DUMMYFUNCTION("""COMPUTED_VALUE"""),"8GB")</f>
        <v>8GB</v>
      </c>
      <c r="I320" s="2" t="str">
        <f ca="1">IFERROR(__xludf.DUMMYFUNCTION("""COMPUTED_VALUE"""),"256GB SSD")</f>
        <v>256GB SSD</v>
      </c>
      <c r="J320" s="2" t="str">
        <f ca="1">IFERROR(__xludf.DUMMYFUNCTION("""COMPUTED_VALUE"""),"Intel HD Graphics 620")</f>
        <v>Intel HD Graphics 620</v>
      </c>
      <c r="K320" s="2" t="str">
        <f ca="1">IFERROR(__xludf.DUMMYFUNCTION("""COMPUTED_VALUE"""),"Windows 10")</f>
        <v>Windows 10</v>
      </c>
      <c r="L320" s="2" t="str">
        <f ca="1">IFERROR(__xludf.DUMMYFUNCTION("""COMPUTED_VALUE"""),"1.95kg")</f>
        <v>1.95kg</v>
      </c>
      <c r="M320" s="2">
        <f ca="1">IFERROR(__xludf.DUMMYFUNCTION("""COMPUTED_VALUE"""),980)</f>
        <v>980</v>
      </c>
    </row>
    <row r="321" spans="1:13">
      <c r="A321" s="2">
        <f ca="1">IFERROR(__xludf.DUMMYFUNCTION("""COMPUTED_VALUE"""),324)</f>
        <v>324</v>
      </c>
      <c r="B321" s="2" t="str">
        <f ca="1">IFERROR(__xludf.DUMMYFUNCTION("""COMPUTED_VALUE"""),"Acer")</f>
        <v>Acer</v>
      </c>
      <c r="C321" s="2" t="str">
        <f ca="1">IFERROR(__xludf.DUMMYFUNCTION("""COMPUTED_VALUE"""),"TravelMate B")</f>
        <v>TravelMate B</v>
      </c>
      <c r="D321" s="2" t="str">
        <f ca="1">IFERROR(__xludf.DUMMYFUNCTION("""COMPUTED_VALUE"""),"Notebook")</f>
        <v>Notebook</v>
      </c>
      <c r="E321" s="2">
        <f ca="1">IFERROR(__xludf.DUMMYFUNCTION("""COMPUTED_VALUE"""),11.6)</f>
        <v>11.6</v>
      </c>
      <c r="F321" s="2" t="str">
        <f ca="1">IFERROR(__xludf.DUMMYFUNCTION("""COMPUTED_VALUE"""),"1366x768")</f>
        <v>1366x768</v>
      </c>
      <c r="G321" s="2" t="str">
        <f ca="1">IFERROR(__xludf.DUMMYFUNCTION("""COMPUTED_VALUE"""),"Intel Pentium Quad Core N3710 1.6GHz")</f>
        <v>Intel Pentium Quad Core N3710 1.6GHz</v>
      </c>
      <c r="H321" s="2" t="str">
        <f ca="1">IFERROR(__xludf.DUMMYFUNCTION("""COMPUTED_VALUE"""),"4GB")</f>
        <v>4GB</v>
      </c>
      <c r="I321" s="2" t="str">
        <f ca="1">IFERROR(__xludf.DUMMYFUNCTION("""COMPUTED_VALUE"""),"128GB Flash Storage")</f>
        <v>128GB Flash Storage</v>
      </c>
      <c r="J321" s="2" t="str">
        <f ca="1">IFERROR(__xludf.DUMMYFUNCTION("""COMPUTED_VALUE"""),"Intel HD Graphics 405")</f>
        <v>Intel HD Graphics 405</v>
      </c>
      <c r="K321" s="2" t="str">
        <f ca="1">IFERROR(__xludf.DUMMYFUNCTION("""COMPUTED_VALUE"""),"Windows 10")</f>
        <v>Windows 10</v>
      </c>
      <c r="L321" s="2" t="str">
        <f ca="1">IFERROR(__xludf.DUMMYFUNCTION("""COMPUTED_VALUE"""),"1.4kg")</f>
        <v>1.4kg</v>
      </c>
      <c r="M321" s="2">
        <f ca="1">IFERROR(__xludf.DUMMYFUNCTION("""COMPUTED_VALUE"""),485)</f>
        <v>485</v>
      </c>
    </row>
    <row r="322" spans="1:13">
      <c r="A322" s="2">
        <f ca="1">IFERROR(__xludf.DUMMYFUNCTION("""COMPUTED_VALUE"""),325)</f>
        <v>325</v>
      </c>
      <c r="B322" s="2" t="str">
        <f ca="1">IFERROR(__xludf.DUMMYFUNCTION("""COMPUTED_VALUE"""),"HP")</f>
        <v>HP</v>
      </c>
      <c r="C322" s="2" t="str">
        <f ca="1">IFERROR(__xludf.DUMMYFUNCTION("""COMPUTED_VALUE"""),"Elitebook 840")</f>
        <v>Elitebook 840</v>
      </c>
      <c r="D322" s="2" t="str">
        <f ca="1">IFERROR(__xludf.DUMMYFUNCTION("""COMPUTED_VALUE"""),"Notebook")</f>
        <v>Notebook</v>
      </c>
      <c r="E322" s="2">
        <f ca="1">IFERROR(__xludf.DUMMYFUNCTION("""COMPUTED_VALUE"""),14)</f>
        <v>14</v>
      </c>
      <c r="F322" s="2" t="str">
        <f ca="1">IFERROR(__xludf.DUMMYFUNCTION("""COMPUTED_VALUE"""),"Full HD 1920x1080")</f>
        <v>Full HD 1920x1080</v>
      </c>
      <c r="G322" s="2" t="str">
        <f ca="1">IFERROR(__xludf.DUMMYFUNCTION("""COMPUTED_VALUE"""),"Intel Core i7 7500U 2.7GHz")</f>
        <v>Intel Core i7 7500U 2.7GHz</v>
      </c>
      <c r="H322" s="2" t="str">
        <f ca="1">IFERROR(__xludf.DUMMYFUNCTION("""COMPUTED_VALUE"""),"8GB")</f>
        <v>8GB</v>
      </c>
      <c r="I322" s="2" t="str">
        <f ca="1">IFERROR(__xludf.DUMMYFUNCTION("""COMPUTED_VALUE"""),"256GB SSD")</f>
        <v>256GB SSD</v>
      </c>
      <c r="J322" s="2" t="str">
        <f ca="1">IFERROR(__xludf.DUMMYFUNCTION("""COMPUTED_VALUE"""),"Intel HD Graphics 620")</f>
        <v>Intel HD Graphics 620</v>
      </c>
      <c r="K322" s="2" t="str">
        <f ca="1">IFERROR(__xludf.DUMMYFUNCTION("""COMPUTED_VALUE"""),"Windows 10")</f>
        <v>Windows 10</v>
      </c>
      <c r="L322" s="2" t="str">
        <f ca="1">IFERROR(__xludf.DUMMYFUNCTION("""COMPUTED_VALUE"""),"1.48kg")</f>
        <v>1.48kg</v>
      </c>
      <c r="M322" s="2">
        <f ca="1">IFERROR(__xludf.DUMMYFUNCTION("""COMPUTED_VALUE"""),1292)</f>
        <v>1292</v>
      </c>
    </row>
    <row r="323" spans="1:13">
      <c r="A323" s="2">
        <f ca="1">IFERROR(__xludf.DUMMYFUNCTION("""COMPUTED_VALUE"""),326)</f>
        <v>326</v>
      </c>
      <c r="B323" s="2" t="str">
        <f ca="1">IFERROR(__xludf.DUMMYFUNCTION("""COMPUTED_VALUE"""),"Lenovo")</f>
        <v>Lenovo</v>
      </c>
      <c r="C323" s="2" t="str">
        <f ca="1">IFERROR(__xludf.DUMMYFUNCTION("""COMPUTED_VALUE"""),"IdeaPad 320-17IKB")</f>
        <v>IdeaPad 320-17IKB</v>
      </c>
      <c r="D323" s="2" t="str">
        <f ca="1">IFERROR(__xludf.DUMMYFUNCTION("""COMPUTED_VALUE"""),"Notebook")</f>
        <v>Notebook</v>
      </c>
      <c r="E323" s="2">
        <f ca="1">IFERROR(__xludf.DUMMYFUNCTION("""COMPUTED_VALUE"""),17.3)</f>
        <v>17.3</v>
      </c>
      <c r="F323" s="2" t="str">
        <f ca="1">IFERROR(__xludf.DUMMYFUNCTION("""COMPUTED_VALUE"""),"1600x900")</f>
        <v>1600x900</v>
      </c>
      <c r="G323" s="2" t="str">
        <f ca="1">IFERROR(__xludf.DUMMYFUNCTION("""COMPUTED_VALUE"""),"Intel Core i5 7200U 2.5GHz")</f>
        <v>Intel Core i5 7200U 2.5GHz</v>
      </c>
      <c r="H323" s="2" t="str">
        <f ca="1">IFERROR(__xludf.DUMMYFUNCTION("""COMPUTED_VALUE"""),"4GB")</f>
        <v>4GB</v>
      </c>
      <c r="I323" s="2" t="str">
        <f ca="1">IFERROR(__xludf.DUMMYFUNCTION("""COMPUTED_VALUE"""),"1TB HDD")</f>
        <v>1TB HDD</v>
      </c>
      <c r="J323" s="2" t="str">
        <f ca="1">IFERROR(__xludf.DUMMYFUNCTION("""COMPUTED_VALUE"""),"Nvidia GeForce 920MX")</f>
        <v>Nvidia GeForce 920MX</v>
      </c>
      <c r="K323" s="2" t="str">
        <f ca="1">IFERROR(__xludf.DUMMYFUNCTION("""COMPUTED_VALUE"""),"Windows 10")</f>
        <v>Windows 10</v>
      </c>
      <c r="L323" s="2" t="str">
        <f ca="1">IFERROR(__xludf.DUMMYFUNCTION("""COMPUTED_VALUE"""),"2.79kg")</f>
        <v>2.79kg</v>
      </c>
      <c r="M323" s="2">
        <f ca="1">IFERROR(__xludf.DUMMYFUNCTION("""COMPUTED_VALUE"""),589)</f>
        <v>589</v>
      </c>
    </row>
    <row r="324" spans="1:13">
      <c r="A324" s="2">
        <f ca="1">IFERROR(__xludf.DUMMYFUNCTION("""COMPUTED_VALUE"""),327)</f>
        <v>327</v>
      </c>
      <c r="B324" s="2" t="str">
        <f ca="1">IFERROR(__xludf.DUMMYFUNCTION("""COMPUTED_VALUE"""),"Asus")</f>
        <v>Asus</v>
      </c>
      <c r="C324" s="2" t="str">
        <f ca="1">IFERROR(__xludf.DUMMYFUNCTION("""COMPUTED_VALUE"""),"ZenBook UX410UA-GV183T")</f>
        <v>ZenBook UX410UA-GV183T</v>
      </c>
      <c r="D324" s="2" t="str">
        <f ca="1">IFERROR(__xludf.DUMMYFUNCTION("""COMPUTED_VALUE"""),"Notebook")</f>
        <v>Notebook</v>
      </c>
      <c r="E324" s="2">
        <f ca="1">IFERROR(__xludf.DUMMYFUNCTION("""COMPUTED_VALUE"""),14)</f>
        <v>14</v>
      </c>
      <c r="F324" s="2" t="str">
        <f ca="1">IFERROR(__xludf.DUMMYFUNCTION("""COMPUTED_VALUE"""),"Full HD 1920x1080")</f>
        <v>Full HD 1920x1080</v>
      </c>
      <c r="G324" s="2" t="str">
        <f ca="1">IFERROR(__xludf.DUMMYFUNCTION("""COMPUTED_VALUE"""),"Intel Core i7 7500U 2.7GHz")</f>
        <v>Intel Core i7 7500U 2.7GHz</v>
      </c>
      <c r="H324" s="2" t="str">
        <f ca="1">IFERROR(__xludf.DUMMYFUNCTION("""COMPUTED_VALUE"""),"8GB")</f>
        <v>8GB</v>
      </c>
      <c r="I324" s="2" t="str">
        <f ca="1">IFERROR(__xludf.DUMMYFUNCTION("""COMPUTED_VALUE"""),"256GB SSD")</f>
        <v>256GB SSD</v>
      </c>
      <c r="J324" s="2" t="str">
        <f ca="1">IFERROR(__xludf.DUMMYFUNCTION("""COMPUTED_VALUE"""),"Intel HD Graphics 620")</f>
        <v>Intel HD Graphics 620</v>
      </c>
      <c r="K324" s="2" t="str">
        <f ca="1">IFERROR(__xludf.DUMMYFUNCTION("""COMPUTED_VALUE"""),"Windows 10")</f>
        <v>Windows 10</v>
      </c>
      <c r="L324" s="2" t="str">
        <f ca="1">IFERROR(__xludf.DUMMYFUNCTION("""COMPUTED_VALUE"""),"2kg")</f>
        <v>2kg</v>
      </c>
      <c r="M324" s="2">
        <f ca="1">IFERROR(__xludf.DUMMYFUNCTION("""COMPUTED_VALUE"""),1094)</f>
        <v>1094</v>
      </c>
    </row>
    <row r="325" spans="1:13">
      <c r="A325" s="2">
        <f ca="1">IFERROR(__xludf.DUMMYFUNCTION("""COMPUTED_VALUE"""),329)</f>
        <v>329</v>
      </c>
      <c r="B325" s="2" t="str">
        <f ca="1">IFERROR(__xludf.DUMMYFUNCTION("""COMPUTED_VALUE"""),"HP")</f>
        <v>HP</v>
      </c>
      <c r="C325" s="2" t="str">
        <f ca="1">IFERROR(__xludf.DUMMYFUNCTION("""COMPUTED_VALUE"""),"ProBook 450")</f>
        <v>ProBook 450</v>
      </c>
      <c r="D325" s="2" t="str">
        <f ca="1">IFERROR(__xludf.DUMMYFUNCTION("""COMPUTED_VALUE"""),"Notebook")</f>
        <v>Notebook</v>
      </c>
      <c r="E325" s="2">
        <f ca="1">IFERROR(__xludf.DUMMYFUNCTION("""COMPUTED_VALUE"""),15.6)</f>
        <v>15.6</v>
      </c>
      <c r="F325" s="2" t="str">
        <f ca="1">IFERROR(__xludf.DUMMYFUNCTION("""COMPUTED_VALUE"""),"IPS Panel Full HD 1366x768")</f>
        <v>IPS Panel Full HD 1366x768</v>
      </c>
      <c r="G325" s="2" t="str">
        <f ca="1">IFERROR(__xludf.DUMMYFUNCTION("""COMPUTED_VALUE"""),"Intel Core i7 8550U 1.8GHz")</f>
        <v>Intel Core i7 8550U 1.8GHz</v>
      </c>
      <c r="H325" s="2" t="str">
        <f ca="1">IFERROR(__xludf.DUMMYFUNCTION("""COMPUTED_VALUE"""),"8GB")</f>
        <v>8GB</v>
      </c>
      <c r="I325" s="2" t="str">
        <f ca="1">IFERROR(__xludf.DUMMYFUNCTION("""COMPUTED_VALUE"""),"1TB HDD")</f>
        <v>1TB HDD</v>
      </c>
      <c r="J325" s="2" t="str">
        <f ca="1">IFERROR(__xludf.DUMMYFUNCTION("""COMPUTED_VALUE"""),"Intel UHD Graphics 620")</f>
        <v>Intel UHD Graphics 620</v>
      </c>
      <c r="K325" s="2" t="str">
        <f ca="1">IFERROR(__xludf.DUMMYFUNCTION("""COMPUTED_VALUE"""),"Windows 10")</f>
        <v>Windows 10</v>
      </c>
      <c r="L325" s="2" t="str">
        <f ca="1">IFERROR(__xludf.DUMMYFUNCTION("""COMPUTED_VALUE"""),"2.1kg")</f>
        <v>2.1kg</v>
      </c>
      <c r="M325" s="2">
        <f ca="1">IFERROR(__xludf.DUMMYFUNCTION("""COMPUTED_VALUE"""),902)</f>
        <v>902</v>
      </c>
    </row>
    <row r="326" spans="1:13">
      <c r="A326" s="2">
        <f ca="1">IFERROR(__xludf.DUMMYFUNCTION("""COMPUTED_VALUE"""),330)</f>
        <v>330</v>
      </c>
      <c r="B326" s="2" t="str">
        <f ca="1">IFERROR(__xludf.DUMMYFUNCTION("""COMPUTED_VALUE"""),"Acer")</f>
        <v>Acer</v>
      </c>
      <c r="C326" s="2" t="str">
        <f ca="1">IFERROR(__xludf.DUMMYFUNCTION("""COMPUTED_VALUE"""),"Aspire 5")</f>
        <v>Aspire 5</v>
      </c>
      <c r="D326" s="2" t="str">
        <f ca="1">IFERROR(__xludf.DUMMYFUNCTION("""COMPUTED_VALUE"""),"Notebook")</f>
        <v>Notebook</v>
      </c>
      <c r="E326" s="2">
        <f ca="1">IFERROR(__xludf.DUMMYFUNCTION("""COMPUTED_VALUE"""),15.6)</f>
        <v>15.6</v>
      </c>
      <c r="F326" s="2" t="str">
        <f ca="1">IFERROR(__xludf.DUMMYFUNCTION("""COMPUTED_VALUE"""),"1366x768")</f>
        <v>1366x768</v>
      </c>
      <c r="G326" s="2" t="str">
        <f ca="1">IFERROR(__xludf.DUMMYFUNCTION("""COMPUTED_VALUE"""),"AMD A12-Series 9720P 2.7GHz")</f>
        <v>AMD A12-Series 9720P 2.7GHz</v>
      </c>
      <c r="H326" s="2" t="str">
        <f ca="1">IFERROR(__xludf.DUMMYFUNCTION("""COMPUTED_VALUE"""),"8GB")</f>
        <v>8GB</v>
      </c>
      <c r="I326" s="2" t="str">
        <f ca="1">IFERROR(__xludf.DUMMYFUNCTION("""COMPUTED_VALUE"""),"256GB SSD")</f>
        <v>256GB SSD</v>
      </c>
      <c r="J326" s="2" t="str">
        <f ca="1">IFERROR(__xludf.DUMMYFUNCTION("""COMPUTED_VALUE"""),"AMD Radeon RX 540")</f>
        <v>AMD Radeon RX 540</v>
      </c>
      <c r="K326" s="2" t="str">
        <f ca="1">IFERROR(__xludf.DUMMYFUNCTION("""COMPUTED_VALUE"""),"Windows 10")</f>
        <v>Windows 10</v>
      </c>
      <c r="L326" s="2" t="str">
        <f ca="1">IFERROR(__xludf.DUMMYFUNCTION("""COMPUTED_VALUE"""),"2.2kg")</f>
        <v>2.2kg</v>
      </c>
      <c r="M326" s="2">
        <f ca="1">IFERROR(__xludf.DUMMYFUNCTION("""COMPUTED_VALUE"""),659)</f>
        <v>659</v>
      </c>
    </row>
    <row r="327" spans="1:13">
      <c r="A327" s="2">
        <f ca="1">IFERROR(__xludf.DUMMYFUNCTION("""COMPUTED_VALUE"""),331)</f>
        <v>331</v>
      </c>
      <c r="B327" s="2" t="str">
        <f ca="1">IFERROR(__xludf.DUMMYFUNCTION("""COMPUTED_VALUE"""),"Lenovo")</f>
        <v>Lenovo</v>
      </c>
      <c r="C327" s="2" t="str">
        <f ca="1">IFERROR(__xludf.DUMMYFUNCTION("""COMPUTED_VALUE"""),"IdeaPad 120S-14IAP")</f>
        <v>IdeaPad 120S-14IAP</v>
      </c>
      <c r="D327" s="2" t="str">
        <f ca="1">IFERROR(__xludf.DUMMYFUNCTION("""COMPUTED_VALUE"""),"Notebook")</f>
        <v>Notebook</v>
      </c>
      <c r="E327" s="2">
        <f ca="1">IFERROR(__xludf.DUMMYFUNCTION("""COMPUTED_VALUE"""),14)</f>
        <v>14</v>
      </c>
      <c r="F327" s="2" t="str">
        <f ca="1">IFERROR(__xludf.DUMMYFUNCTION("""COMPUTED_VALUE"""),"1366x768")</f>
        <v>1366x768</v>
      </c>
      <c r="G327" s="2" t="str">
        <f ca="1">IFERROR(__xludf.DUMMYFUNCTION("""COMPUTED_VALUE"""),"Intel Celeron Dual Core N3350 1.1GHz")</f>
        <v>Intel Celeron Dual Core N3350 1.1GHz</v>
      </c>
      <c r="H327" s="2" t="str">
        <f ca="1">IFERROR(__xludf.DUMMYFUNCTION("""COMPUTED_VALUE"""),"4GB")</f>
        <v>4GB</v>
      </c>
      <c r="I327" s="2" t="str">
        <f ca="1">IFERROR(__xludf.DUMMYFUNCTION("""COMPUTED_VALUE"""),"32GB Flash Storage")</f>
        <v>32GB Flash Storage</v>
      </c>
      <c r="J327" s="2" t="str">
        <f ca="1">IFERROR(__xludf.DUMMYFUNCTION("""COMPUTED_VALUE"""),"Intel HD Graphics 500")</f>
        <v>Intel HD Graphics 500</v>
      </c>
      <c r="K327" s="2" t="str">
        <f ca="1">IFERROR(__xludf.DUMMYFUNCTION("""COMPUTED_VALUE"""),"Windows 10")</f>
        <v>Windows 10</v>
      </c>
      <c r="L327" s="2" t="str">
        <f ca="1">IFERROR(__xludf.DUMMYFUNCTION("""COMPUTED_VALUE"""),"1.44kg")</f>
        <v>1.44kg</v>
      </c>
      <c r="M327" s="2">
        <f ca="1">IFERROR(__xludf.DUMMYFUNCTION("""COMPUTED_VALUE"""),292)</f>
        <v>292</v>
      </c>
    </row>
    <row r="328" spans="1:13">
      <c r="A328" s="2">
        <f ca="1">IFERROR(__xludf.DUMMYFUNCTION("""COMPUTED_VALUE"""),332)</f>
        <v>332</v>
      </c>
      <c r="B328" s="2" t="str">
        <f ca="1">IFERROR(__xludf.DUMMYFUNCTION("""COMPUTED_VALUE"""),"Acer")</f>
        <v>Acer</v>
      </c>
      <c r="C328" s="2" t="str">
        <f ca="1">IFERROR(__xludf.DUMMYFUNCTION("""COMPUTED_VALUE"""),"Aspire E5-575")</f>
        <v>Aspire E5-575</v>
      </c>
      <c r="D328" s="2" t="str">
        <f ca="1">IFERROR(__xludf.DUMMYFUNCTION("""COMPUTED_VALUE"""),"Notebook")</f>
        <v>Notebook</v>
      </c>
      <c r="E328" s="2">
        <f ca="1">IFERROR(__xludf.DUMMYFUNCTION("""COMPUTED_VALUE"""),15.6)</f>
        <v>15.6</v>
      </c>
      <c r="F328" s="2" t="str">
        <f ca="1">IFERROR(__xludf.DUMMYFUNCTION("""COMPUTED_VALUE"""),"1366x768")</f>
        <v>1366x768</v>
      </c>
      <c r="G328" s="2" t="str">
        <f ca="1">IFERROR(__xludf.DUMMYFUNCTION("""COMPUTED_VALUE"""),"Intel Core i5 7200U 2.5GHz")</f>
        <v>Intel Core i5 7200U 2.5GHz</v>
      </c>
      <c r="H328" s="2" t="str">
        <f ca="1">IFERROR(__xludf.DUMMYFUNCTION("""COMPUTED_VALUE"""),"6GB")</f>
        <v>6GB</v>
      </c>
      <c r="I328" s="2" t="str">
        <f ca="1">IFERROR(__xludf.DUMMYFUNCTION("""COMPUTED_VALUE"""),"1TB HDD")</f>
        <v>1TB HDD</v>
      </c>
      <c r="J328" s="2" t="str">
        <f ca="1">IFERROR(__xludf.DUMMYFUNCTION("""COMPUTED_VALUE"""),"Intel HD Graphics 620")</f>
        <v>Intel HD Graphics 620</v>
      </c>
      <c r="K328" s="2" t="str">
        <f ca="1">IFERROR(__xludf.DUMMYFUNCTION("""COMPUTED_VALUE"""),"Windows 10")</f>
        <v>Windows 10</v>
      </c>
      <c r="L328" s="2" t="str">
        <f ca="1">IFERROR(__xludf.DUMMYFUNCTION("""COMPUTED_VALUE"""),"2.23kg")</f>
        <v>2.23kg</v>
      </c>
      <c r="M328" s="2">
        <f ca="1">IFERROR(__xludf.DUMMYFUNCTION("""COMPUTED_VALUE"""),549)</f>
        <v>549</v>
      </c>
    </row>
    <row r="329" spans="1:13">
      <c r="A329" s="2">
        <f ca="1">IFERROR(__xludf.DUMMYFUNCTION("""COMPUTED_VALUE"""),333)</f>
        <v>333</v>
      </c>
      <c r="B329" s="2" t="str">
        <f ca="1">IFERROR(__xludf.DUMMYFUNCTION("""COMPUTED_VALUE"""),"Asus")</f>
        <v>Asus</v>
      </c>
      <c r="C329" s="2" t="str">
        <f ca="1">IFERROR(__xludf.DUMMYFUNCTION("""COMPUTED_VALUE"""),"VivoBook S15")</f>
        <v>VivoBook S15</v>
      </c>
      <c r="D329" s="2" t="str">
        <f ca="1">IFERROR(__xludf.DUMMYFUNCTION("""COMPUTED_VALUE"""),"Ultrabook")</f>
        <v>Ultrabook</v>
      </c>
      <c r="E329" s="2">
        <f ca="1">IFERROR(__xludf.DUMMYFUNCTION("""COMPUTED_VALUE"""),15.6)</f>
        <v>15.6</v>
      </c>
      <c r="F329" s="2" t="str">
        <f ca="1">IFERROR(__xludf.DUMMYFUNCTION("""COMPUTED_VALUE"""),"Full HD 1920x1080")</f>
        <v>Full HD 1920x1080</v>
      </c>
      <c r="G329" s="2" t="str">
        <f ca="1">IFERROR(__xludf.DUMMYFUNCTION("""COMPUTED_VALUE"""),"Intel Core i7 7500U 2.7GHz")</f>
        <v>Intel Core i7 7500U 2.7GHz</v>
      </c>
      <c r="H329" s="2" t="str">
        <f ca="1">IFERROR(__xludf.DUMMYFUNCTION("""COMPUTED_VALUE"""),"8GB")</f>
        <v>8GB</v>
      </c>
      <c r="I329" s="2" t="str">
        <f ca="1">IFERROR(__xludf.DUMMYFUNCTION("""COMPUTED_VALUE"""),"256GB SSD")</f>
        <v>256GB SSD</v>
      </c>
      <c r="J329" s="2" t="str">
        <f ca="1">IFERROR(__xludf.DUMMYFUNCTION("""COMPUTED_VALUE"""),"Nvidia GeForce 940MX")</f>
        <v>Nvidia GeForce 940MX</v>
      </c>
      <c r="K329" s="2" t="str">
        <f ca="1">IFERROR(__xludf.DUMMYFUNCTION("""COMPUTED_VALUE"""),"Windows 10")</f>
        <v>Windows 10</v>
      </c>
      <c r="L329" s="2" t="str">
        <f ca="1">IFERROR(__xludf.DUMMYFUNCTION("""COMPUTED_VALUE"""),"1.7kg")</f>
        <v>1.7kg</v>
      </c>
      <c r="M329" s="2">
        <f ca="1">IFERROR(__xludf.DUMMYFUNCTION("""COMPUTED_VALUE"""),1049.9)</f>
        <v>1049.9000000000001</v>
      </c>
    </row>
    <row r="330" spans="1:13">
      <c r="A330" s="2">
        <f ca="1">IFERROR(__xludf.DUMMYFUNCTION("""COMPUTED_VALUE"""),334)</f>
        <v>334</v>
      </c>
      <c r="B330" s="2" t="str">
        <f ca="1">IFERROR(__xludf.DUMMYFUNCTION("""COMPUTED_VALUE"""),"HP")</f>
        <v>HP</v>
      </c>
      <c r="C330" s="2" t="str">
        <f ca="1">IFERROR(__xludf.DUMMYFUNCTION("""COMPUTED_VALUE"""),"Elitebook 820")</f>
        <v>Elitebook 820</v>
      </c>
      <c r="D330" s="2" t="str">
        <f ca="1">IFERROR(__xludf.DUMMYFUNCTION("""COMPUTED_VALUE"""),"Ultrabook")</f>
        <v>Ultrabook</v>
      </c>
      <c r="E330" s="2">
        <f ca="1">IFERROR(__xludf.DUMMYFUNCTION("""COMPUTED_VALUE"""),12.5)</f>
        <v>12.5</v>
      </c>
      <c r="F330" s="2" t="str">
        <f ca="1">IFERROR(__xludf.DUMMYFUNCTION("""COMPUTED_VALUE"""),"Full HD 1920x1080")</f>
        <v>Full HD 1920x1080</v>
      </c>
      <c r="G330" s="2" t="str">
        <f ca="1">IFERROR(__xludf.DUMMYFUNCTION("""COMPUTED_VALUE"""),"Intel Core i7 7500U 2.7GHz")</f>
        <v>Intel Core i7 7500U 2.7GHz</v>
      </c>
      <c r="H330" s="2" t="str">
        <f ca="1">IFERROR(__xludf.DUMMYFUNCTION("""COMPUTED_VALUE"""),"8GB")</f>
        <v>8GB</v>
      </c>
      <c r="I330" s="2" t="str">
        <f ca="1">IFERROR(__xludf.DUMMYFUNCTION("""COMPUTED_VALUE"""),"256GB SSD")</f>
        <v>256GB SSD</v>
      </c>
      <c r="J330" s="2" t="str">
        <f ca="1">IFERROR(__xludf.DUMMYFUNCTION("""COMPUTED_VALUE"""),"Intel HD Graphics 620")</f>
        <v>Intel HD Graphics 620</v>
      </c>
      <c r="K330" s="2" t="str">
        <f ca="1">IFERROR(__xludf.DUMMYFUNCTION("""COMPUTED_VALUE"""),"Windows 10")</f>
        <v>Windows 10</v>
      </c>
      <c r="L330" s="2" t="str">
        <f ca="1">IFERROR(__xludf.DUMMYFUNCTION("""COMPUTED_VALUE"""),"1.26kg")</f>
        <v>1.26kg</v>
      </c>
      <c r="M330" s="2">
        <f ca="1">IFERROR(__xludf.DUMMYFUNCTION("""COMPUTED_VALUE"""),1335)</f>
        <v>1335</v>
      </c>
    </row>
    <row r="331" spans="1:13">
      <c r="A331" s="2">
        <f ca="1">IFERROR(__xludf.DUMMYFUNCTION("""COMPUTED_VALUE"""),335)</f>
        <v>335</v>
      </c>
      <c r="B331" s="2" t="str">
        <f ca="1">IFERROR(__xludf.DUMMYFUNCTION("""COMPUTED_VALUE"""),"Dell")</f>
        <v>Dell</v>
      </c>
      <c r="C331" s="2" t="str">
        <f ca="1">IFERROR(__xludf.DUMMYFUNCTION("""COMPUTED_VALUE"""),"XPS 15")</f>
        <v>XPS 15</v>
      </c>
      <c r="D331" s="2" t="str">
        <f ca="1">IFERROR(__xludf.DUMMYFUNCTION("""COMPUTED_VALUE"""),"Notebook")</f>
        <v>Notebook</v>
      </c>
      <c r="E331" s="2">
        <f ca="1">IFERROR(__xludf.DUMMYFUNCTION("""COMPUTED_VALUE"""),15.6)</f>
        <v>15.6</v>
      </c>
      <c r="F331" s="2" t="str">
        <f ca="1">IFERROR(__xludf.DUMMYFUNCTION("""COMPUTED_VALUE"""),"4K Ultra HD / Touchscreen 3840x2160")</f>
        <v>4K Ultra HD / Touchscreen 3840x2160</v>
      </c>
      <c r="G331" s="2" t="str">
        <f ca="1">IFERROR(__xludf.DUMMYFUNCTION("""COMPUTED_VALUE"""),"Intel Core i7 7700HQ 2.8GHz")</f>
        <v>Intel Core i7 7700HQ 2.8GHz</v>
      </c>
      <c r="H331" s="2" t="str">
        <f ca="1">IFERROR(__xludf.DUMMYFUNCTION("""COMPUTED_VALUE"""),"32GB")</f>
        <v>32GB</v>
      </c>
      <c r="I331" s="2" t="str">
        <f ca="1">IFERROR(__xludf.DUMMYFUNCTION("""COMPUTED_VALUE"""),"1TB SSD")</f>
        <v>1TB SSD</v>
      </c>
      <c r="J331" s="2" t="str">
        <f ca="1">IFERROR(__xludf.DUMMYFUNCTION("""COMPUTED_VALUE"""),"Nvidia GeForce GTX 1050")</f>
        <v>Nvidia GeForce GTX 1050</v>
      </c>
      <c r="K331" s="2" t="str">
        <f ca="1">IFERROR(__xludf.DUMMYFUNCTION("""COMPUTED_VALUE"""),"Windows 10")</f>
        <v>Windows 10</v>
      </c>
      <c r="L331" s="2" t="str">
        <f ca="1">IFERROR(__xludf.DUMMYFUNCTION("""COMPUTED_VALUE"""),"2.06kg")</f>
        <v>2.06kg</v>
      </c>
      <c r="M331" s="2">
        <f ca="1">IFERROR(__xludf.DUMMYFUNCTION("""COMPUTED_VALUE"""),2639)</f>
        <v>2639</v>
      </c>
    </row>
    <row r="332" spans="1:13">
      <c r="A332" s="2">
        <f ca="1">IFERROR(__xludf.DUMMYFUNCTION("""COMPUTED_VALUE"""),336)</f>
        <v>336</v>
      </c>
      <c r="B332" s="2" t="str">
        <f ca="1">IFERROR(__xludf.DUMMYFUNCTION("""COMPUTED_VALUE"""),"MSI")</f>
        <v>MSI</v>
      </c>
      <c r="C332" s="2" t="str">
        <f ca="1">IFERROR(__xludf.DUMMYFUNCTION("""COMPUTED_VALUE"""),"GL72M 7REX")</f>
        <v>GL72M 7REX</v>
      </c>
      <c r="D332" s="2" t="str">
        <f ca="1">IFERROR(__xludf.DUMMYFUNCTION("""COMPUTED_VALUE"""),"Gaming")</f>
        <v>Gaming</v>
      </c>
      <c r="E332" s="2">
        <f ca="1">IFERROR(__xludf.DUMMYFUNCTION("""COMPUTED_VALUE"""),17.3)</f>
        <v>17.3</v>
      </c>
      <c r="F332" s="2" t="str">
        <f ca="1">IFERROR(__xludf.DUMMYFUNCTION("""COMPUTED_VALUE"""),"Full HD 1920x1080")</f>
        <v>Full HD 1920x1080</v>
      </c>
      <c r="G332" s="2" t="str">
        <f ca="1">IFERROR(__xludf.DUMMYFUNCTION("""COMPUTED_VALUE"""),"Intel Core i7 7700HQ 2.8GHz")</f>
        <v>Intel Core i7 7700HQ 2.8GHz</v>
      </c>
      <c r="H332" s="2" t="str">
        <f ca="1">IFERROR(__xludf.DUMMYFUNCTION("""COMPUTED_VALUE"""),"8GB")</f>
        <v>8GB</v>
      </c>
      <c r="I332" s="2" t="str">
        <f ca="1">IFERROR(__xludf.DUMMYFUNCTION("""COMPUTED_VALUE"""),"256GB SSD +  1TB HDD")</f>
        <v>256GB SSD +  1TB HDD</v>
      </c>
      <c r="J332" s="2" t="str">
        <f ca="1">IFERROR(__xludf.DUMMYFUNCTION("""COMPUTED_VALUE"""),"Nvidia GeForce GTX 1050 Ti")</f>
        <v>Nvidia GeForce GTX 1050 Ti</v>
      </c>
      <c r="K332" s="2" t="str">
        <f ca="1">IFERROR(__xludf.DUMMYFUNCTION("""COMPUTED_VALUE"""),"Windows 10")</f>
        <v>Windows 10</v>
      </c>
      <c r="L332" s="2" t="str">
        <f ca="1">IFERROR(__xludf.DUMMYFUNCTION("""COMPUTED_VALUE"""),"2.7kg")</f>
        <v>2.7kg</v>
      </c>
      <c r="M332" s="2">
        <f ca="1">IFERROR(__xludf.DUMMYFUNCTION("""COMPUTED_VALUE"""),1199)</f>
        <v>1199</v>
      </c>
    </row>
    <row r="333" spans="1:13">
      <c r="A333" s="2">
        <f ca="1">IFERROR(__xludf.DUMMYFUNCTION("""COMPUTED_VALUE"""),337)</f>
        <v>337</v>
      </c>
      <c r="B333" s="2" t="str">
        <f ca="1">IFERROR(__xludf.DUMMYFUNCTION("""COMPUTED_VALUE"""),"Toshiba")</f>
        <v>Toshiba</v>
      </c>
      <c r="C333" s="2" t="str">
        <f ca="1">IFERROR(__xludf.DUMMYFUNCTION("""COMPUTED_VALUE"""),"Satellite Pro")</f>
        <v>Satellite Pro</v>
      </c>
      <c r="D333" s="2" t="str">
        <f ca="1">IFERROR(__xludf.DUMMYFUNCTION("""COMPUTED_VALUE"""),"Notebook")</f>
        <v>Notebook</v>
      </c>
      <c r="E333" s="2">
        <f ca="1">IFERROR(__xludf.DUMMYFUNCTION("""COMPUTED_VALUE"""),15.6)</f>
        <v>15.6</v>
      </c>
      <c r="F333" s="2" t="str">
        <f ca="1">IFERROR(__xludf.DUMMYFUNCTION("""COMPUTED_VALUE"""),"IPS Panel Full HD 1920x1080")</f>
        <v>IPS Panel Full HD 1920x1080</v>
      </c>
      <c r="G333" s="2" t="str">
        <f ca="1">IFERROR(__xludf.DUMMYFUNCTION("""COMPUTED_VALUE"""),"Intel Core i5 7200U 2.5GHz")</f>
        <v>Intel Core i5 7200U 2.5GHz</v>
      </c>
      <c r="H333" s="2" t="str">
        <f ca="1">IFERROR(__xludf.DUMMYFUNCTION("""COMPUTED_VALUE"""),"8GB")</f>
        <v>8GB</v>
      </c>
      <c r="I333" s="2" t="str">
        <f ca="1">IFERROR(__xludf.DUMMYFUNCTION("""COMPUTED_VALUE"""),"256GB SSD")</f>
        <v>256GB SSD</v>
      </c>
      <c r="J333" s="2" t="str">
        <f ca="1">IFERROR(__xludf.DUMMYFUNCTION("""COMPUTED_VALUE"""),"Intel HD Graphics 620")</f>
        <v>Intel HD Graphics 620</v>
      </c>
      <c r="K333" s="2" t="str">
        <f ca="1">IFERROR(__xludf.DUMMYFUNCTION("""COMPUTED_VALUE"""),"Windows 10")</f>
        <v>Windows 10</v>
      </c>
      <c r="L333" s="2" t="str">
        <f ca="1">IFERROR(__xludf.DUMMYFUNCTION("""COMPUTED_VALUE"""),"2.0kg")</f>
        <v>2.0kg</v>
      </c>
      <c r="M333" s="2">
        <f ca="1">IFERROR(__xludf.DUMMYFUNCTION("""COMPUTED_VALUE"""),943)</f>
        <v>943</v>
      </c>
    </row>
    <row r="334" spans="1:13">
      <c r="A334" s="2">
        <f ca="1">IFERROR(__xludf.DUMMYFUNCTION("""COMPUTED_VALUE"""),338)</f>
        <v>338</v>
      </c>
      <c r="B334" s="2" t="str">
        <f ca="1">IFERROR(__xludf.DUMMYFUNCTION("""COMPUTED_VALUE"""),"Asus")</f>
        <v>Asus</v>
      </c>
      <c r="C334" s="2" t="str">
        <f ca="1">IFERROR(__xludf.DUMMYFUNCTION("""COMPUTED_VALUE"""),"UX510UX-CN269T (i7-7500U/8GB/256GB")</f>
        <v>UX510UX-CN269T (i7-7500U/8GB/256GB</v>
      </c>
      <c r="D334" s="2" t="str">
        <f ca="1">IFERROR(__xludf.DUMMYFUNCTION("""COMPUTED_VALUE"""),"Notebook")</f>
        <v>Notebook</v>
      </c>
      <c r="E334" s="2">
        <f ca="1">IFERROR(__xludf.DUMMYFUNCTION("""COMPUTED_VALUE"""),14)</f>
        <v>14</v>
      </c>
      <c r="F334" s="2" t="str">
        <f ca="1">IFERROR(__xludf.DUMMYFUNCTION("""COMPUTED_VALUE"""),"Full HD 1920x1080")</f>
        <v>Full HD 1920x1080</v>
      </c>
      <c r="G334" s="2" t="str">
        <f ca="1">IFERROR(__xludf.DUMMYFUNCTION("""COMPUTED_VALUE"""),"Intel Core i7 7500U 2.7GHz")</f>
        <v>Intel Core i7 7500U 2.7GHz</v>
      </c>
      <c r="H334" s="2" t="str">
        <f ca="1">IFERROR(__xludf.DUMMYFUNCTION("""COMPUTED_VALUE"""),"8GB")</f>
        <v>8GB</v>
      </c>
      <c r="I334" s="2" t="str">
        <f ca="1">IFERROR(__xludf.DUMMYFUNCTION("""COMPUTED_VALUE"""),"256GB SSD +  1TB HDD")</f>
        <v>256GB SSD +  1TB HDD</v>
      </c>
      <c r="J334" s="2" t="str">
        <f ca="1">IFERROR(__xludf.DUMMYFUNCTION("""COMPUTED_VALUE"""),"Intel HD Graphics 620")</f>
        <v>Intel HD Graphics 620</v>
      </c>
      <c r="K334" s="2" t="str">
        <f ca="1">IFERROR(__xludf.DUMMYFUNCTION("""COMPUTED_VALUE"""),"Windows 10")</f>
        <v>Windows 10</v>
      </c>
      <c r="L334" s="2" t="str">
        <f ca="1">IFERROR(__xludf.DUMMYFUNCTION("""COMPUTED_VALUE"""),"2kg")</f>
        <v>2kg</v>
      </c>
      <c r="M334" s="2">
        <f ca="1">IFERROR(__xludf.DUMMYFUNCTION("""COMPUTED_VALUE"""),1334)</f>
        <v>1334</v>
      </c>
    </row>
    <row r="335" spans="1:13">
      <c r="A335" s="2">
        <f ca="1">IFERROR(__xludf.DUMMYFUNCTION("""COMPUTED_VALUE"""),339)</f>
        <v>339</v>
      </c>
      <c r="B335" s="2" t="str">
        <f ca="1">IFERROR(__xludf.DUMMYFUNCTION("""COMPUTED_VALUE"""),"Lenovo")</f>
        <v>Lenovo</v>
      </c>
      <c r="C335" s="2" t="str">
        <f ca="1">IFERROR(__xludf.DUMMYFUNCTION("""COMPUTED_VALUE"""),"V310-15ISK (i3-6006U/4GB/1TB/FHD/W10)")</f>
        <v>V310-15ISK (i3-6006U/4GB/1TB/FHD/W10)</v>
      </c>
      <c r="D335" s="2" t="str">
        <f ca="1">IFERROR(__xludf.DUMMYFUNCTION("""COMPUTED_VALUE"""),"Notebook")</f>
        <v>Notebook</v>
      </c>
      <c r="E335" s="2">
        <f ca="1">IFERROR(__xludf.DUMMYFUNCTION("""COMPUTED_VALUE"""),15.6)</f>
        <v>15.6</v>
      </c>
      <c r="F335" s="2" t="str">
        <f ca="1">IFERROR(__xludf.DUMMYFUNCTION("""COMPUTED_VALUE"""),"Full HD 1920x1080")</f>
        <v>Full HD 1920x1080</v>
      </c>
      <c r="G335" s="2" t="str">
        <f ca="1">IFERROR(__xludf.DUMMYFUNCTION("""COMPUTED_VALUE"""),"Intel Core i3 6006U 2GHz")</f>
        <v>Intel Core i3 6006U 2GHz</v>
      </c>
      <c r="H335" s="2" t="str">
        <f ca="1">IFERROR(__xludf.DUMMYFUNCTION("""COMPUTED_VALUE"""),"4GB")</f>
        <v>4GB</v>
      </c>
      <c r="I335" s="2" t="str">
        <f ca="1">IFERROR(__xludf.DUMMYFUNCTION("""COMPUTED_VALUE"""),"1TB HDD")</f>
        <v>1TB HDD</v>
      </c>
      <c r="J335" s="2" t="str">
        <f ca="1">IFERROR(__xludf.DUMMYFUNCTION("""COMPUTED_VALUE"""),"Intel HD Graphics 520")</f>
        <v>Intel HD Graphics 520</v>
      </c>
      <c r="K335" s="2" t="str">
        <f ca="1">IFERROR(__xludf.DUMMYFUNCTION("""COMPUTED_VALUE"""),"Windows 10")</f>
        <v>Windows 10</v>
      </c>
      <c r="L335" s="2" t="str">
        <f ca="1">IFERROR(__xludf.DUMMYFUNCTION("""COMPUTED_VALUE"""),"1.85kg")</f>
        <v>1.85kg</v>
      </c>
      <c r="M335" s="2">
        <f ca="1">IFERROR(__xludf.DUMMYFUNCTION("""COMPUTED_VALUE"""),449)</f>
        <v>449</v>
      </c>
    </row>
    <row r="336" spans="1:13">
      <c r="A336" s="2">
        <f ca="1">IFERROR(__xludf.DUMMYFUNCTION("""COMPUTED_VALUE"""),340)</f>
        <v>340</v>
      </c>
      <c r="B336" s="2" t="str">
        <f ca="1">IFERROR(__xludf.DUMMYFUNCTION("""COMPUTED_VALUE"""),"Asus")</f>
        <v>Asus</v>
      </c>
      <c r="C336" s="2" t="str">
        <f ca="1">IFERROR(__xludf.DUMMYFUNCTION("""COMPUTED_VALUE"""),"FX553VD-FY647T (i7-7700HQ/8GB/256GB/GeForce")</f>
        <v>FX553VD-FY647T (i7-7700HQ/8GB/256GB/GeForce</v>
      </c>
      <c r="D336" s="2" t="str">
        <f ca="1">IFERROR(__xludf.DUMMYFUNCTION("""COMPUTED_VALUE"""),"Gaming")</f>
        <v>Gaming</v>
      </c>
      <c r="E336" s="2">
        <f ca="1">IFERROR(__xludf.DUMMYFUNCTION("""COMPUTED_VALUE"""),15.6)</f>
        <v>15.6</v>
      </c>
      <c r="F336" s="2" t="str">
        <f ca="1">IFERROR(__xludf.DUMMYFUNCTION("""COMPUTED_VALUE"""),"Full HD 1920x1080")</f>
        <v>Full HD 1920x1080</v>
      </c>
      <c r="G336" s="2" t="str">
        <f ca="1">IFERROR(__xludf.DUMMYFUNCTION("""COMPUTED_VALUE"""),"Intel Core i7 7700HQ 2.8GHz")</f>
        <v>Intel Core i7 7700HQ 2.8GHz</v>
      </c>
      <c r="H336" s="2" t="str">
        <f ca="1">IFERROR(__xludf.DUMMYFUNCTION("""COMPUTED_VALUE"""),"8GB")</f>
        <v>8GB</v>
      </c>
      <c r="I336" s="2" t="str">
        <f ca="1">IFERROR(__xludf.DUMMYFUNCTION("""COMPUTED_VALUE"""),"256GB SSD")</f>
        <v>256GB SSD</v>
      </c>
      <c r="J336" s="2" t="str">
        <f ca="1">IFERROR(__xludf.DUMMYFUNCTION("""COMPUTED_VALUE"""),"Nvidia GeForce GTX 1050")</f>
        <v>Nvidia GeForce GTX 1050</v>
      </c>
      <c r="K336" s="2" t="str">
        <f ca="1">IFERROR(__xludf.DUMMYFUNCTION("""COMPUTED_VALUE"""),"Windows 10")</f>
        <v>Windows 10</v>
      </c>
      <c r="L336" s="2" t="str">
        <f ca="1">IFERROR(__xludf.DUMMYFUNCTION("""COMPUTED_VALUE"""),"2.5kg")</f>
        <v>2.5kg</v>
      </c>
      <c r="M336" s="2">
        <f ca="1">IFERROR(__xludf.DUMMYFUNCTION("""COMPUTED_VALUE"""),999)</f>
        <v>999</v>
      </c>
    </row>
    <row r="337" spans="1:13">
      <c r="A337" s="2">
        <f ca="1">IFERROR(__xludf.DUMMYFUNCTION("""COMPUTED_VALUE"""),341)</f>
        <v>341</v>
      </c>
      <c r="B337" s="2" t="str">
        <f ca="1">IFERROR(__xludf.DUMMYFUNCTION("""COMPUTED_VALUE"""),"HP")</f>
        <v>HP</v>
      </c>
      <c r="C337" s="2" t="str">
        <f ca="1">IFERROR(__xludf.DUMMYFUNCTION("""COMPUTED_VALUE"""),"EliteBook 840")</f>
        <v>EliteBook 840</v>
      </c>
      <c r="D337" s="2" t="str">
        <f ca="1">IFERROR(__xludf.DUMMYFUNCTION("""COMPUTED_VALUE"""),"Notebook")</f>
        <v>Notebook</v>
      </c>
      <c r="E337" s="2">
        <f ca="1">IFERROR(__xludf.DUMMYFUNCTION("""COMPUTED_VALUE"""),14)</f>
        <v>14</v>
      </c>
      <c r="F337" s="2" t="str">
        <f ca="1">IFERROR(__xludf.DUMMYFUNCTION("""COMPUTED_VALUE"""),"Full HD 1920x1080")</f>
        <v>Full HD 1920x1080</v>
      </c>
      <c r="G337" s="2" t="str">
        <f ca="1">IFERROR(__xludf.DUMMYFUNCTION("""COMPUTED_VALUE"""),"Intel Core i5 7300U 2.6GHz")</f>
        <v>Intel Core i5 7300U 2.6GHz</v>
      </c>
      <c r="H337" s="2" t="str">
        <f ca="1">IFERROR(__xludf.DUMMYFUNCTION("""COMPUTED_VALUE"""),"8GB")</f>
        <v>8GB</v>
      </c>
      <c r="I337" s="2" t="str">
        <f ca="1">IFERROR(__xludf.DUMMYFUNCTION("""COMPUTED_VALUE"""),"256GB SSD")</f>
        <v>256GB SSD</v>
      </c>
      <c r="J337" s="2" t="str">
        <f ca="1">IFERROR(__xludf.DUMMYFUNCTION("""COMPUTED_VALUE"""),"Intel HD Graphics 620")</f>
        <v>Intel HD Graphics 620</v>
      </c>
      <c r="K337" s="2" t="str">
        <f ca="1">IFERROR(__xludf.DUMMYFUNCTION("""COMPUTED_VALUE"""),"Windows 10")</f>
        <v>Windows 10</v>
      </c>
      <c r="L337" s="2" t="str">
        <f ca="1">IFERROR(__xludf.DUMMYFUNCTION("""COMPUTED_VALUE"""),"1.48kg")</f>
        <v>1.48kg</v>
      </c>
      <c r="M337" s="2">
        <f ca="1">IFERROR(__xludf.DUMMYFUNCTION("""COMPUTED_VALUE"""),1268)</f>
        <v>1268</v>
      </c>
    </row>
    <row r="338" spans="1:13">
      <c r="A338" s="2">
        <f ca="1">IFERROR(__xludf.DUMMYFUNCTION("""COMPUTED_VALUE"""),342)</f>
        <v>342</v>
      </c>
      <c r="B338" s="2" t="str">
        <f ca="1">IFERROR(__xludf.DUMMYFUNCTION("""COMPUTED_VALUE"""),"Dell")</f>
        <v>Dell</v>
      </c>
      <c r="C338" s="2" t="str">
        <f ca="1">IFERROR(__xludf.DUMMYFUNCTION("""COMPUTED_VALUE"""),"Inspiron 7570")</f>
        <v>Inspiron 7570</v>
      </c>
      <c r="D338" s="2" t="str">
        <f ca="1">IFERROR(__xludf.DUMMYFUNCTION("""COMPUTED_VALUE"""),"Ultrabook")</f>
        <v>Ultrabook</v>
      </c>
      <c r="E338" s="2">
        <f ca="1">IFERROR(__xludf.DUMMYFUNCTION("""COMPUTED_VALUE"""),15.6)</f>
        <v>15.6</v>
      </c>
      <c r="F338" s="2" t="str">
        <f ca="1">IFERROR(__xludf.DUMMYFUNCTION("""COMPUTED_VALUE"""),"IPS Panel Full HD 1920x1080")</f>
        <v>IPS Panel Full HD 1920x1080</v>
      </c>
      <c r="G338" s="2" t="str">
        <f ca="1">IFERROR(__xludf.DUMMYFUNCTION("""COMPUTED_VALUE"""),"Intel Core i5 8250U 1.6GHz")</f>
        <v>Intel Core i5 8250U 1.6GHz</v>
      </c>
      <c r="H338" s="2" t="str">
        <f ca="1">IFERROR(__xludf.DUMMYFUNCTION("""COMPUTED_VALUE"""),"8GB")</f>
        <v>8GB</v>
      </c>
      <c r="I338" s="2" t="str">
        <f ca="1">IFERROR(__xludf.DUMMYFUNCTION("""COMPUTED_VALUE"""),"128GB SSD +  1TB HDD")</f>
        <v>128GB SSD +  1TB HDD</v>
      </c>
      <c r="J338" s="2" t="str">
        <f ca="1">IFERROR(__xludf.DUMMYFUNCTION("""COMPUTED_VALUE"""),"Nvidia GeForce 940MX")</f>
        <v>Nvidia GeForce 940MX</v>
      </c>
      <c r="K338" s="2" t="str">
        <f ca="1">IFERROR(__xludf.DUMMYFUNCTION("""COMPUTED_VALUE"""),"Windows 10")</f>
        <v>Windows 10</v>
      </c>
      <c r="L338" s="2" t="str">
        <f ca="1">IFERROR(__xludf.DUMMYFUNCTION("""COMPUTED_VALUE"""),"1.9kg")</f>
        <v>1.9kg</v>
      </c>
      <c r="M338" s="2">
        <f ca="1">IFERROR(__xludf.DUMMYFUNCTION("""COMPUTED_VALUE"""),1049)</f>
        <v>1049</v>
      </c>
    </row>
    <row r="339" spans="1:13">
      <c r="A339" s="2">
        <f ca="1">IFERROR(__xludf.DUMMYFUNCTION("""COMPUTED_VALUE"""),343)</f>
        <v>343</v>
      </c>
      <c r="B339" s="2" t="str">
        <f ca="1">IFERROR(__xludf.DUMMYFUNCTION("""COMPUTED_VALUE"""),"HP")</f>
        <v>HP</v>
      </c>
      <c r="C339" s="2" t="str">
        <f ca="1">IFERROR(__xludf.DUMMYFUNCTION("""COMPUTED_VALUE"""),"Elitebook 850")</f>
        <v>Elitebook 850</v>
      </c>
      <c r="D339" s="2" t="str">
        <f ca="1">IFERROR(__xludf.DUMMYFUNCTION("""COMPUTED_VALUE"""),"Notebook")</f>
        <v>Notebook</v>
      </c>
      <c r="E339" s="2">
        <f ca="1">IFERROR(__xludf.DUMMYFUNCTION("""COMPUTED_VALUE"""),15.6)</f>
        <v>15.6</v>
      </c>
      <c r="F339" s="2" t="str">
        <f ca="1">IFERROR(__xludf.DUMMYFUNCTION("""COMPUTED_VALUE"""),"Full HD 1920x1080")</f>
        <v>Full HD 1920x1080</v>
      </c>
      <c r="G339" s="2" t="str">
        <f ca="1">IFERROR(__xludf.DUMMYFUNCTION("""COMPUTED_VALUE"""),"Intel Core i5 7200U 2.5GHz")</f>
        <v>Intel Core i5 7200U 2.5GHz</v>
      </c>
      <c r="H339" s="2" t="str">
        <f ca="1">IFERROR(__xludf.DUMMYFUNCTION("""COMPUTED_VALUE"""),"8GB")</f>
        <v>8GB</v>
      </c>
      <c r="I339" s="2" t="str">
        <f ca="1">IFERROR(__xludf.DUMMYFUNCTION("""COMPUTED_VALUE"""),"256GB SSD")</f>
        <v>256GB SSD</v>
      </c>
      <c r="J339" s="2" t="str">
        <f ca="1">IFERROR(__xludf.DUMMYFUNCTION("""COMPUTED_VALUE"""),"Intel HD Graphics 620")</f>
        <v>Intel HD Graphics 620</v>
      </c>
      <c r="K339" s="2" t="str">
        <f ca="1">IFERROR(__xludf.DUMMYFUNCTION("""COMPUTED_VALUE"""),"Windows 10")</f>
        <v>Windows 10</v>
      </c>
      <c r="L339" s="2" t="str">
        <f ca="1">IFERROR(__xludf.DUMMYFUNCTION("""COMPUTED_VALUE"""),"1.84kg")</f>
        <v>1.84kg</v>
      </c>
      <c r="M339" s="2">
        <f ca="1">IFERROR(__xludf.DUMMYFUNCTION("""COMPUTED_VALUE"""),1144)</f>
        <v>1144</v>
      </c>
    </row>
    <row r="340" spans="1:13">
      <c r="A340" s="2">
        <f ca="1">IFERROR(__xludf.DUMMYFUNCTION("""COMPUTED_VALUE"""),344)</f>
        <v>344</v>
      </c>
      <c r="B340" s="2" t="str">
        <f ca="1">IFERROR(__xludf.DUMMYFUNCTION("""COMPUTED_VALUE"""),"Asus")</f>
        <v>Asus</v>
      </c>
      <c r="C340" s="2" t="str">
        <f ca="1">IFERROR(__xludf.DUMMYFUNCTION("""COMPUTED_VALUE"""),"X541NA (N3350/4GB/1TB/Linux)")</f>
        <v>X541NA (N3350/4GB/1TB/Linux)</v>
      </c>
      <c r="D340" s="2" t="str">
        <f ca="1">IFERROR(__xludf.DUMMYFUNCTION("""COMPUTED_VALUE"""),"Notebook")</f>
        <v>Notebook</v>
      </c>
      <c r="E340" s="2">
        <f ca="1">IFERROR(__xludf.DUMMYFUNCTION("""COMPUTED_VALUE"""),15.6)</f>
        <v>15.6</v>
      </c>
      <c r="F340" s="2" t="str">
        <f ca="1">IFERROR(__xludf.DUMMYFUNCTION("""COMPUTED_VALUE"""),"1366x768")</f>
        <v>1366x768</v>
      </c>
      <c r="G340" s="2" t="str">
        <f ca="1">IFERROR(__xludf.DUMMYFUNCTION("""COMPUTED_VALUE"""),"Intel Celeron Dual Core N3350 1.1GHz")</f>
        <v>Intel Celeron Dual Core N3350 1.1GHz</v>
      </c>
      <c r="H340" s="2" t="str">
        <f ca="1">IFERROR(__xludf.DUMMYFUNCTION("""COMPUTED_VALUE"""),"4GB")</f>
        <v>4GB</v>
      </c>
      <c r="I340" s="2" t="str">
        <f ca="1">IFERROR(__xludf.DUMMYFUNCTION("""COMPUTED_VALUE"""),"1TB HDD")</f>
        <v>1TB HDD</v>
      </c>
      <c r="J340" s="2" t="str">
        <f ca="1">IFERROR(__xludf.DUMMYFUNCTION("""COMPUTED_VALUE"""),"Intel HD Graphics 500")</f>
        <v>Intel HD Graphics 500</v>
      </c>
      <c r="K340" s="2" t="str">
        <f ca="1">IFERROR(__xludf.DUMMYFUNCTION("""COMPUTED_VALUE"""),"Linux")</f>
        <v>Linux</v>
      </c>
      <c r="L340" s="2" t="str">
        <f ca="1">IFERROR(__xludf.DUMMYFUNCTION("""COMPUTED_VALUE"""),"2kg")</f>
        <v>2kg</v>
      </c>
      <c r="M340" s="2">
        <f ca="1">IFERROR(__xludf.DUMMYFUNCTION("""COMPUTED_VALUE"""),274.99)</f>
        <v>274.99</v>
      </c>
    </row>
    <row r="341" spans="1:13">
      <c r="A341" s="2">
        <f ca="1">IFERROR(__xludf.DUMMYFUNCTION("""COMPUTED_VALUE"""),345)</f>
        <v>345</v>
      </c>
      <c r="B341" s="2" t="str">
        <f ca="1">IFERROR(__xludf.DUMMYFUNCTION("""COMPUTED_VALUE"""),"Dell")</f>
        <v>Dell</v>
      </c>
      <c r="C341" s="2" t="str">
        <f ca="1">IFERROR(__xludf.DUMMYFUNCTION("""COMPUTED_VALUE"""),"Inspiron 7570")</f>
        <v>Inspiron 7570</v>
      </c>
      <c r="D341" s="2" t="str">
        <f ca="1">IFERROR(__xludf.DUMMYFUNCTION("""COMPUTED_VALUE"""),"Notebook")</f>
        <v>Notebook</v>
      </c>
      <c r="E341" s="2">
        <f ca="1">IFERROR(__xludf.DUMMYFUNCTION("""COMPUTED_VALUE"""),15.6)</f>
        <v>15.6</v>
      </c>
      <c r="F341" s="2" t="str">
        <f ca="1">IFERROR(__xludf.DUMMYFUNCTION("""COMPUTED_VALUE"""),"Full HD 1920x1080")</f>
        <v>Full HD 1920x1080</v>
      </c>
      <c r="G341" s="2" t="str">
        <f ca="1">IFERROR(__xludf.DUMMYFUNCTION("""COMPUTED_VALUE"""),"Intel Core i5 8250U 1.6GHz")</f>
        <v>Intel Core i5 8250U 1.6GHz</v>
      </c>
      <c r="H341" s="2" t="str">
        <f ca="1">IFERROR(__xludf.DUMMYFUNCTION("""COMPUTED_VALUE"""),"8GB")</f>
        <v>8GB</v>
      </c>
      <c r="I341" s="2" t="str">
        <f ca="1">IFERROR(__xludf.DUMMYFUNCTION("""COMPUTED_VALUE"""),"256GB SSD")</f>
        <v>256GB SSD</v>
      </c>
      <c r="J341" s="2" t="str">
        <f ca="1">IFERROR(__xludf.DUMMYFUNCTION("""COMPUTED_VALUE"""),"Nvidia GeForce 940MX")</f>
        <v>Nvidia GeForce 940MX</v>
      </c>
      <c r="K341" s="2" t="str">
        <f ca="1">IFERROR(__xludf.DUMMYFUNCTION("""COMPUTED_VALUE"""),"Windows 10")</f>
        <v>Windows 10</v>
      </c>
      <c r="L341" s="2" t="str">
        <f ca="1">IFERROR(__xludf.DUMMYFUNCTION("""COMPUTED_VALUE"""),"2kg")</f>
        <v>2kg</v>
      </c>
      <c r="M341" s="2">
        <f ca="1">IFERROR(__xludf.DUMMYFUNCTION("""COMPUTED_VALUE"""),1142.75)</f>
        <v>1142.75</v>
      </c>
    </row>
    <row r="342" spans="1:13">
      <c r="A342" s="2">
        <f ca="1">IFERROR(__xludf.DUMMYFUNCTION("""COMPUTED_VALUE"""),346)</f>
        <v>346</v>
      </c>
      <c r="B342" s="2" t="str">
        <f ca="1">IFERROR(__xludf.DUMMYFUNCTION("""COMPUTED_VALUE"""),"Dell")</f>
        <v>Dell</v>
      </c>
      <c r="C342" s="2" t="str">
        <f ca="1">IFERROR(__xludf.DUMMYFUNCTION("""COMPUTED_VALUE"""),"Inspiron 3552")</f>
        <v>Inspiron 3552</v>
      </c>
      <c r="D342" s="2" t="str">
        <f ca="1">IFERROR(__xludf.DUMMYFUNCTION("""COMPUTED_VALUE"""),"Notebook")</f>
        <v>Notebook</v>
      </c>
      <c r="E342" s="2">
        <f ca="1">IFERROR(__xludf.DUMMYFUNCTION("""COMPUTED_VALUE"""),15.6)</f>
        <v>15.6</v>
      </c>
      <c r="F342" s="2" t="str">
        <f ca="1">IFERROR(__xludf.DUMMYFUNCTION("""COMPUTED_VALUE"""),"1366x768")</f>
        <v>1366x768</v>
      </c>
      <c r="G342" s="2" t="str">
        <f ca="1">IFERROR(__xludf.DUMMYFUNCTION("""COMPUTED_VALUE"""),"Intel Celeron Dual Core N3060 1.6GHz")</f>
        <v>Intel Celeron Dual Core N3060 1.6GHz</v>
      </c>
      <c r="H342" s="2" t="str">
        <f ca="1">IFERROR(__xludf.DUMMYFUNCTION("""COMPUTED_VALUE"""),"4GB")</f>
        <v>4GB</v>
      </c>
      <c r="I342" s="2" t="str">
        <f ca="1">IFERROR(__xludf.DUMMYFUNCTION("""COMPUTED_VALUE"""),"500GB HDD")</f>
        <v>500GB HDD</v>
      </c>
      <c r="J342" s="2" t="str">
        <f ca="1">IFERROR(__xludf.DUMMYFUNCTION("""COMPUTED_VALUE"""),"Intel HD Graphics")</f>
        <v>Intel HD Graphics</v>
      </c>
      <c r="K342" s="2" t="str">
        <f ca="1">IFERROR(__xludf.DUMMYFUNCTION("""COMPUTED_VALUE"""),"Linux")</f>
        <v>Linux</v>
      </c>
      <c r="L342" s="2" t="str">
        <f ca="1">IFERROR(__xludf.DUMMYFUNCTION("""COMPUTED_VALUE"""),"2.2kg")</f>
        <v>2.2kg</v>
      </c>
      <c r="M342" s="2">
        <f ca="1">IFERROR(__xludf.DUMMYFUNCTION("""COMPUTED_VALUE"""),274.9)</f>
        <v>274.89999999999998</v>
      </c>
    </row>
    <row r="343" spans="1:13">
      <c r="A343" s="2">
        <f ca="1">IFERROR(__xludf.DUMMYFUNCTION("""COMPUTED_VALUE"""),347)</f>
        <v>347</v>
      </c>
      <c r="B343" s="2" t="str">
        <f ca="1">IFERROR(__xludf.DUMMYFUNCTION("""COMPUTED_VALUE"""),"Lenovo")</f>
        <v>Lenovo</v>
      </c>
      <c r="C343" s="2" t="str">
        <f ca="1">IFERROR(__xludf.DUMMYFUNCTION("""COMPUTED_VALUE"""),"IdeaPad 320-15ABR")</f>
        <v>IdeaPad 320-15ABR</v>
      </c>
      <c r="D343" s="2" t="str">
        <f ca="1">IFERROR(__xludf.DUMMYFUNCTION("""COMPUTED_VALUE"""),"Notebook")</f>
        <v>Notebook</v>
      </c>
      <c r="E343" s="2">
        <f ca="1">IFERROR(__xludf.DUMMYFUNCTION("""COMPUTED_VALUE"""),15.6)</f>
        <v>15.6</v>
      </c>
      <c r="F343" s="2" t="str">
        <f ca="1">IFERROR(__xludf.DUMMYFUNCTION("""COMPUTED_VALUE"""),"Full HD 1920x1080")</f>
        <v>Full HD 1920x1080</v>
      </c>
      <c r="G343" s="2" t="str">
        <f ca="1">IFERROR(__xludf.DUMMYFUNCTION("""COMPUTED_VALUE"""),"AMD A12-Series 9720P 3.6GHz")</f>
        <v>AMD A12-Series 9720P 3.6GHz</v>
      </c>
      <c r="H343" s="2" t="str">
        <f ca="1">IFERROR(__xludf.DUMMYFUNCTION("""COMPUTED_VALUE"""),"12GB")</f>
        <v>12GB</v>
      </c>
      <c r="I343" s="2" t="str">
        <f ca="1">IFERROR(__xludf.DUMMYFUNCTION("""COMPUTED_VALUE"""),"2TB HDD")</f>
        <v>2TB HDD</v>
      </c>
      <c r="J343" s="2" t="str">
        <f ca="1">IFERROR(__xludf.DUMMYFUNCTION("""COMPUTED_VALUE"""),"AMD Radeon 530")</f>
        <v>AMD Radeon 530</v>
      </c>
      <c r="K343" s="2" t="str">
        <f ca="1">IFERROR(__xludf.DUMMYFUNCTION("""COMPUTED_VALUE"""),"Windows 10")</f>
        <v>Windows 10</v>
      </c>
      <c r="L343" s="2" t="str">
        <f ca="1">IFERROR(__xludf.DUMMYFUNCTION("""COMPUTED_VALUE"""),"2.2kg")</f>
        <v>2.2kg</v>
      </c>
      <c r="M343" s="2">
        <f ca="1">IFERROR(__xludf.DUMMYFUNCTION("""COMPUTED_VALUE"""),899)</f>
        <v>899</v>
      </c>
    </row>
    <row r="344" spans="1:13">
      <c r="A344" s="2">
        <f ca="1">IFERROR(__xludf.DUMMYFUNCTION("""COMPUTED_VALUE"""),348)</f>
        <v>348</v>
      </c>
      <c r="B344" s="2" t="str">
        <f ca="1">IFERROR(__xludf.DUMMYFUNCTION("""COMPUTED_VALUE"""),"HP")</f>
        <v>HP</v>
      </c>
      <c r="C344" s="2" t="str">
        <f ca="1">IFERROR(__xludf.DUMMYFUNCTION("""COMPUTED_VALUE"""),"ProBook 450")</f>
        <v>ProBook 450</v>
      </c>
      <c r="D344" s="2" t="str">
        <f ca="1">IFERROR(__xludf.DUMMYFUNCTION("""COMPUTED_VALUE"""),"Notebook")</f>
        <v>Notebook</v>
      </c>
      <c r="E344" s="2">
        <f ca="1">IFERROR(__xludf.DUMMYFUNCTION("""COMPUTED_VALUE"""),15.6)</f>
        <v>15.6</v>
      </c>
      <c r="F344" s="2" t="str">
        <f ca="1">IFERROR(__xludf.DUMMYFUNCTION("""COMPUTED_VALUE"""),"IPS Panel Full HD 1920x1080")</f>
        <v>IPS Panel Full HD 1920x1080</v>
      </c>
      <c r="G344" s="2" t="str">
        <f ca="1">IFERROR(__xludf.DUMMYFUNCTION("""COMPUTED_VALUE"""),"Intel Core i3 7100U 2.4GHz")</f>
        <v>Intel Core i3 7100U 2.4GHz</v>
      </c>
      <c r="H344" s="2" t="str">
        <f ca="1">IFERROR(__xludf.DUMMYFUNCTION("""COMPUTED_VALUE"""),"8GB")</f>
        <v>8GB</v>
      </c>
      <c r="I344" s="2" t="str">
        <f ca="1">IFERROR(__xludf.DUMMYFUNCTION("""COMPUTED_VALUE"""),"1TB HDD")</f>
        <v>1TB HDD</v>
      </c>
      <c r="J344" s="2" t="str">
        <f ca="1">IFERROR(__xludf.DUMMYFUNCTION("""COMPUTED_VALUE"""),"Nvidia GeForce 930MX ")</f>
        <v xml:space="preserve">Nvidia GeForce 930MX </v>
      </c>
      <c r="K344" s="2" t="str">
        <f ca="1">IFERROR(__xludf.DUMMYFUNCTION("""COMPUTED_VALUE"""),"Windows 10")</f>
        <v>Windows 10</v>
      </c>
      <c r="L344" s="2" t="str">
        <f ca="1">IFERROR(__xludf.DUMMYFUNCTION("""COMPUTED_VALUE"""),"2.1kg")</f>
        <v>2.1kg</v>
      </c>
      <c r="M344" s="2">
        <f ca="1">IFERROR(__xludf.DUMMYFUNCTION("""COMPUTED_VALUE"""),716)</f>
        <v>716</v>
      </c>
    </row>
    <row r="345" spans="1:13">
      <c r="A345" s="2">
        <f ca="1">IFERROR(__xludf.DUMMYFUNCTION("""COMPUTED_VALUE"""),349)</f>
        <v>349</v>
      </c>
      <c r="B345" s="2" t="str">
        <f ca="1">IFERROR(__xludf.DUMMYFUNCTION("""COMPUTED_VALUE"""),"Lenovo")</f>
        <v>Lenovo</v>
      </c>
      <c r="C345" s="2" t="str">
        <f ca="1">IFERROR(__xludf.DUMMYFUNCTION("""COMPUTED_VALUE"""),"Yoga 920-13IKB")</f>
        <v>Yoga 920-13IKB</v>
      </c>
      <c r="D345" s="2" t="str">
        <f ca="1">IFERROR(__xludf.DUMMYFUNCTION("""COMPUTED_VALUE"""),"2 in 1 Convertible")</f>
        <v>2 in 1 Convertible</v>
      </c>
      <c r="E345" s="2">
        <f ca="1">IFERROR(__xludf.DUMMYFUNCTION("""COMPUTED_VALUE"""),13.9)</f>
        <v>13.9</v>
      </c>
      <c r="F345" s="2" t="str">
        <f ca="1">IFERROR(__xludf.DUMMYFUNCTION("""COMPUTED_VALUE"""),"IPS Panel 4K Ultra HD / Touchscreen 3840x2160")</f>
        <v>IPS Panel 4K Ultra HD / Touchscreen 3840x2160</v>
      </c>
      <c r="G345" s="2" t="str">
        <f ca="1">IFERROR(__xludf.DUMMYFUNCTION("""COMPUTED_VALUE"""),"Intel Core i7 8550U 1.8GHz")</f>
        <v>Intel Core i7 8550U 1.8GHz</v>
      </c>
      <c r="H345" s="2" t="str">
        <f ca="1">IFERROR(__xludf.DUMMYFUNCTION("""COMPUTED_VALUE"""),"16GB")</f>
        <v>16GB</v>
      </c>
      <c r="I345" s="2" t="str">
        <f ca="1">IFERROR(__xludf.DUMMYFUNCTION("""COMPUTED_VALUE"""),"512GB SSD")</f>
        <v>512GB SSD</v>
      </c>
      <c r="J345" s="2" t="str">
        <f ca="1">IFERROR(__xludf.DUMMYFUNCTION("""COMPUTED_VALUE"""),"Intel UHD Graphics 620")</f>
        <v>Intel UHD Graphics 620</v>
      </c>
      <c r="K345" s="2" t="str">
        <f ca="1">IFERROR(__xludf.DUMMYFUNCTION("""COMPUTED_VALUE"""),"Windows 10")</f>
        <v>Windows 10</v>
      </c>
      <c r="L345" s="2" t="str">
        <f ca="1">IFERROR(__xludf.DUMMYFUNCTION("""COMPUTED_VALUE"""),"1.4kg")</f>
        <v>1.4kg</v>
      </c>
      <c r="M345" s="2">
        <f ca="1">IFERROR(__xludf.DUMMYFUNCTION("""COMPUTED_VALUE"""),2099)</f>
        <v>2099</v>
      </c>
    </row>
    <row r="346" spans="1:13">
      <c r="A346" s="2">
        <f ca="1">IFERROR(__xludf.DUMMYFUNCTION("""COMPUTED_VALUE"""),350)</f>
        <v>350</v>
      </c>
      <c r="B346" s="2" t="str">
        <f ca="1">IFERROR(__xludf.DUMMYFUNCTION("""COMPUTED_VALUE"""),"Dell")</f>
        <v>Dell</v>
      </c>
      <c r="C346" s="2" t="str">
        <f ca="1">IFERROR(__xludf.DUMMYFUNCTION("""COMPUTED_VALUE"""),"XPS 13")</f>
        <v>XPS 13</v>
      </c>
      <c r="D346" s="2" t="str">
        <f ca="1">IFERROR(__xludf.DUMMYFUNCTION("""COMPUTED_VALUE"""),"Ultrabook")</f>
        <v>Ultrabook</v>
      </c>
      <c r="E346" s="2">
        <f ca="1">IFERROR(__xludf.DUMMYFUNCTION("""COMPUTED_VALUE"""),13.3)</f>
        <v>13.3</v>
      </c>
      <c r="F346" s="2" t="str">
        <f ca="1">IFERROR(__xludf.DUMMYFUNCTION("""COMPUTED_VALUE"""),"Full HD 1920x1080")</f>
        <v>Full HD 1920x1080</v>
      </c>
      <c r="G346" s="2" t="str">
        <f ca="1">IFERROR(__xludf.DUMMYFUNCTION("""COMPUTED_VALUE"""),"Intel Core i7 8550U 1.8GHz")</f>
        <v>Intel Core i7 8550U 1.8GHz</v>
      </c>
      <c r="H346" s="2" t="str">
        <f ca="1">IFERROR(__xludf.DUMMYFUNCTION("""COMPUTED_VALUE"""),"8GB")</f>
        <v>8GB</v>
      </c>
      <c r="I346" s="2" t="str">
        <f ca="1">IFERROR(__xludf.DUMMYFUNCTION("""COMPUTED_VALUE"""),"256GB SSD")</f>
        <v>256GB SSD</v>
      </c>
      <c r="J346" s="2" t="str">
        <f ca="1">IFERROR(__xludf.DUMMYFUNCTION("""COMPUTED_VALUE"""),"Intel UHD Graphics 620")</f>
        <v>Intel UHD Graphics 620</v>
      </c>
      <c r="K346" s="2" t="str">
        <f ca="1">IFERROR(__xludf.DUMMYFUNCTION("""COMPUTED_VALUE"""),"Windows 10")</f>
        <v>Windows 10</v>
      </c>
      <c r="L346" s="2" t="str">
        <f ca="1">IFERROR(__xludf.DUMMYFUNCTION("""COMPUTED_VALUE"""),"1.2kg")</f>
        <v>1.2kg</v>
      </c>
      <c r="M346" s="2">
        <f ca="1">IFERROR(__xludf.DUMMYFUNCTION("""COMPUTED_VALUE"""),1579)</f>
        <v>1579</v>
      </c>
    </row>
    <row r="347" spans="1:13">
      <c r="A347" s="2">
        <f ca="1">IFERROR(__xludf.DUMMYFUNCTION("""COMPUTED_VALUE"""),351)</f>
        <v>351</v>
      </c>
      <c r="B347" s="2" t="str">
        <f ca="1">IFERROR(__xludf.DUMMYFUNCTION("""COMPUTED_VALUE"""),"Lenovo")</f>
        <v>Lenovo</v>
      </c>
      <c r="C347" s="2" t="str">
        <f ca="1">IFERROR(__xludf.DUMMYFUNCTION("""COMPUTED_VALUE"""),"Legion Y520-15IKBN")</f>
        <v>Legion Y520-15IKBN</v>
      </c>
      <c r="D347" s="2" t="str">
        <f ca="1">IFERROR(__xludf.DUMMYFUNCTION("""COMPUTED_VALUE"""),"Gaming")</f>
        <v>Gaming</v>
      </c>
      <c r="E347" s="2">
        <f ca="1">IFERROR(__xludf.DUMMYFUNCTION("""COMPUTED_VALUE"""),15.6)</f>
        <v>15.6</v>
      </c>
      <c r="F347" s="2" t="str">
        <f ca="1">IFERROR(__xludf.DUMMYFUNCTION("""COMPUTED_VALUE"""),"IPS Panel Full HD 1920x1080")</f>
        <v>IPS Panel Full HD 1920x1080</v>
      </c>
      <c r="G347" s="2" t="str">
        <f ca="1">IFERROR(__xludf.DUMMYFUNCTION("""COMPUTED_VALUE"""),"Intel Core i7 7700HQ 2.8GHz")</f>
        <v>Intel Core i7 7700HQ 2.8GHz</v>
      </c>
      <c r="H347" s="2" t="str">
        <f ca="1">IFERROR(__xludf.DUMMYFUNCTION("""COMPUTED_VALUE"""),"16GB")</f>
        <v>16GB</v>
      </c>
      <c r="I347" s="2" t="str">
        <f ca="1">IFERROR(__xludf.DUMMYFUNCTION("""COMPUTED_VALUE"""),"256GB SSD +  2TB HDD")</f>
        <v>256GB SSD +  2TB HDD</v>
      </c>
      <c r="J347" s="2" t="str">
        <f ca="1">IFERROR(__xludf.DUMMYFUNCTION("""COMPUTED_VALUE"""),"Nvidia GeForce GTX 1050 Ti")</f>
        <v>Nvidia GeForce GTX 1050 Ti</v>
      </c>
      <c r="K347" s="2" t="str">
        <f ca="1">IFERROR(__xludf.DUMMYFUNCTION("""COMPUTED_VALUE"""),"Windows 10")</f>
        <v>Windows 10</v>
      </c>
      <c r="L347" s="2" t="str">
        <f ca="1">IFERROR(__xludf.DUMMYFUNCTION("""COMPUTED_VALUE"""),"2.4kg")</f>
        <v>2.4kg</v>
      </c>
      <c r="M347" s="2">
        <f ca="1">IFERROR(__xludf.DUMMYFUNCTION("""COMPUTED_VALUE"""),1129)</f>
        <v>1129</v>
      </c>
    </row>
    <row r="348" spans="1:13">
      <c r="A348" s="2">
        <f ca="1">IFERROR(__xludf.DUMMYFUNCTION("""COMPUTED_VALUE"""),352)</f>
        <v>352</v>
      </c>
      <c r="B348" s="2" t="str">
        <f ca="1">IFERROR(__xludf.DUMMYFUNCTION("""COMPUTED_VALUE"""),"HP")</f>
        <v>HP</v>
      </c>
      <c r="C348" s="2" t="str">
        <f ca="1">IFERROR(__xludf.DUMMYFUNCTION("""COMPUTED_VALUE"""),"Stream 14-AX001nv")</f>
        <v>Stream 14-AX001nv</v>
      </c>
      <c r="D348" s="2" t="str">
        <f ca="1">IFERROR(__xludf.DUMMYFUNCTION("""COMPUTED_VALUE"""),"Notebook")</f>
        <v>Notebook</v>
      </c>
      <c r="E348" s="2">
        <f ca="1">IFERROR(__xludf.DUMMYFUNCTION("""COMPUTED_VALUE"""),14)</f>
        <v>14</v>
      </c>
      <c r="F348" s="2" t="str">
        <f ca="1">IFERROR(__xludf.DUMMYFUNCTION("""COMPUTED_VALUE"""),"1366x768")</f>
        <v>1366x768</v>
      </c>
      <c r="G348" s="2" t="str">
        <f ca="1">IFERROR(__xludf.DUMMYFUNCTION("""COMPUTED_VALUE"""),"Intel Celeron Dual Core N3060 1.6GHz")</f>
        <v>Intel Celeron Dual Core N3060 1.6GHz</v>
      </c>
      <c r="H348" s="2" t="str">
        <f ca="1">IFERROR(__xludf.DUMMYFUNCTION("""COMPUTED_VALUE"""),"2GB")</f>
        <v>2GB</v>
      </c>
      <c r="I348" s="2" t="str">
        <f ca="1">IFERROR(__xludf.DUMMYFUNCTION("""COMPUTED_VALUE"""),"32GB Flash Storage")</f>
        <v>32GB Flash Storage</v>
      </c>
      <c r="J348" s="2" t="str">
        <f ca="1">IFERROR(__xludf.DUMMYFUNCTION("""COMPUTED_VALUE"""),"Intel HD Graphics 400")</f>
        <v>Intel HD Graphics 400</v>
      </c>
      <c r="K348" s="2" t="str">
        <f ca="1">IFERROR(__xludf.DUMMYFUNCTION("""COMPUTED_VALUE"""),"Windows 10")</f>
        <v>Windows 10</v>
      </c>
      <c r="L348" s="2" t="str">
        <f ca="1">IFERROR(__xludf.DUMMYFUNCTION("""COMPUTED_VALUE"""),"1.44kg")</f>
        <v>1.44kg</v>
      </c>
      <c r="M348" s="2">
        <f ca="1">IFERROR(__xludf.DUMMYFUNCTION("""COMPUTED_VALUE"""),279)</f>
        <v>279</v>
      </c>
    </row>
    <row r="349" spans="1:13">
      <c r="A349" s="2">
        <f ca="1">IFERROR(__xludf.DUMMYFUNCTION("""COMPUTED_VALUE"""),353)</f>
        <v>353</v>
      </c>
      <c r="B349" s="2" t="str">
        <f ca="1">IFERROR(__xludf.DUMMYFUNCTION("""COMPUTED_VALUE"""),"Dell")</f>
        <v>Dell</v>
      </c>
      <c r="C349" s="2" t="str">
        <f ca="1">IFERROR(__xludf.DUMMYFUNCTION("""COMPUTED_VALUE"""),"Latitude 5590")</f>
        <v>Latitude 5590</v>
      </c>
      <c r="D349" s="2" t="str">
        <f ca="1">IFERROR(__xludf.DUMMYFUNCTION("""COMPUTED_VALUE"""),"Ultrabook")</f>
        <v>Ultrabook</v>
      </c>
      <c r="E349" s="2">
        <f ca="1">IFERROR(__xludf.DUMMYFUNCTION("""COMPUTED_VALUE"""),15.6)</f>
        <v>15.6</v>
      </c>
      <c r="F349" s="2" t="str">
        <f ca="1">IFERROR(__xludf.DUMMYFUNCTION("""COMPUTED_VALUE"""),"Full HD 1920x1080")</f>
        <v>Full HD 1920x1080</v>
      </c>
      <c r="G349" s="2" t="str">
        <f ca="1">IFERROR(__xludf.DUMMYFUNCTION("""COMPUTED_VALUE"""),"Intel Core i7 8650U 1.9GHz")</f>
        <v>Intel Core i7 8650U 1.9GHz</v>
      </c>
      <c r="H349" s="2" t="str">
        <f ca="1">IFERROR(__xludf.DUMMYFUNCTION("""COMPUTED_VALUE"""),"16GB")</f>
        <v>16GB</v>
      </c>
      <c r="I349" s="2" t="str">
        <f ca="1">IFERROR(__xludf.DUMMYFUNCTION("""COMPUTED_VALUE"""),"512GB SSD +  256GB SSD")</f>
        <v>512GB SSD +  256GB SSD</v>
      </c>
      <c r="J349" s="2" t="str">
        <f ca="1">IFERROR(__xludf.DUMMYFUNCTION("""COMPUTED_VALUE"""),"Intel UHD Graphics 620")</f>
        <v>Intel UHD Graphics 620</v>
      </c>
      <c r="K349" s="2" t="str">
        <f ca="1">IFERROR(__xludf.DUMMYFUNCTION("""COMPUTED_VALUE"""),"Windows 10")</f>
        <v>Windows 10</v>
      </c>
      <c r="L349" s="2" t="str">
        <f ca="1">IFERROR(__xludf.DUMMYFUNCTION("""COMPUTED_VALUE"""),"1.88kg")</f>
        <v>1.88kg</v>
      </c>
      <c r="M349" s="2">
        <f ca="1">IFERROR(__xludf.DUMMYFUNCTION("""COMPUTED_VALUE"""),1607.96)</f>
        <v>1607.96</v>
      </c>
    </row>
    <row r="350" spans="1:13">
      <c r="A350" s="2">
        <f ca="1">IFERROR(__xludf.DUMMYFUNCTION("""COMPUTED_VALUE"""),354)</f>
        <v>354</v>
      </c>
      <c r="B350" s="2" t="str">
        <f ca="1">IFERROR(__xludf.DUMMYFUNCTION("""COMPUTED_VALUE"""),"Asus")</f>
        <v>Asus</v>
      </c>
      <c r="C350" s="2" t="str">
        <f ca="1">IFERROR(__xludf.DUMMYFUNCTION("""COMPUTED_VALUE"""),"VivoBook Flip")</f>
        <v>VivoBook Flip</v>
      </c>
      <c r="D350" s="2" t="str">
        <f ca="1">IFERROR(__xludf.DUMMYFUNCTION("""COMPUTED_VALUE"""),"2 in 1 Convertible")</f>
        <v>2 in 1 Convertible</v>
      </c>
      <c r="E350" s="2">
        <f ca="1">IFERROR(__xludf.DUMMYFUNCTION("""COMPUTED_VALUE"""),11.6)</f>
        <v>11.6</v>
      </c>
      <c r="F350" s="2" t="str">
        <f ca="1">IFERROR(__xludf.DUMMYFUNCTION("""COMPUTED_VALUE"""),"Touchscreen 1366x768")</f>
        <v>Touchscreen 1366x768</v>
      </c>
      <c r="G350" s="2" t="str">
        <f ca="1">IFERROR(__xludf.DUMMYFUNCTION("""COMPUTED_VALUE"""),"Intel Celeron Dual Core N3350 1.1GHz")</f>
        <v>Intel Celeron Dual Core N3350 1.1GHz</v>
      </c>
      <c r="H350" s="2" t="str">
        <f ca="1">IFERROR(__xludf.DUMMYFUNCTION("""COMPUTED_VALUE"""),"4GB")</f>
        <v>4GB</v>
      </c>
      <c r="I350" s="2" t="str">
        <f ca="1">IFERROR(__xludf.DUMMYFUNCTION("""COMPUTED_VALUE"""),"32GB Flash Storage")</f>
        <v>32GB Flash Storage</v>
      </c>
      <c r="J350" s="2" t="str">
        <f ca="1">IFERROR(__xludf.DUMMYFUNCTION("""COMPUTED_VALUE"""),"Intel HD Graphics 500")</f>
        <v>Intel HD Graphics 500</v>
      </c>
      <c r="K350" s="2" t="str">
        <f ca="1">IFERROR(__xludf.DUMMYFUNCTION("""COMPUTED_VALUE"""),"Windows 10")</f>
        <v>Windows 10</v>
      </c>
      <c r="L350" s="2" t="str">
        <f ca="1">IFERROR(__xludf.DUMMYFUNCTION("""COMPUTED_VALUE"""),"1.5kg")</f>
        <v>1.5kg</v>
      </c>
      <c r="M350" s="2">
        <f ca="1">IFERROR(__xludf.DUMMYFUNCTION("""COMPUTED_VALUE"""),375)</f>
        <v>375</v>
      </c>
    </row>
    <row r="351" spans="1:13">
      <c r="A351" s="2">
        <f ca="1">IFERROR(__xludf.DUMMYFUNCTION("""COMPUTED_VALUE"""),355)</f>
        <v>355</v>
      </c>
      <c r="B351" s="2" t="str">
        <f ca="1">IFERROR(__xludf.DUMMYFUNCTION("""COMPUTED_VALUE"""),"Dell")</f>
        <v>Dell</v>
      </c>
      <c r="C351" s="2" t="str">
        <f ca="1">IFERROR(__xludf.DUMMYFUNCTION("""COMPUTED_VALUE"""),"Inspiron 5570")</f>
        <v>Inspiron 5570</v>
      </c>
      <c r="D351" s="2" t="str">
        <f ca="1">IFERROR(__xludf.DUMMYFUNCTION("""COMPUTED_VALUE"""),"Ultrabook")</f>
        <v>Ultrabook</v>
      </c>
      <c r="E351" s="2">
        <f ca="1">IFERROR(__xludf.DUMMYFUNCTION("""COMPUTED_VALUE"""),15.6)</f>
        <v>15.6</v>
      </c>
      <c r="F351" s="2" t="str">
        <f ca="1">IFERROR(__xludf.DUMMYFUNCTION("""COMPUTED_VALUE"""),"Full HD 1920x1080")</f>
        <v>Full HD 1920x1080</v>
      </c>
      <c r="G351" s="2" t="str">
        <f ca="1">IFERROR(__xludf.DUMMYFUNCTION("""COMPUTED_VALUE"""),"Intel Core i5 8250U 1.6GHz")</f>
        <v>Intel Core i5 8250U 1.6GHz</v>
      </c>
      <c r="H351" s="2" t="str">
        <f ca="1">IFERROR(__xludf.DUMMYFUNCTION("""COMPUTED_VALUE"""),"8GB")</f>
        <v>8GB</v>
      </c>
      <c r="I351" s="2" t="str">
        <f ca="1">IFERROR(__xludf.DUMMYFUNCTION("""COMPUTED_VALUE"""),"1TB HDD")</f>
        <v>1TB HDD</v>
      </c>
      <c r="J351" s="2" t="str">
        <f ca="1">IFERROR(__xludf.DUMMYFUNCTION("""COMPUTED_VALUE"""),"AMD Radeon 530")</f>
        <v>AMD Radeon 530</v>
      </c>
      <c r="K351" s="2" t="str">
        <f ca="1">IFERROR(__xludf.DUMMYFUNCTION("""COMPUTED_VALUE"""),"Windows 10")</f>
        <v>Windows 10</v>
      </c>
      <c r="L351" s="2" t="str">
        <f ca="1">IFERROR(__xludf.DUMMYFUNCTION("""COMPUTED_VALUE"""),"1.9kg")</f>
        <v>1.9kg</v>
      </c>
      <c r="M351" s="2">
        <f ca="1">IFERROR(__xludf.DUMMYFUNCTION("""COMPUTED_VALUE"""),663)</f>
        <v>663</v>
      </c>
    </row>
    <row r="352" spans="1:13">
      <c r="A352" s="2">
        <f ca="1">IFERROR(__xludf.DUMMYFUNCTION("""COMPUTED_VALUE"""),356)</f>
        <v>356</v>
      </c>
      <c r="B352" s="2" t="str">
        <f ca="1">IFERROR(__xludf.DUMMYFUNCTION("""COMPUTED_VALUE"""),"Dell")</f>
        <v>Dell</v>
      </c>
      <c r="C352" s="2" t="str">
        <f ca="1">IFERROR(__xludf.DUMMYFUNCTION("""COMPUTED_VALUE"""),"XPS 15")</f>
        <v>XPS 15</v>
      </c>
      <c r="D352" s="2" t="str">
        <f ca="1">IFERROR(__xludf.DUMMYFUNCTION("""COMPUTED_VALUE"""),"Notebook")</f>
        <v>Notebook</v>
      </c>
      <c r="E352" s="2">
        <f ca="1">IFERROR(__xludf.DUMMYFUNCTION("""COMPUTED_VALUE"""),15.6)</f>
        <v>15.6</v>
      </c>
      <c r="F352" s="2" t="str">
        <f ca="1">IFERROR(__xludf.DUMMYFUNCTION("""COMPUTED_VALUE"""),"4K Ultra HD / Touchscreen 3840x2160")</f>
        <v>4K Ultra HD / Touchscreen 3840x2160</v>
      </c>
      <c r="G352" s="2" t="str">
        <f ca="1">IFERROR(__xludf.DUMMYFUNCTION("""COMPUTED_VALUE"""),"Intel Core i7 7700HQ 2.8GHz")</f>
        <v>Intel Core i7 7700HQ 2.8GHz</v>
      </c>
      <c r="H352" s="2" t="str">
        <f ca="1">IFERROR(__xludf.DUMMYFUNCTION("""COMPUTED_VALUE"""),"16GB")</f>
        <v>16GB</v>
      </c>
      <c r="I352" s="2" t="str">
        <f ca="1">IFERROR(__xludf.DUMMYFUNCTION("""COMPUTED_VALUE"""),"512GB SSD")</f>
        <v>512GB SSD</v>
      </c>
      <c r="J352" s="2" t="str">
        <f ca="1">IFERROR(__xludf.DUMMYFUNCTION("""COMPUTED_VALUE"""),"Nvidia GeForce GTX 1050")</f>
        <v>Nvidia GeForce GTX 1050</v>
      </c>
      <c r="K352" s="2" t="str">
        <f ca="1">IFERROR(__xludf.DUMMYFUNCTION("""COMPUTED_VALUE"""),"Windows 10")</f>
        <v>Windows 10</v>
      </c>
      <c r="L352" s="2" t="str">
        <f ca="1">IFERROR(__xludf.DUMMYFUNCTION("""COMPUTED_VALUE"""),"2.06kg")</f>
        <v>2.06kg</v>
      </c>
      <c r="M352" s="2">
        <f ca="1">IFERROR(__xludf.DUMMYFUNCTION("""COMPUTED_VALUE"""),2027.42)</f>
        <v>2027.42</v>
      </c>
    </row>
    <row r="353" spans="1:13">
      <c r="A353" s="2">
        <f ca="1">IFERROR(__xludf.DUMMYFUNCTION("""COMPUTED_VALUE"""),357)</f>
        <v>357</v>
      </c>
      <c r="B353" s="2" t="str">
        <f ca="1">IFERROR(__xludf.DUMMYFUNCTION("""COMPUTED_VALUE"""),"HP")</f>
        <v>HP</v>
      </c>
      <c r="C353" s="2" t="str">
        <f ca="1">IFERROR(__xludf.DUMMYFUNCTION("""COMPUTED_VALUE"""),"Elitebook 850")</f>
        <v>Elitebook 850</v>
      </c>
      <c r="D353" s="2" t="str">
        <f ca="1">IFERROR(__xludf.DUMMYFUNCTION("""COMPUTED_VALUE"""),"Notebook")</f>
        <v>Notebook</v>
      </c>
      <c r="E353" s="2">
        <f ca="1">IFERROR(__xludf.DUMMYFUNCTION("""COMPUTED_VALUE"""),15.6)</f>
        <v>15.6</v>
      </c>
      <c r="F353" s="2" t="str">
        <f ca="1">IFERROR(__xludf.DUMMYFUNCTION("""COMPUTED_VALUE"""),"Full HD 1920x1080")</f>
        <v>Full HD 1920x1080</v>
      </c>
      <c r="G353" s="2" t="str">
        <f ca="1">IFERROR(__xludf.DUMMYFUNCTION("""COMPUTED_VALUE"""),"Intel Core i7 7500U 2.7GHz")</f>
        <v>Intel Core i7 7500U 2.7GHz</v>
      </c>
      <c r="H353" s="2" t="str">
        <f ca="1">IFERROR(__xludf.DUMMYFUNCTION("""COMPUTED_VALUE"""),"8GB")</f>
        <v>8GB</v>
      </c>
      <c r="I353" s="2" t="str">
        <f ca="1">IFERROR(__xludf.DUMMYFUNCTION("""COMPUTED_VALUE"""),"256GB SSD")</f>
        <v>256GB SSD</v>
      </c>
      <c r="J353" s="2" t="str">
        <f ca="1">IFERROR(__xludf.DUMMYFUNCTION("""COMPUTED_VALUE"""),"Intel HD Graphics 620")</f>
        <v>Intel HD Graphics 620</v>
      </c>
      <c r="K353" s="2" t="str">
        <f ca="1">IFERROR(__xludf.DUMMYFUNCTION("""COMPUTED_VALUE"""),"Windows 10")</f>
        <v>Windows 10</v>
      </c>
      <c r="L353" s="2" t="str">
        <f ca="1">IFERROR(__xludf.DUMMYFUNCTION("""COMPUTED_VALUE"""),"1.84kg")</f>
        <v>1.84kg</v>
      </c>
      <c r="M353" s="2">
        <f ca="1">IFERROR(__xludf.DUMMYFUNCTION("""COMPUTED_VALUE"""),1304)</f>
        <v>1304</v>
      </c>
    </row>
    <row r="354" spans="1:13">
      <c r="A354" s="2">
        <f ca="1">IFERROR(__xludf.DUMMYFUNCTION("""COMPUTED_VALUE"""),358)</f>
        <v>358</v>
      </c>
      <c r="B354" s="2" t="str">
        <f ca="1">IFERROR(__xludf.DUMMYFUNCTION("""COMPUTED_VALUE"""),"MSI")</f>
        <v>MSI</v>
      </c>
      <c r="C354" s="2" t="str">
        <f ca="1">IFERROR(__xludf.DUMMYFUNCTION("""COMPUTED_VALUE"""),"GP72MVR 7RFX")</f>
        <v>GP72MVR 7RFX</v>
      </c>
      <c r="D354" s="2" t="str">
        <f ca="1">IFERROR(__xludf.DUMMYFUNCTION("""COMPUTED_VALUE"""),"Gaming")</f>
        <v>Gaming</v>
      </c>
      <c r="E354" s="2">
        <f ca="1">IFERROR(__xludf.DUMMYFUNCTION("""COMPUTED_VALUE"""),17.3)</f>
        <v>17.3</v>
      </c>
      <c r="F354" s="2" t="str">
        <f ca="1">IFERROR(__xludf.DUMMYFUNCTION("""COMPUTED_VALUE"""),"Full HD 1920x1080")</f>
        <v>Full HD 1920x1080</v>
      </c>
      <c r="G354" s="2" t="str">
        <f ca="1">IFERROR(__xludf.DUMMYFUNCTION("""COMPUTED_VALUE"""),"Intel Core i7 7700HQ 2.8GHz")</f>
        <v>Intel Core i7 7700HQ 2.8GHz</v>
      </c>
      <c r="H354" s="2" t="str">
        <f ca="1">IFERROR(__xludf.DUMMYFUNCTION("""COMPUTED_VALUE"""),"8GB")</f>
        <v>8GB</v>
      </c>
      <c r="I354" s="2" t="str">
        <f ca="1">IFERROR(__xludf.DUMMYFUNCTION("""COMPUTED_VALUE"""),"128GB SSD +  1TB HDD")</f>
        <v>128GB SSD +  1TB HDD</v>
      </c>
      <c r="J354" s="2" t="str">
        <f ca="1">IFERROR(__xludf.DUMMYFUNCTION("""COMPUTED_VALUE"""),"Nvidia GeForce GTX 1060")</f>
        <v>Nvidia GeForce GTX 1060</v>
      </c>
      <c r="K354" s="2" t="str">
        <f ca="1">IFERROR(__xludf.DUMMYFUNCTION("""COMPUTED_VALUE"""),"Windows 10")</f>
        <v>Windows 10</v>
      </c>
      <c r="L354" s="2" t="str">
        <f ca="1">IFERROR(__xludf.DUMMYFUNCTION("""COMPUTED_VALUE"""),"2.7kg")</f>
        <v>2.7kg</v>
      </c>
      <c r="M354" s="2">
        <f ca="1">IFERROR(__xludf.DUMMYFUNCTION("""COMPUTED_VALUE"""),1409)</f>
        <v>1409</v>
      </c>
    </row>
    <row r="355" spans="1:13">
      <c r="A355" s="2">
        <f ca="1">IFERROR(__xludf.DUMMYFUNCTION("""COMPUTED_VALUE"""),359)</f>
        <v>359</v>
      </c>
      <c r="B355" s="2" t="str">
        <f ca="1">IFERROR(__xludf.DUMMYFUNCTION("""COMPUTED_VALUE"""),"HP")</f>
        <v>HP</v>
      </c>
      <c r="C355" s="2" t="str">
        <f ca="1">IFERROR(__xludf.DUMMYFUNCTION("""COMPUTED_VALUE"""),"Zbook 15")</f>
        <v>Zbook 15</v>
      </c>
      <c r="D355" s="2" t="str">
        <f ca="1">IFERROR(__xludf.DUMMYFUNCTION("""COMPUTED_VALUE"""),"Workstation")</f>
        <v>Workstation</v>
      </c>
      <c r="E355" s="2">
        <f ca="1">IFERROR(__xludf.DUMMYFUNCTION("""COMPUTED_VALUE"""),15.6)</f>
        <v>15.6</v>
      </c>
      <c r="F355" s="2" t="str">
        <f ca="1">IFERROR(__xludf.DUMMYFUNCTION("""COMPUTED_VALUE"""),"Full HD 1920x1080")</f>
        <v>Full HD 1920x1080</v>
      </c>
      <c r="G355" s="2" t="str">
        <f ca="1">IFERROR(__xludf.DUMMYFUNCTION("""COMPUTED_VALUE"""),"Intel Core i7 7700HQ 2.8GHz")</f>
        <v>Intel Core i7 7700HQ 2.8GHz</v>
      </c>
      <c r="H355" s="2" t="str">
        <f ca="1">IFERROR(__xludf.DUMMYFUNCTION("""COMPUTED_VALUE"""),"8GB")</f>
        <v>8GB</v>
      </c>
      <c r="I355" s="2" t="str">
        <f ca="1">IFERROR(__xludf.DUMMYFUNCTION("""COMPUTED_VALUE"""),"256GB SSD")</f>
        <v>256GB SSD</v>
      </c>
      <c r="J355" s="2" t="str">
        <f ca="1">IFERROR(__xludf.DUMMYFUNCTION("""COMPUTED_VALUE"""),"Nvidia Quadro M1200")</f>
        <v>Nvidia Quadro M1200</v>
      </c>
      <c r="K355" s="2" t="str">
        <f ca="1">IFERROR(__xludf.DUMMYFUNCTION("""COMPUTED_VALUE"""),"Windows 10")</f>
        <v>Windows 10</v>
      </c>
      <c r="L355" s="2" t="str">
        <f ca="1">IFERROR(__xludf.DUMMYFUNCTION("""COMPUTED_VALUE"""),"2.6kg")</f>
        <v>2.6kg</v>
      </c>
      <c r="M355" s="2">
        <f ca="1">IFERROR(__xludf.DUMMYFUNCTION("""COMPUTED_VALUE"""),1738.27)</f>
        <v>1738.27</v>
      </c>
    </row>
    <row r="356" spans="1:13">
      <c r="A356" s="2">
        <f ca="1">IFERROR(__xludf.DUMMYFUNCTION("""COMPUTED_VALUE"""),360)</f>
        <v>360</v>
      </c>
      <c r="B356" s="2" t="str">
        <f ca="1">IFERROR(__xludf.DUMMYFUNCTION("""COMPUTED_VALUE"""),"Toshiba")</f>
        <v>Toshiba</v>
      </c>
      <c r="C356" s="2" t="str">
        <f ca="1">IFERROR(__xludf.DUMMYFUNCTION("""COMPUTED_VALUE"""),"Tecra A50-C-21G")</f>
        <v>Tecra A50-C-21G</v>
      </c>
      <c r="D356" s="2" t="str">
        <f ca="1">IFERROR(__xludf.DUMMYFUNCTION("""COMPUTED_VALUE"""),"Notebook")</f>
        <v>Notebook</v>
      </c>
      <c r="E356" s="2">
        <f ca="1">IFERROR(__xludf.DUMMYFUNCTION("""COMPUTED_VALUE"""),15.6)</f>
        <v>15.6</v>
      </c>
      <c r="F356" s="2" t="str">
        <f ca="1">IFERROR(__xludf.DUMMYFUNCTION("""COMPUTED_VALUE"""),"IPS Panel Full HD 1920x1080")</f>
        <v>IPS Panel Full HD 1920x1080</v>
      </c>
      <c r="G356" s="2" t="str">
        <f ca="1">IFERROR(__xludf.DUMMYFUNCTION("""COMPUTED_VALUE"""),"Intel Core i7 6500U 2.5GHz")</f>
        <v>Intel Core i7 6500U 2.5GHz</v>
      </c>
      <c r="H356" s="2" t="str">
        <f ca="1">IFERROR(__xludf.DUMMYFUNCTION("""COMPUTED_VALUE"""),"16GB")</f>
        <v>16GB</v>
      </c>
      <c r="I356" s="2" t="str">
        <f ca="1">IFERROR(__xludf.DUMMYFUNCTION("""COMPUTED_VALUE"""),"512GB SSD")</f>
        <v>512GB SSD</v>
      </c>
      <c r="J356" s="2" t="str">
        <f ca="1">IFERROR(__xludf.DUMMYFUNCTION("""COMPUTED_VALUE"""),"Nvidia GeForce 930M")</f>
        <v>Nvidia GeForce 930M</v>
      </c>
      <c r="K356" s="2" t="str">
        <f ca="1">IFERROR(__xludf.DUMMYFUNCTION("""COMPUTED_VALUE"""),"Windows 10")</f>
        <v>Windows 10</v>
      </c>
      <c r="L356" s="2" t="str">
        <f ca="1">IFERROR(__xludf.DUMMYFUNCTION("""COMPUTED_VALUE"""),"2.4kg")</f>
        <v>2.4kg</v>
      </c>
      <c r="M356" s="2">
        <f ca="1">IFERROR(__xludf.DUMMYFUNCTION("""COMPUTED_VALUE"""),1403)</f>
        <v>1403</v>
      </c>
    </row>
    <row r="357" spans="1:13">
      <c r="A357" s="2">
        <f ca="1">IFERROR(__xludf.DUMMYFUNCTION("""COMPUTED_VALUE"""),361)</f>
        <v>361</v>
      </c>
      <c r="B357" s="2" t="str">
        <f ca="1">IFERROR(__xludf.DUMMYFUNCTION("""COMPUTED_VALUE"""),"Dell")</f>
        <v>Dell</v>
      </c>
      <c r="C357" s="2" t="str">
        <f ca="1">IFERROR(__xludf.DUMMYFUNCTION("""COMPUTED_VALUE"""),"Inspiron 5570")</f>
        <v>Inspiron 5570</v>
      </c>
      <c r="D357" s="2" t="str">
        <f ca="1">IFERROR(__xludf.DUMMYFUNCTION("""COMPUTED_VALUE"""),"Notebook")</f>
        <v>Notebook</v>
      </c>
      <c r="E357" s="2">
        <f ca="1">IFERROR(__xludf.DUMMYFUNCTION("""COMPUTED_VALUE"""),15.6)</f>
        <v>15.6</v>
      </c>
      <c r="F357" s="2" t="str">
        <f ca="1">IFERROR(__xludf.DUMMYFUNCTION("""COMPUTED_VALUE"""),"Full HD 1920x1080")</f>
        <v>Full HD 1920x1080</v>
      </c>
      <c r="G357" s="2" t="str">
        <f ca="1">IFERROR(__xludf.DUMMYFUNCTION("""COMPUTED_VALUE"""),"Intel Core i7 8550U 1.8GHz")</f>
        <v>Intel Core i7 8550U 1.8GHz</v>
      </c>
      <c r="H357" s="2" t="str">
        <f ca="1">IFERROR(__xludf.DUMMYFUNCTION("""COMPUTED_VALUE"""),"8GB")</f>
        <v>8GB</v>
      </c>
      <c r="I357" s="2" t="str">
        <f ca="1">IFERROR(__xludf.DUMMYFUNCTION("""COMPUTED_VALUE"""),"128GB SSD +  2TB HDD")</f>
        <v>128GB SSD +  2TB HDD</v>
      </c>
      <c r="J357" s="2" t="str">
        <f ca="1">IFERROR(__xludf.DUMMYFUNCTION("""COMPUTED_VALUE"""),"AMD Radeon 530")</f>
        <v>AMD Radeon 530</v>
      </c>
      <c r="K357" s="2" t="str">
        <f ca="1">IFERROR(__xludf.DUMMYFUNCTION("""COMPUTED_VALUE"""),"Windows 10")</f>
        <v>Windows 10</v>
      </c>
      <c r="L357" s="2" t="str">
        <f ca="1">IFERROR(__xludf.DUMMYFUNCTION("""COMPUTED_VALUE"""),"2.02kg")</f>
        <v>2.02kg</v>
      </c>
      <c r="M357" s="2">
        <f ca="1">IFERROR(__xludf.DUMMYFUNCTION("""COMPUTED_VALUE"""),970.9)</f>
        <v>970.9</v>
      </c>
    </row>
    <row r="358" spans="1:13">
      <c r="A358" s="2">
        <f ca="1">IFERROR(__xludf.DUMMYFUNCTION("""COMPUTED_VALUE"""),362)</f>
        <v>362</v>
      </c>
      <c r="B358" s="2" t="str">
        <f ca="1">IFERROR(__xludf.DUMMYFUNCTION("""COMPUTED_VALUE"""),"Lenovo")</f>
        <v>Lenovo</v>
      </c>
      <c r="C358" s="2" t="str">
        <f ca="1">IFERROR(__xludf.DUMMYFUNCTION("""COMPUTED_VALUE"""),"IdeaPad 320-15IAP")</f>
        <v>IdeaPad 320-15IAP</v>
      </c>
      <c r="D358" s="2" t="str">
        <f ca="1">IFERROR(__xludf.DUMMYFUNCTION("""COMPUTED_VALUE"""),"Notebook")</f>
        <v>Notebook</v>
      </c>
      <c r="E358" s="2">
        <f ca="1">IFERROR(__xludf.DUMMYFUNCTION("""COMPUTED_VALUE"""),15.6)</f>
        <v>15.6</v>
      </c>
      <c r="F358" s="2" t="str">
        <f ca="1">IFERROR(__xludf.DUMMYFUNCTION("""COMPUTED_VALUE"""),"1366x768")</f>
        <v>1366x768</v>
      </c>
      <c r="G358" s="2" t="str">
        <f ca="1">IFERROR(__xludf.DUMMYFUNCTION("""COMPUTED_VALUE"""),"Intel Celeron Dual Core N3350 1.1GHz")</f>
        <v>Intel Celeron Dual Core N3350 1.1GHz</v>
      </c>
      <c r="H358" s="2" t="str">
        <f ca="1">IFERROR(__xludf.DUMMYFUNCTION("""COMPUTED_VALUE"""),"4GB")</f>
        <v>4GB</v>
      </c>
      <c r="I358" s="2" t="str">
        <f ca="1">IFERROR(__xludf.DUMMYFUNCTION("""COMPUTED_VALUE"""),"1TB HDD")</f>
        <v>1TB HDD</v>
      </c>
      <c r="J358" s="2" t="str">
        <f ca="1">IFERROR(__xludf.DUMMYFUNCTION("""COMPUTED_VALUE"""),"Intel HD Graphics 500")</f>
        <v>Intel HD Graphics 500</v>
      </c>
      <c r="K358" s="2" t="str">
        <f ca="1">IFERROR(__xludf.DUMMYFUNCTION("""COMPUTED_VALUE"""),"No OS")</f>
        <v>No OS</v>
      </c>
      <c r="L358" s="2" t="str">
        <f ca="1">IFERROR(__xludf.DUMMYFUNCTION("""COMPUTED_VALUE"""),"2.2kg")</f>
        <v>2.2kg</v>
      </c>
      <c r="M358" s="2">
        <f ca="1">IFERROR(__xludf.DUMMYFUNCTION("""COMPUTED_VALUE"""),321.99)</f>
        <v>321.99</v>
      </c>
    </row>
    <row r="359" spans="1:13">
      <c r="A359" s="2">
        <f ca="1">IFERROR(__xludf.DUMMYFUNCTION("""COMPUTED_VALUE"""),363)</f>
        <v>363</v>
      </c>
      <c r="B359" s="2" t="str">
        <f ca="1">IFERROR(__xludf.DUMMYFUNCTION("""COMPUTED_VALUE"""),"Dell")</f>
        <v>Dell</v>
      </c>
      <c r="C359" s="2" t="str">
        <f ca="1">IFERROR(__xludf.DUMMYFUNCTION("""COMPUTED_VALUE"""),"Inspiron 7577")</f>
        <v>Inspiron 7577</v>
      </c>
      <c r="D359" s="2" t="str">
        <f ca="1">IFERROR(__xludf.DUMMYFUNCTION("""COMPUTED_VALUE"""),"Gaming")</f>
        <v>Gaming</v>
      </c>
      <c r="E359" s="2">
        <f ca="1">IFERROR(__xludf.DUMMYFUNCTION("""COMPUTED_VALUE"""),15.6)</f>
        <v>15.6</v>
      </c>
      <c r="F359" s="2" t="str">
        <f ca="1">IFERROR(__xludf.DUMMYFUNCTION("""COMPUTED_VALUE"""),"Full HD 1920x1080")</f>
        <v>Full HD 1920x1080</v>
      </c>
      <c r="G359" s="2" t="str">
        <f ca="1">IFERROR(__xludf.DUMMYFUNCTION("""COMPUTED_VALUE"""),"Intel Core i5 7300HQ 2.5GHz")</f>
        <v>Intel Core i5 7300HQ 2.5GHz</v>
      </c>
      <c r="H359" s="2" t="str">
        <f ca="1">IFERROR(__xludf.DUMMYFUNCTION("""COMPUTED_VALUE"""),"8GB")</f>
        <v>8GB</v>
      </c>
      <c r="I359" s="2" t="str">
        <f ca="1">IFERROR(__xludf.DUMMYFUNCTION("""COMPUTED_VALUE"""),"1TB HDD")</f>
        <v>1TB HDD</v>
      </c>
      <c r="J359" s="2" t="str">
        <f ca="1">IFERROR(__xludf.DUMMYFUNCTION("""COMPUTED_VALUE"""),"Nvidia GeForce GTX 1050")</f>
        <v>Nvidia GeForce GTX 1050</v>
      </c>
      <c r="K359" s="2" t="str">
        <f ca="1">IFERROR(__xludf.DUMMYFUNCTION("""COMPUTED_VALUE"""),"Windows 10")</f>
        <v>Windows 10</v>
      </c>
      <c r="L359" s="2" t="str">
        <f ca="1">IFERROR(__xludf.DUMMYFUNCTION("""COMPUTED_VALUE"""),"2.65kg")</f>
        <v>2.65kg</v>
      </c>
      <c r="M359" s="2">
        <f ca="1">IFERROR(__xludf.DUMMYFUNCTION("""COMPUTED_VALUE"""),999)</f>
        <v>999</v>
      </c>
    </row>
    <row r="360" spans="1:13">
      <c r="A360" s="2">
        <f ca="1">IFERROR(__xludf.DUMMYFUNCTION("""COMPUTED_VALUE"""),364)</f>
        <v>364</v>
      </c>
      <c r="B360" s="2" t="str">
        <f ca="1">IFERROR(__xludf.DUMMYFUNCTION("""COMPUTED_VALUE"""),"Dell")</f>
        <v>Dell</v>
      </c>
      <c r="C360" s="2" t="str">
        <f ca="1">IFERROR(__xludf.DUMMYFUNCTION("""COMPUTED_VALUE"""),"Inspiron 3567")</f>
        <v>Inspiron 3567</v>
      </c>
      <c r="D360" s="2" t="str">
        <f ca="1">IFERROR(__xludf.DUMMYFUNCTION("""COMPUTED_VALUE"""),"Notebook")</f>
        <v>Notebook</v>
      </c>
      <c r="E360" s="2">
        <f ca="1">IFERROR(__xludf.DUMMYFUNCTION("""COMPUTED_VALUE"""),15.6)</f>
        <v>15.6</v>
      </c>
      <c r="F360" s="2" t="str">
        <f ca="1">IFERROR(__xludf.DUMMYFUNCTION("""COMPUTED_VALUE"""),"Touchscreen 1366x768")</f>
        <v>Touchscreen 1366x768</v>
      </c>
      <c r="G360" s="2" t="str">
        <f ca="1">IFERROR(__xludf.DUMMYFUNCTION("""COMPUTED_VALUE"""),"Intel Core i5 7200U 2.5GHz")</f>
        <v>Intel Core i5 7200U 2.5GHz</v>
      </c>
      <c r="H360" s="2" t="str">
        <f ca="1">IFERROR(__xludf.DUMMYFUNCTION("""COMPUTED_VALUE"""),"8GB")</f>
        <v>8GB</v>
      </c>
      <c r="I360" s="2" t="str">
        <f ca="1">IFERROR(__xludf.DUMMYFUNCTION("""COMPUTED_VALUE"""),"2TB HDD")</f>
        <v>2TB HDD</v>
      </c>
      <c r="J360" s="2" t="str">
        <f ca="1">IFERROR(__xludf.DUMMYFUNCTION("""COMPUTED_VALUE"""),"Intel HD Graphics 620")</f>
        <v>Intel HD Graphics 620</v>
      </c>
      <c r="K360" s="2" t="str">
        <f ca="1">IFERROR(__xludf.DUMMYFUNCTION("""COMPUTED_VALUE"""),"Windows 10")</f>
        <v>Windows 10</v>
      </c>
      <c r="L360" s="2" t="str">
        <f ca="1">IFERROR(__xludf.DUMMYFUNCTION("""COMPUTED_VALUE"""),"2.36kg")</f>
        <v>2.36kg</v>
      </c>
      <c r="M360" s="2">
        <f ca="1">IFERROR(__xludf.DUMMYFUNCTION("""COMPUTED_VALUE"""),557.37)</f>
        <v>557.37</v>
      </c>
    </row>
    <row r="361" spans="1:13">
      <c r="A361" s="2">
        <f ca="1">IFERROR(__xludf.DUMMYFUNCTION("""COMPUTED_VALUE"""),365)</f>
        <v>365</v>
      </c>
      <c r="B361" s="2" t="str">
        <f ca="1">IFERROR(__xludf.DUMMYFUNCTION("""COMPUTED_VALUE"""),"Dell")</f>
        <v>Dell</v>
      </c>
      <c r="C361" s="2" t="str">
        <f ca="1">IFERROR(__xludf.DUMMYFUNCTION("""COMPUTED_VALUE"""),"Latitude 7480")</f>
        <v>Latitude 7480</v>
      </c>
      <c r="D361" s="2" t="str">
        <f ca="1">IFERROR(__xludf.DUMMYFUNCTION("""COMPUTED_VALUE"""),"Notebook")</f>
        <v>Notebook</v>
      </c>
      <c r="E361" s="2">
        <f ca="1">IFERROR(__xludf.DUMMYFUNCTION("""COMPUTED_VALUE"""),14)</f>
        <v>14</v>
      </c>
      <c r="F361" s="2" t="str">
        <f ca="1">IFERROR(__xludf.DUMMYFUNCTION("""COMPUTED_VALUE"""),"Full HD 1920x1080")</f>
        <v>Full HD 1920x1080</v>
      </c>
      <c r="G361" s="2" t="str">
        <f ca="1">IFERROR(__xludf.DUMMYFUNCTION("""COMPUTED_VALUE"""),"Intel Core i5 7300U 2.6GHz")</f>
        <v>Intel Core i5 7300U 2.6GHz</v>
      </c>
      <c r="H361" s="2" t="str">
        <f ca="1">IFERROR(__xludf.DUMMYFUNCTION("""COMPUTED_VALUE"""),"8GB")</f>
        <v>8GB</v>
      </c>
      <c r="I361" s="2" t="str">
        <f ca="1">IFERROR(__xludf.DUMMYFUNCTION("""COMPUTED_VALUE"""),"256GB SSD")</f>
        <v>256GB SSD</v>
      </c>
      <c r="J361" s="2" t="str">
        <f ca="1">IFERROR(__xludf.DUMMYFUNCTION("""COMPUTED_VALUE"""),"Intel HD Graphics 620")</f>
        <v>Intel HD Graphics 620</v>
      </c>
      <c r="K361" s="2" t="str">
        <f ca="1">IFERROR(__xludf.DUMMYFUNCTION("""COMPUTED_VALUE"""),"Windows 10")</f>
        <v>Windows 10</v>
      </c>
      <c r="L361" s="2" t="str">
        <f ca="1">IFERROR(__xludf.DUMMYFUNCTION("""COMPUTED_VALUE"""),"1.36kg")</f>
        <v>1.36kg</v>
      </c>
      <c r="M361" s="2">
        <f ca="1">IFERROR(__xludf.DUMMYFUNCTION("""COMPUTED_VALUE"""),1427)</f>
        <v>1427</v>
      </c>
    </row>
    <row r="362" spans="1:13">
      <c r="A362" s="2">
        <f ca="1">IFERROR(__xludf.DUMMYFUNCTION("""COMPUTED_VALUE"""),366)</f>
        <v>366</v>
      </c>
      <c r="B362" s="2" t="str">
        <f ca="1">IFERROR(__xludf.DUMMYFUNCTION("""COMPUTED_VALUE"""),"HP")</f>
        <v>HP</v>
      </c>
      <c r="C362" s="2" t="str">
        <f ca="1">IFERROR(__xludf.DUMMYFUNCTION("""COMPUTED_VALUE"""),"250 G6")</f>
        <v>250 G6</v>
      </c>
      <c r="D362" s="2" t="str">
        <f ca="1">IFERROR(__xludf.DUMMYFUNCTION("""COMPUTED_VALUE"""),"Notebook")</f>
        <v>Notebook</v>
      </c>
      <c r="E362" s="2">
        <f ca="1">IFERROR(__xludf.DUMMYFUNCTION("""COMPUTED_VALUE"""),15.6)</f>
        <v>15.6</v>
      </c>
      <c r="F362" s="2" t="str">
        <f ca="1">IFERROR(__xludf.DUMMYFUNCTION("""COMPUTED_VALUE"""),"1366x768")</f>
        <v>1366x768</v>
      </c>
      <c r="G362" s="2" t="str">
        <f ca="1">IFERROR(__xludf.DUMMYFUNCTION("""COMPUTED_VALUE"""),"Intel Core i3 6006U 2GHz")</f>
        <v>Intel Core i3 6006U 2GHz</v>
      </c>
      <c r="H362" s="2" t="str">
        <f ca="1">IFERROR(__xludf.DUMMYFUNCTION("""COMPUTED_VALUE"""),"4GB")</f>
        <v>4GB</v>
      </c>
      <c r="I362" s="2" t="str">
        <f ca="1">IFERROR(__xludf.DUMMYFUNCTION("""COMPUTED_VALUE"""),"500GB HDD")</f>
        <v>500GB HDD</v>
      </c>
      <c r="J362" s="2" t="str">
        <f ca="1">IFERROR(__xludf.DUMMYFUNCTION("""COMPUTED_VALUE"""),"Intel HD Graphics 520")</f>
        <v>Intel HD Graphics 520</v>
      </c>
      <c r="K362" s="2" t="str">
        <f ca="1">IFERROR(__xludf.DUMMYFUNCTION("""COMPUTED_VALUE"""),"Windows 10")</f>
        <v>Windows 10</v>
      </c>
      <c r="L362" s="2" t="str">
        <f ca="1">IFERROR(__xludf.DUMMYFUNCTION("""COMPUTED_VALUE"""),"1.86kg")</f>
        <v>1.86kg</v>
      </c>
      <c r="M362" s="2">
        <f ca="1">IFERROR(__xludf.DUMMYFUNCTION("""COMPUTED_VALUE"""),439)</f>
        <v>439</v>
      </c>
    </row>
    <row r="363" spans="1:13">
      <c r="A363" s="2">
        <f ca="1">IFERROR(__xludf.DUMMYFUNCTION("""COMPUTED_VALUE"""),367)</f>
        <v>367</v>
      </c>
      <c r="B363" s="2" t="str">
        <f ca="1">IFERROR(__xludf.DUMMYFUNCTION("""COMPUTED_VALUE"""),"Asus")</f>
        <v>Asus</v>
      </c>
      <c r="C363" s="2" t="str">
        <f ca="1">IFERROR(__xludf.DUMMYFUNCTION("""COMPUTED_VALUE"""),"Zenbook UX410UA-GV027T")</f>
        <v>Zenbook UX410UA-GV027T</v>
      </c>
      <c r="D363" s="2" t="str">
        <f ca="1">IFERROR(__xludf.DUMMYFUNCTION("""COMPUTED_VALUE"""),"Notebook")</f>
        <v>Notebook</v>
      </c>
      <c r="E363" s="2">
        <f ca="1">IFERROR(__xludf.DUMMYFUNCTION("""COMPUTED_VALUE"""),14)</f>
        <v>14</v>
      </c>
      <c r="F363" s="2" t="str">
        <f ca="1">IFERROR(__xludf.DUMMYFUNCTION("""COMPUTED_VALUE"""),"Full HD 1920x1080")</f>
        <v>Full HD 1920x1080</v>
      </c>
      <c r="G363" s="2" t="str">
        <f ca="1">IFERROR(__xludf.DUMMYFUNCTION("""COMPUTED_VALUE"""),"Intel Core i5 7200U 2.5GHz")</f>
        <v>Intel Core i5 7200U 2.5GHz</v>
      </c>
      <c r="H363" s="2" t="str">
        <f ca="1">IFERROR(__xludf.DUMMYFUNCTION("""COMPUTED_VALUE"""),"8GB")</f>
        <v>8GB</v>
      </c>
      <c r="I363" s="2" t="str">
        <f ca="1">IFERROR(__xludf.DUMMYFUNCTION("""COMPUTED_VALUE"""),"256GB SSD")</f>
        <v>256GB SSD</v>
      </c>
      <c r="J363" s="2" t="str">
        <f ca="1">IFERROR(__xludf.DUMMYFUNCTION("""COMPUTED_VALUE"""),"Intel HD Graphics 620")</f>
        <v>Intel HD Graphics 620</v>
      </c>
      <c r="K363" s="2" t="str">
        <f ca="1">IFERROR(__xludf.DUMMYFUNCTION("""COMPUTED_VALUE"""),"Windows 10")</f>
        <v>Windows 10</v>
      </c>
      <c r="L363" s="2" t="str">
        <f ca="1">IFERROR(__xludf.DUMMYFUNCTION("""COMPUTED_VALUE"""),"2kg")</f>
        <v>2kg</v>
      </c>
      <c r="M363" s="2">
        <f ca="1">IFERROR(__xludf.DUMMYFUNCTION("""COMPUTED_VALUE"""),945)</f>
        <v>945</v>
      </c>
    </row>
    <row r="364" spans="1:13">
      <c r="A364" s="2">
        <f ca="1">IFERROR(__xludf.DUMMYFUNCTION("""COMPUTED_VALUE"""),368)</f>
        <v>368</v>
      </c>
      <c r="B364" s="2" t="str">
        <f ca="1">IFERROR(__xludf.DUMMYFUNCTION("""COMPUTED_VALUE"""),"Lenovo")</f>
        <v>Lenovo</v>
      </c>
      <c r="C364" s="2" t="str">
        <f ca="1">IFERROR(__xludf.DUMMYFUNCTION("""COMPUTED_VALUE"""),"IdeaPad 320-17IKB")</f>
        <v>IdeaPad 320-17IKB</v>
      </c>
      <c r="D364" s="2" t="str">
        <f ca="1">IFERROR(__xludf.DUMMYFUNCTION("""COMPUTED_VALUE"""),"Notebook")</f>
        <v>Notebook</v>
      </c>
      <c r="E364" s="2">
        <f ca="1">IFERROR(__xludf.DUMMYFUNCTION("""COMPUTED_VALUE"""),17.3)</f>
        <v>17.3</v>
      </c>
      <c r="F364" s="2" t="str">
        <f ca="1">IFERROR(__xludf.DUMMYFUNCTION("""COMPUTED_VALUE"""),"1600x900")</f>
        <v>1600x900</v>
      </c>
      <c r="G364" s="2" t="str">
        <f ca="1">IFERROR(__xludf.DUMMYFUNCTION("""COMPUTED_VALUE"""),"Intel Core i5 7200U 2.5GHz")</f>
        <v>Intel Core i5 7200U 2.5GHz</v>
      </c>
      <c r="H364" s="2" t="str">
        <f ca="1">IFERROR(__xludf.DUMMYFUNCTION("""COMPUTED_VALUE"""),"6GB")</f>
        <v>6GB</v>
      </c>
      <c r="I364" s="2" t="str">
        <f ca="1">IFERROR(__xludf.DUMMYFUNCTION("""COMPUTED_VALUE"""),"128GB SSD +  1TB HDD")</f>
        <v>128GB SSD +  1TB HDD</v>
      </c>
      <c r="J364" s="2" t="str">
        <f ca="1">IFERROR(__xludf.DUMMYFUNCTION("""COMPUTED_VALUE"""),"Nvidia GeForce GTX 940MX")</f>
        <v>Nvidia GeForce GTX 940MX</v>
      </c>
      <c r="K364" s="2" t="str">
        <f ca="1">IFERROR(__xludf.DUMMYFUNCTION("""COMPUTED_VALUE"""),"Windows 10")</f>
        <v>Windows 10</v>
      </c>
      <c r="L364" s="2" t="str">
        <f ca="1">IFERROR(__xludf.DUMMYFUNCTION("""COMPUTED_VALUE"""),"2.8kg")</f>
        <v>2.8kg</v>
      </c>
      <c r="M364" s="2">
        <f ca="1">IFERROR(__xludf.DUMMYFUNCTION("""COMPUTED_VALUE"""),719)</f>
        <v>719</v>
      </c>
    </row>
    <row r="365" spans="1:13">
      <c r="A365" s="2">
        <f ca="1">IFERROR(__xludf.DUMMYFUNCTION("""COMPUTED_VALUE"""),369)</f>
        <v>369</v>
      </c>
      <c r="B365" s="2" t="str">
        <f ca="1">IFERROR(__xludf.DUMMYFUNCTION("""COMPUTED_VALUE"""),"HP")</f>
        <v>HP</v>
      </c>
      <c r="C365" s="2" t="str">
        <f ca="1">IFERROR(__xludf.DUMMYFUNCTION("""COMPUTED_VALUE"""),"250 G6")</f>
        <v>250 G6</v>
      </c>
      <c r="D365" s="2" t="str">
        <f ca="1">IFERROR(__xludf.DUMMYFUNCTION("""COMPUTED_VALUE"""),"Notebook")</f>
        <v>Notebook</v>
      </c>
      <c r="E365" s="2">
        <f ca="1">IFERROR(__xludf.DUMMYFUNCTION("""COMPUTED_VALUE"""),15.6)</f>
        <v>15.6</v>
      </c>
      <c r="F365" s="2" t="str">
        <f ca="1">IFERROR(__xludf.DUMMYFUNCTION("""COMPUTED_VALUE"""),"Full HD 1920x1080")</f>
        <v>Full HD 1920x1080</v>
      </c>
      <c r="G365" s="2" t="str">
        <f ca="1">IFERROR(__xludf.DUMMYFUNCTION("""COMPUTED_VALUE"""),"Intel Core i5 7200U 2.5GHz")</f>
        <v>Intel Core i5 7200U 2.5GHz</v>
      </c>
      <c r="H365" s="2" t="str">
        <f ca="1">IFERROR(__xludf.DUMMYFUNCTION("""COMPUTED_VALUE"""),"8GB")</f>
        <v>8GB</v>
      </c>
      <c r="I365" s="2" t="str">
        <f ca="1">IFERROR(__xludf.DUMMYFUNCTION("""COMPUTED_VALUE"""),"1TB HDD")</f>
        <v>1TB HDD</v>
      </c>
      <c r="J365" s="2" t="str">
        <f ca="1">IFERROR(__xludf.DUMMYFUNCTION("""COMPUTED_VALUE"""),"Intel HD Graphics 620")</f>
        <v>Intel HD Graphics 620</v>
      </c>
      <c r="K365" s="2" t="str">
        <f ca="1">IFERROR(__xludf.DUMMYFUNCTION("""COMPUTED_VALUE"""),"Windows 10")</f>
        <v>Windows 10</v>
      </c>
      <c r="L365" s="2" t="str">
        <f ca="1">IFERROR(__xludf.DUMMYFUNCTION("""COMPUTED_VALUE"""),"1.86kg")</f>
        <v>1.86kg</v>
      </c>
      <c r="M365" s="2">
        <f ca="1">IFERROR(__xludf.DUMMYFUNCTION("""COMPUTED_VALUE"""),639)</f>
        <v>639</v>
      </c>
    </row>
    <row r="366" spans="1:13">
      <c r="A366" s="2">
        <f ca="1">IFERROR(__xludf.DUMMYFUNCTION("""COMPUTED_VALUE"""),370)</f>
        <v>370</v>
      </c>
      <c r="B366" s="2" t="str">
        <f ca="1">IFERROR(__xludf.DUMMYFUNCTION("""COMPUTED_VALUE"""),"Lenovo")</f>
        <v>Lenovo</v>
      </c>
      <c r="C366" s="2" t="str">
        <f ca="1">IFERROR(__xludf.DUMMYFUNCTION("""COMPUTED_VALUE"""),"IdeaPad 320-15ISK")</f>
        <v>IdeaPad 320-15ISK</v>
      </c>
      <c r="D366" s="2" t="str">
        <f ca="1">IFERROR(__xludf.DUMMYFUNCTION("""COMPUTED_VALUE"""),"Notebook")</f>
        <v>Notebook</v>
      </c>
      <c r="E366" s="2">
        <f ca="1">IFERROR(__xludf.DUMMYFUNCTION("""COMPUTED_VALUE"""),15.6)</f>
        <v>15.6</v>
      </c>
      <c r="F366" s="2" t="str">
        <f ca="1">IFERROR(__xludf.DUMMYFUNCTION("""COMPUTED_VALUE"""),"1366x768")</f>
        <v>1366x768</v>
      </c>
      <c r="G366" s="2" t="str">
        <f ca="1">IFERROR(__xludf.DUMMYFUNCTION("""COMPUTED_VALUE"""),"Intel Core i3 6006U 2GHz")</f>
        <v>Intel Core i3 6006U 2GHz</v>
      </c>
      <c r="H366" s="2" t="str">
        <f ca="1">IFERROR(__xludf.DUMMYFUNCTION("""COMPUTED_VALUE"""),"8GB")</f>
        <v>8GB</v>
      </c>
      <c r="I366" s="2" t="str">
        <f ca="1">IFERROR(__xludf.DUMMYFUNCTION("""COMPUTED_VALUE"""),"256GB SSD")</f>
        <v>256GB SSD</v>
      </c>
      <c r="J366" s="2" t="str">
        <f ca="1">IFERROR(__xludf.DUMMYFUNCTION("""COMPUTED_VALUE"""),"Nvidia GeForce 920MX ")</f>
        <v xml:space="preserve">Nvidia GeForce 920MX </v>
      </c>
      <c r="K366" s="2" t="str">
        <f ca="1">IFERROR(__xludf.DUMMYFUNCTION("""COMPUTED_VALUE"""),"No OS")</f>
        <v>No OS</v>
      </c>
      <c r="L366" s="2" t="str">
        <f ca="1">IFERROR(__xludf.DUMMYFUNCTION("""COMPUTED_VALUE"""),"2.2kg")</f>
        <v>2.2kg</v>
      </c>
      <c r="M366" s="2">
        <f ca="1">IFERROR(__xludf.DUMMYFUNCTION("""COMPUTED_VALUE"""),499)</f>
        <v>499</v>
      </c>
    </row>
    <row r="367" spans="1:13">
      <c r="A367" s="2">
        <f ca="1">IFERROR(__xludf.DUMMYFUNCTION("""COMPUTED_VALUE"""),371)</f>
        <v>371</v>
      </c>
      <c r="B367" s="2" t="str">
        <f ca="1">IFERROR(__xludf.DUMMYFUNCTION("""COMPUTED_VALUE"""),"HP")</f>
        <v>HP</v>
      </c>
      <c r="C367" s="2" t="str">
        <f ca="1">IFERROR(__xludf.DUMMYFUNCTION("""COMPUTED_VALUE"""),"15-AY023na (N3710/8GB/2TB/W10)")</f>
        <v>15-AY023na (N3710/8GB/2TB/W10)</v>
      </c>
      <c r="D367" s="2" t="str">
        <f ca="1">IFERROR(__xludf.DUMMYFUNCTION("""COMPUTED_VALUE"""),"Notebook")</f>
        <v>Notebook</v>
      </c>
      <c r="E367" s="2">
        <f ca="1">IFERROR(__xludf.DUMMYFUNCTION("""COMPUTED_VALUE"""),15.6)</f>
        <v>15.6</v>
      </c>
      <c r="F367" s="2" t="str">
        <f ca="1">IFERROR(__xludf.DUMMYFUNCTION("""COMPUTED_VALUE"""),"1366x768")</f>
        <v>1366x768</v>
      </c>
      <c r="G367" s="2" t="str">
        <f ca="1">IFERROR(__xludf.DUMMYFUNCTION("""COMPUTED_VALUE"""),"Intel Pentium Quad Core N3710 1.6GHz")</f>
        <v>Intel Pentium Quad Core N3710 1.6GHz</v>
      </c>
      <c r="H367" s="2" t="str">
        <f ca="1">IFERROR(__xludf.DUMMYFUNCTION("""COMPUTED_VALUE"""),"8GB")</f>
        <v>8GB</v>
      </c>
      <c r="I367" s="2" t="str">
        <f ca="1">IFERROR(__xludf.DUMMYFUNCTION("""COMPUTED_VALUE"""),"2TB HDD")</f>
        <v>2TB HDD</v>
      </c>
      <c r="J367" s="2" t="str">
        <f ca="1">IFERROR(__xludf.DUMMYFUNCTION("""COMPUTED_VALUE"""),"Intel HD Graphics 405")</f>
        <v>Intel HD Graphics 405</v>
      </c>
      <c r="K367" s="2" t="str">
        <f ca="1">IFERROR(__xludf.DUMMYFUNCTION("""COMPUTED_VALUE"""),"Windows 10")</f>
        <v>Windows 10</v>
      </c>
      <c r="L367" s="2" t="str">
        <f ca="1">IFERROR(__xludf.DUMMYFUNCTION("""COMPUTED_VALUE"""),"2.04kg")</f>
        <v>2.04kg</v>
      </c>
      <c r="M367" s="2">
        <f ca="1">IFERROR(__xludf.DUMMYFUNCTION("""COMPUTED_VALUE"""),389)</f>
        <v>389</v>
      </c>
    </row>
    <row r="368" spans="1:13">
      <c r="A368" s="2">
        <f ca="1">IFERROR(__xludf.DUMMYFUNCTION("""COMPUTED_VALUE"""),372)</f>
        <v>372</v>
      </c>
      <c r="B368" s="2" t="str">
        <f ca="1">IFERROR(__xludf.DUMMYFUNCTION("""COMPUTED_VALUE"""),"Dell")</f>
        <v>Dell</v>
      </c>
      <c r="C368" s="2" t="str">
        <f ca="1">IFERROR(__xludf.DUMMYFUNCTION("""COMPUTED_VALUE"""),"Inspiron 5770")</f>
        <v>Inspiron 5770</v>
      </c>
      <c r="D368" s="2" t="str">
        <f ca="1">IFERROR(__xludf.DUMMYFUNCTION("""COMPUTED_VALUE"""),"Notebook")</f>
        <v>Notebook</v>
      </c>
      <c r="E368" s="2">
        <f ca="1">IFERROR(__xludf.DUMMYFUNCTION("""COMPUTED_VALUE"""),17.3)</f>
        <v>17.3</v>
      </c>
      <c r="F368" s="2" t="str">
        <f ca="1">IFERROR(__xludf.DUMMYFUNCTION("""COMPUTED_VALUE"""),"Full HD 1920x1080")</f>
        <v>Full HD 1920x1080</v>
      </c>
      <c r="G368" s="2" t="str">
        <f ca="1">IFERROR(__xludf.DUMMYFUNCTION("""COMPUTED_VALUE"""),"Intel Core i5 8250U 1.6GHz")</f>
        <v>Intel Core i5 8250U 1.6GHz</v>
      </c>
      <c r="H368" s="2" t="str">
        <f ca="1">IFERROR(__xludf.DUMMYFUNCTION("""COMPUTED_VALUE"""),"8GB")</f>
        <v>8GB</v>
      </c>
      <c r="I368" s="2" t="str">
        <f ca="1">IFERROR(__xludf.DUMMYFUNCTION("""COMPUTED_VALUE"""),"128GB SSD +  1TB HDD")</f>
        <v>128GB SSD +  1TB HDD</v>
      </c>
      <c r="J368" s="2" t="str">
        <f ca="1">IFERROR(__xludf.DUMMYFUNCTION("""COMPUTED_VALUE"""),"AMD Radeon 530")</f>
        <v>AMD Radeon 530</v>
      </c>
      <c r="K368" s="2" t="str">
        <f ca="1">IFERROR(__xludf.DUMMYFUNCTION("""COMPUTED_VALUE"""),"Windows 10")</f>
        <v>Windows 10</v>
      </c>
      <c r="L368" s="2" t="str">
        <f ca="1">IFERROR(__xludf.DUMMYFUNCTION("""COMPUTED_VALUE"""),"2.8kg")</f>
        <v>2.8kg</v>
      </c>
      <c r="M368" s="2">
        <f ca="1">IFERROR(__xludf.DUMMYFUNCTION("""COMPUTED_VALUE"""),1085)</f>
        <v>1085</v>
      </c>
    </row>
    <row r="369" spans="1:13">
      <c r="A369" s="2">
        <f ca="1">IFERROR(__xludf.DUMMYFUNCTION("""COMPUTED_VALUE"""),373)</f>
        <v>373</v>
      </c>
      <c r="B369" s="2" t="str">
        <f ca="1">IFERROR(__xludf.DUMMYFUNCTION("""COMPUTED_VALUE"""),"Lenovo")</f>
        <v>Lenovo</v>
      </c>
      <c r="C369" s="2" t="str">
        <f ca="1">IFERROR(__xludf.DUMMYFUNCTION("""COMPUTED_VALUE"""),"Legion Y520-15IKBN")</f>
        <v>Legion Y520-15IKBN</v>
      </c>
      <c r="D369" s="2" t="str">
        <f ca="1">IFERROR(__xludf.DUMMYFUNCTION("""COMPUTED_VALUE"""),"Gaming")</f>
        <v>Gaming</v>
      </c>
      <c r="E369" s="2">
        <f ca="1">IFERROR(__xludf.DUMMYFUNCTION("""COMPUTED_VALUE"""),15.6)</f>
        <v>15.6</v>
      </c>
      <c r="F369" s="2" t="str">
        <f ca="1">IFERROR(__xludf.DUMMYFUNCTION("""COMPUTED_VALUE"""),"IPS Panel Full HD 1920x1080")</f>
        <v>IPS Panel Full HD 1920x1080</v>
      </c>
      <c r="G369" s="2" t="str">
        <f ca="1">IFERROR(__xludf.DUMMYFUNCTION("""COMPUTED_VALUE"""),"Intel Core i5 7300HQ 2.5GHz")</f>
        <v>Intel Core i5 7300HQ 2.5GHz</v>
      </c>
      <c r="H369" s="2" t="str">
        <f ca="1">IFERROR(__xludf.DUMMYFUNCTION("""COMPUTED_VALUE"""),"8GB")</f>
        <v>8GB</v>
      </c>
      <c r="I369" s="2" t="str">
        <f ca="1">IFERROR(__xludf.DUMMYFUNCTION("""COMPUTED_VALUE"""),"128GB SSD +  1TB HDD")</f>
        <v>128GB SSD +  1TB HDD</v>
      </c>
      <c r="J369" s="2" t="str">
        <f ca="1">IFERROR(__xludf.DUMMYFUNCTION("""COMPUTED_VALUE"""),"Nvidia GeForce GTX 1050")</f>
        <v>Nvidia GeForce GTX 1050</v>
      </c>
      <c r="K369" s="2" t="str">
        <f ca="1">IFERROR(__xludf.DUMMYFUNCTION("""COMPUTED_VALUE"""),"No OS")</f>
        <v>No OS</v>
      </c>
      <c r="L369" s="2" t="str">
        <f ca="1">IFERROR(__xludf.DUMMYFUNCTION("""COMPUTED_VALUE"""),"2.4kg")</f>
        <v>2.4kg</v>
      </c>
      <c r="M369" s="2">
        <f ca="1">IFERROR(__xludf.DUMMYFUNCTION("""COMPUTED_VALUE"""),809)</f>
        <v>809</v>
      </c>
    </row>
    <row r="370" spans="1:13">
      <c r="A370" s="2">
        <f ca="1">IFERROR(__xludf.DUMMYFUNCTION("""COMPUTED_VALUE"""),374)</f>
        <v>374</v>
      </c>
      <c r="B370" s="2" t="str">
        <f ca="1">IFERROR(__xludf.DUMMYFUNCTION("""COMPUTED_VALUE"""),"Dell")</f>
        <v>Dell</v>
      </c>
      <c r="C370" s="2" t="str">
        <f ca="1">IFERROR(__xludf.DUMMYFUNCTION("""COMPUTED_VALUE"""),"Inspiron 5567")</f>
        <v>Inspiron 5567</v>
      </c>
      <c r="D370" s="2" t="str">
        <f ca="1">IFERROR(__xludf.DUMMYFUNCTION("""COMPUTED_VALUE"""),"Notebook")</f>
        <v>Notebook</v>
      </c>
      <c r="E370" s="2">
        <f ca="1">IFERROR(__xludf.DUMMYFUNCTION("""COMPUTED_VALUE"""),15.6)</f>
        <v>15.6</v>
      </c>
      <c r="F370" s="2" t="str">
        <f ca="1">IFERROR(__xludf.DUMMYFUNCTION("""COMPUTED_VALUE"""),"Full HD 1920x1080")</f>
        <v>Full HD 1920x1080</v>
      </c>
      <c r="G370" s="2" t="str">
        <f ca="1">IFERROR(__xludf.DUMMYFUNCTION("""COMPUTED_VALUE"""),"Intel Core i7 7500U 2.7GHz")</f>
        <v>Intel Core i7 7500U 2.7GHz</v>
      </c>
      <c r="H370" s="2" t="str">
        <f ca="1">IFERROR(__xludf.DUMMYFUNCTION("""COMPUTED_VALUE"""),"8GB")</f>
        <v>8GB</v>
      </c>
      <c r="I370" s="2" t="str">
        <f ca="1">IFERROR(__xludf.DUMMYFUNCTION("""COMPUTED_VALUE"""),"256GB SSD")</f>
        <v>256GB SSD</v>
      </c>
      <c r="J370" s="2" t="str">
        <f ca="1">IFERROR(__xludf.DUMMYFUNCTION("""COMPUTED_VALUE"""),"AMD Radeon R7 M445")</f>
        <v>AMD Radeon R7 M445</v>
      </c>
      <c r="K370" s="2" t="str">
        <f ca="1">IFERROR(__xludf.DUMMYFUNCTION("""COMPUTED_VALUE"""),"Windows 10")</f>
        <v>Windows 10</v>
      </c>
      <c r="L370" s="2" t="str">
        <f ca="1">IFERROR(__xludf.DUMMYFUNCTION("""COMPUTED_VALUE"""),"2.33kg")</f>
        <v>2.33kg</v>
      </c>
      <c r="M370" s="2">
        <f ca="1">IFERROR(__xludf.DUMMYFUNCTION("""COMPUTED_VALUE"""),899)</f>
        <v>899</v>
      </c>
    </row>
    <row r="371" spans="1:13">
      <c r="A371" s="2">
        <f ca="1">IFERROR(__xludf.DUMMYFUNCTION("""COMPUTED_VALUE"""),375)</f>
        <v>375</v>
      </c>
      <c r="B371" s="2" t="str">
        <f ca="1">IFERROR(__xludf.DUMMYFUNCTION("""COMPUTED_VALUE"""),"HP")</f>
        <v>HP</v>
      </c>
      <c r="C371" s="2" t="str">
        <f ca="1">IFERROR(__xludf.DUMMYFUNCTION("""COMPUTED_VALUE"""),"Elitebook 1040")</f>
        <v>Elitebook 1040</v>
      </c>
      <c r="D371" s="2" t="str">
        <f ca="1">IFERROR(__xludf.DUMMYFUNCTION("""COMPUTED_VALUE"""),"Ultrabook")</f>
        <v>Ultrabook</v>
      </c>
      <c r="E371" s="2">
        <f ca="1">IFERROR(__xludf.DUMMYFUNCTION("""COMPUTED_VALUE"""),14)</f>
        <v>14</v>
      </c>
      <c r="F371" s="2" t="str">
        <f ca="1">IFERROR(__xludf.DUMMYFUNCTION("""COMPUTED_VALUE"""),"IPS Panel Full HD 1920x1080")</f>
        <v>IPS Panel Full HD 1920x1080</v>
      </c>
      <c r="G371" s="2" t="str">
        <f ca="1">IFERROR(__xludf.DUMMYFUNCTION("""COMPUTED_VALUE"""),"Intel Core i7 7500U 2.7GHz")</f>
        <v>Intel Core i7 7500U 2.7GHz</v>
      </c>
      <c r="H371" s="2" t="str">
        <f ca="1">IFERROR(__xludf.DUMMYFUNCTION("""COMPUTED_VALUE"""),"8GB")</f>
        <v>8GB</v>
      </c>
      <c r="I371" s="2" t="str">
        <f ca="1">IFERROR(__xludf.DUMMYFUNCTION("""COMPUTED_VALUE"""),"256GB SSD")</f>
        <v>256GB SSD</v>
      </c>
      <c r="J371" s="2" t="str">
        <f ca="1">IFERROR(__xludf.DUMMYFUNCTION("""COMPUTED_VALUE"""),"Intel HD Graphics 620")</f>
        <v>Intel HD Graphics 620</v>
      </c>
      <c r="K371" s="2" t="str">
        <f ca="1">IFERROR(__xludf.DUMMYFUNCTION("""COMPUTED_VALUE"""),"Windows 10")</f>
        <v>Windows 10</v>
      </c>
      <c r="L371" s="2" t="str">
        <f ca="1">IFERROR(__xludf.DUMMYFUNCTION("""COMPUTED_VALUE"""),"1.36kg")</f>
        <v>1.36kg</v>
      </c>
      <c r="M371" s="2">
        <f ca="1">IFERROR(__xludf.DUMMYFUNCTION("""COMPUTED_VALUE"""),1750)</f>
        <v>1750</v>
      </c>
    </row>
    <row r="372" spans="1:13">
      <c r="A372" s="2">
        <f ca="1">IFERROR(__xludf.DUMMYFUNCTION("""COMPUTED_VALUE"""),376)</f>
        <v>376</v>
      </c>
      <c r="B372" s="2" t="str">
        <f ca="1">IFERROR(__xludf.DUMMYFUNCTION("""COMPUTED_VALUE"""),"Asus")</f>
        <v>Asus</v>
      </c>
      <c r="C372" s="2" t="str">
        <f ca="1">IFERROR(__xludf.DUMMYFUNCTION("""COMPUTED_VALUE"""),"ZenBook Flip")</f>
        <v>ZenBook Flip</v>
      </c>
      <c r="D372" s="2" t="str">
        <f ca="1">IFERROR(__xludf.DUMMYFUNCTION("""COMPUTED_VALUE"""),"2 in 1 Convertible")</f>
        <v>2 in 1 Convertible</v>
      </c>
      <c r="E372" s="2">
        <f ca="1">IFERROR(__xludf.DUMMYFUNCTION("""COMPUTED_VALUE"""),15.6)</f>
        <v>15.6</v>
      </c>
      <c r="F372" s="2" t="str">
        <f ca="1">IFERROR(__xludf.DUMMYFUNCTION("""COMPUTED_VALUE"""),"Full HD / Touchscreen 1920x1080")</f>
        <v>Full HD / Touchscreen 1920x1080</v>
      </c>
      <c r="G372" s="2" t="str">
        <f ca="1">IFERROR(__xludf.DUMMYFUNCTION("""COMPUTED_VALUE"""),"Intel Core i7 7500U 2.7GHz")</f>
        <v>Intel Core i7 7500U 2.7GHz</v>
      </c>
      <c r="H372" s="2" t="str">
        <f ca="1">IFERROR(__xludf.DUMMYFUNCTION("""COMPUTED_VALUE"""),"12GB")</f>
        <v>12GB</v>
      </c>
      <c r="I372" s="2" t="str">
        <f ca="1">IFERROR(__xludf.DUMMYFUNCTION("""COMPUTED_VALUE"""),"512GB SSD +  2TB HDD")</f>
        <v>512GB SSD +  2TB HDD</v>
      </c>
      <c r="J372" s="2" t="str">
        <f ca="1">IFERROR(__xludf.DUMMYFUNCTION("""COMPUTED_VALUE"""),"Nvidia GeForce GT 940MX")</f>
        <v>Nvidia GeForce GT 940MX</v>
      </c>
      <c r="K372" s="2" t="str">
        <f ca="1">IFERROR(__xludf.DUMMYFUNCTION("""COMPUTED_VALUE"""),"Windows 10")</f>
        <v>Windows 10</v>
      </c>
      <c r="L372" s="2" t="str">
        <f ca="1">IFERROR(__xludf.DUMMYFUNCTION("""COMPUTED_VALUE"""),"2.26kg")</f>
        <v>2.26kg</v>
      </c>
      <c r="M372" s="2">
        <f ca="1">IFERROR(__xludf.DUMMYFUNCTION("""COMPUTED_VALUE"""),1099)</f>
        <v>1099</v>
      </c>
    </row>
    <row r="373" spans="1:13">
      <c r="A373" s="2">
        <f ca="1">IFERROR(__xludf.DUMMYFUNCTION("""COMPUTED_VALUE"""),377)</f>
        <v>377</v>
      </c>
      <c r="B373" s="2" t="str">
        <f ca="1">IFERROR(__xludf.DUMMYFUNCTION("""COMPUTED_VALUE"""),"Acer")</f>
        <v>Acer</v>
      </c>
      <c r="C373" s="2" t="str">
        <f ca="1">IFERROR(__xludf.DUMMYFUNCTION("""COMPUTED_VALUE"""),"Aspire 3")</f>
        <v>Aspire 3</v>
      </c>
      <c r="D373" s="2" t="str">
        <f ca="1">IFERROR(__xludf.DUMMYFUNCTION("""COMPUTED_VALUE"""),"Notebook")</f>
        <v>Notebook</v>
      </c>
      <c r="E373" s="2">
        <f ca="1">IFERROR(__xludf.DUMMYFUNCTION("""COMPUTED_VALUE"""),15.6)</f>
        <v>15.6</v>
      </c>
      <c r="F373" s="2" t="str">
        <f ca="1">IFERROR(__xludf.DUMMYFUNCTION("""COMPUTED_VALUE"""),"1366x768")</f>
        <v>1366x768</v>
      </c>
      <c r="G373" s="2" t="str">
        <f ca="1">IFERROR(__xludf.DUMMYFUNCTION("""COMPUTED_VALUE"""),"AMD A9-Series 9420 3GHz")</f>
        <v>AMD A9-Series 9420 3GHz</v>
      </c>
      <c r="H373" s="2" t="str">
        <f ca="1">IFERROR(__xludf.DUMMYFUNCTION("""COMPUTED_VALUE"""),"4GB")</f>
        <v>4GB</v>
      </c>
      <c r="I373" s="2" t="str">
        <f ca="1">IFERROR(__xludf.DUMMYFUNCTION("""COMPUTED_VALUE"""),"128GB SSD")</f>
        <v>128GB SSD</v>
      </c>
      <c r="J373" s="2" t="str">
        <f ca="1">IFERROR(__xludf.DUMMYFUNCTION("""COMPUTED_VALUE"""),"AMD Radeon R5")</f>
        <v>AMD Radeon R5</v>
      </c>
      <c r="K373" s="2" t="str">
        <f ca="1">IFERROR(__xludf.DUMMYFUNCTION("""COMPUTED_VALUE"""),"Windows 10")</f>
        <v>Windows 10</v>
      </c>
      <c r="L373" s="2" t="str">
        <f ca="1">IFERROR(__xludf.DUMMYFUNCTION("""COMPUTED_VALUE"""),"2.1kg")</f>
        <v>2.1kg</v>
      </c>
      <c r="M373" s="2">
        <f ca="1">IFERROR(__xludf.DUMMYFUNCTION("""COMPUTED_VALUE"""),426)</f>
        <v>426</v>
      </c>
    </row>
    <row r="374" spans="1:13">
      <c r="A374" s="2">
        <f ca="1">IFERROR(__xludf.DUMMYFUNCTION("""COMPUTED_VALUE"""),378)</f>
        <v>378</v>
      </c>
      <c r="B374" s="2" t="str">
        <f ca="1">IFERROR(__xludf.DUMMYFUNCTION("""COMPUTED_VALUE"""),"Asus")</f>
        <v>Asus</v>
      </c>
      <c r="C374" s="2" t="str">
        <f ca="1">IFERROR(__xludf.DUMMYFUNCTION("""COMPUTED_VALUE"""),"Rog Strix")</f>
        <v>Rog Strix</v>
      </c>
      <c r="D374" s="2" t="str">
        <f ca="1">IFERROR(__xludf.DUMMYFUNCTION("""COMPUTED_VALUE"""),"Gaming")</f>
        <v>Gaming</v>
      </c>
      <c r="E374" s="2">
        <f ca="1">IFERROR(__xludf.DUMMYFUNCTION("""COMPUTED_VALUE"""),17.3)</f>
        <v>17.3</v>
      </c>
      <c r="F374" s="2" t="str">
        <f ca="1">IFERROR(__xludf.DUMMYFUNCTION("""COMPUTED_VALUE"""),"IPS Panel Full HD 1920x1080")</f>
        <v>IPS Panel Full HD 1920x1080</v>
      </c>
      <c r="G374" s="2" t="str">
        <f ca="1">IFERROR(__xludf.DUMMYFUNCTION("""COMPUTED_VALUE"""),"AMD Ryzen 1700 3GHz")</f>
        <v>AMD Ryzen 1700 3GHz</v>
      </c>
      <c r="H374" s="2" t="str">
        <f ca="1">IFERROR(__xludf.DUMMYFUNCTION("""COMPUTED_VALUE"""),"16GB")</f>
        <v>16GB</v>
      </c>
      <c r="I374" s="2" t="str">
        <f ca="1">IFERROR(__xludf.DUMMYFUNCTION("""COMPUTED_VALUE"""),"256GB SSD +  1TB HDD")</f>
        <v>256GB SSD +  1TB HDD</v>
      </c>
      <c r="J374" s="2" t="str">
        <f ca="1">IFERROR(__xludf.DUMMYFUNCTION("""COMPUTED_VALUE"""),"AMD Radeon RX 580")</f>
        <v>AMD Radeon RX 580</v>
      </c>
      <c r="K374" s="2" t="str">
        <f ca="1">IFERROR(__xludf.DUMMYFUNCTION("""COMPUTED_VALUE"""),"Windows 10")</f>
        <v>Windows 10</v>
      </c>
      <c r="L374" s="2" t="str">
        <f ca="1">IFERROR(__xludf.DUMMYFUNCTION("""COMPUTED_VALUE"""),"3.25kg")</f>
        <v>3.25kg</v>
      </c>
      <c r="M374" s="2">
        <f ca="1">IFERROR(__xludf.DUMMYFUNCTION("""COMPUTED_VALUE"""),2199)</f>
        <v>2199</v>
      </c>
    </row>
    <row r="375" spans="1:13">
      <c r="A375" s="2">
        <f ca="1">IFERROR(__xludf.DUMMYFUNCTION("""COMPUTED_VALUE"""),379)</f>
        <v>379</v>
      </c>
      <c r="B375" s="2" t="str">
        <f ca="1">IFERROR(__xludf.DUMMYFUNCTION("""COMPUTED_VALUE"""),"Lenovo")</f>
        <v>Lenovo</v>
      </c>
      <c r="C375" s="2" t="str">
        <f ca="1">IFERROR(__xludf.DUMMYFUNCTION("""COMPUTED_VALUE"""),"IdeaPad 110-17ACL")</f>
        <v>IdeaPad 110-17ACL</v>
      </c>
      <c r="D375" s="2" t="str">
        <f ca="1">IFERROR(__xludf.DUMMYFUNCTION("""COMPUTED_VALUE"""),"Notebook")</f>
        <v>Notebook</v>
      </c>
      <c r="E375" s="2">
        <f ca="1">IFERROR(__xludf.DUMMYFUNCTION("""COMPUTED_VALUE"""),17.3)</f>
        <v>17.3</v>
      </c>
      <c r="F375" s="2" t="str">
        <f ca="1">IFERROR(__xludf.DUMMYFUNCTION("""COMPUTED_VALUE"""),"1600x900")</f>
        <v>1600x900</v>
      </c>
      <c r="G375" s="2" t="str">
        <f ca="1">IFERROR(__xludf.DUMMYFUNCTION("""COMPUTED_VALUE"""),"AMD A8-Series 7410 2.2GHz")</f>
        <v>AMD A8-Series 7410 2.2GHz</v>
      </c>
      <c r="H375" s="2" t="str">
        <f ca="1">IFERROR(__xludf.DUMMYFUNCTION("""COMPUTED_VALUE"""),"4GB")</f>
        <v>4GB</v>
      </c>
      <c r="I375" s="2" t="str">
        <f ca="1">IFERROR(__xludf.DUMMYFUNCTION("""COMPUTED_VALUE"""),"128GB SSD")</f>
        <v>128GB SSD</v>
      </c>
      <c r="J375" s="2" t="str">
        <f ca="1">IFERROR(__xludf.DUMMYFUNCTION("""COMPUTED_VALUE"""),"AMD Radeon R5")</f>
        <v>AMD Radeon R5</v>
      </c>
      <c r="K375" s="2" t="str">
        <f ca="1">IFERROR(__xludf.DUMMYFUNCTION("""COMPUTED_VALUE"""),"Windows 10")</f>
        <v>Windows 10</v>
      </c>
      <c r="L375" s="2" t="str">
        <f ca="1">IFERROR(__xludf.DUMMYFUNCTION("""COMPUTED_VALUE"""),"2.6kg")</f>
        <v>2.6kg</v>
      </c>
      <c r="M375" s="2">
        <f ca="1">IFERROR(__xludf.DUMMYFUNCTION("""COMPUTED_VALUE"""),489)</f>
        <v>489</v>
      </c>
    </row>
    <row r="376" spans="1:13">
      <c r="A376" s="2">
        <f ca="1">IFERROR(__xludf.DUMMYFUNCTION("""COMPUTED_VALUE"""),380)</f>
        <v>380</v>
      </c>
      <c r="B376" s="2" t="str">
        <f ca="1">IFERROR(__xludf.DUMMYFUNCTION("""COMPUTED_VALUE"""),"Dell")</f>
        <v>Dell</v>
      </c>
      <c r="C376" s="2" t="str">
        <f ca="1">IFERROR(__xludf.DUMMYFUNCTION("""COMPUTED_VALUE"""),"Inspiron 5379")</f>
        <v>Inspiron 5379</v>
      </c>
      <c r="D376" s="2" t="str">
        <f ca="1">IFERROR(__xludf.DUMMYFUNCTION("""COMPUTED_VALUE"""),"2 in 1 Convertible")</f>
        <v>2 in 1 Convertible</v>
      </c>
      <c r="E376" s="2">
        <f ca="1">IFERROR(__xludf.DUMMYFUNCTION("""COMPUTED_VALUE"""),13.3)</f>
        <v>13.3</v>
      </c>
      <c r="F376" s="2" t="str">
        <f ca="1">IFERROR(__xludf.DUMMYFUNCTION("""COMPUTED_VALUE"""),"Full HD / Touchscreen 1920x1080")</f>
        <v>Full HD / Touchscreen 1920x1080</v>
      </c>
      <c r="G376" s="2" t="str">
        <f ca="1">IFERROR(__xludf.DUMMYFUNCTION("""COMPUTED_VALUE"""),"Intel Core i7 8550U 1.8GHz")</f>
        <v>Intel Core i7 8550U 1.8GHz</v>
      </c>
      <c r="H376" s="2" t="str">
        <f ca="1">IFERROR(__xludf.DUMMYFUNCTION("""COMPUTED_VALUE"""),"8GB")</f>
        <v>8GB</v>
      </c>
      <c r="I376" s="2" t="str">
        <f ca="1">IFERROR(__xludf.DUMMYFUNCTION("""COMPUTED_VALUE"""),"256GB SSD")</f>
        <v>256GB SSD</v>
      </c>
      <c r="J376" s="2" t="str">
        <f ca="1">IFERROR(__xludf.DUMMYFUNCTION("""COMPUTED_VALUE"""),"Intel UHD Graphics 620")</f>
        <v>Intel UHD Graphics 620</v>
      </c>
      <c r="K376" s="2" t="str">
        <f ca="1">IFERROR(__xludf.DUMMYFUNCTION("""COMPUTED_VALUE"""),"Windows 10")</f>
        <v>Windows 10</v>
      </c>
      <c r="L376" s="2" t="str">
        <f ca="1">IFERROR(__xludf.DUMMYFUNCTION("""COMPUTED_VALUE"""),"1.62kg")</f>
        <v>1.62kg</v>
      </c>
      <c r="M376" s="2">
        <f ca="1">IFERROR(__xludf.DUMMYFUNCTION("""COMPUTED_VALUE"""),869.01)</f>
        <v>869.01</v>
      </c>
    </row>
    <row r="377" spans="1:13">
      <c r="A377" s="2">
        <f ca="1">IFERROR(__xludf.DUMMYFUNCTION("""COMPUTED_VALUE"""),381)</f>
        <v>381</v>
      </c>
      <c r="B377" s="2" t="str">
        <f ca="1">IFERROR(__xludf.DUMMYFUNCTION("""COMPUTED_VALUE"""),"HP")</f>
        <v>HP</v>
      </c>
      <c r="C377" s="2" t="str">
        <f ca="1">IFERROR(__xludf.DUMMYFUNCTION("""COMPUTED_VALUE"""),"15-bw003nv (A9-Series-9420/4GB/256GB/FHD/W10)")</f>
        <v>15-bw003nv (A9-Series-9420/4GB/256GB/FHD/W10)</v>
      </c>
      <c r="D377" s="2" t="str">
        <f ca="1">IFERROR(__xludf.DUMMYFUNCTION("""COMPUTED_VALUE"""),"Notebook")</f>
        <v>Notebook</v>
      </c>
      <c r="E377" s="2">
        <f ca="1">IFERROR(__xludf.DUMMYFUNCTION("""COMPUTED_VALUE"""),15.6)</f>
        <v>15.6</v>
      </c>
      <c r="F377" s="2" t="str">
        <f ca="1">IFERROR(__xludf.DUMMYFUNCTION("""COMPUTED_VALUE"""),"Full HD 1920x1080")</f>
        <v>Full HD 1920x1080</v>
      </c>
      <c r="G377" s="2" t="str">
        <f ca="1">IFERROR(__xludf.DUMMYFUNCTION("""COMPUTED_VALUE"""),"AMD A9-Series 9420 3GHz")</f>
        <v>AMD A9-Series 9420 3GHz</v>
      </c>
      <c r="H377" s="2" t="str">
        <f ca="1">IFERROR(__xludf.DUMMYFUNCTION("""COMPUTED_VALUE"""),"4GB")</f>
        <v>4GB</v>
      </c>
      <c r="I377" s="2" t="str">
        <f ca="1">IFERROR(__xludf.DUMMYFUNCTION("""COMPUTED_VALUE"""),"256GB SSD")</f>
        <v>256GB SSD</v>
      </c>
      <c r="J377" s="2" t="str">
        <f ca="1">IFERROR(__xludf.DUMMYFUNCTION("""COMPUTED_VALUE"""),"AMD Radeon R5")</f>
        <v>AMD Radeon R5</v>
      </c>
      <c r="K377" s="2" t="str">
        <f ca="1">IFERROR(__xludf.DUMMYFUNCTION("""COMPUTED_VALUE"""),"Windows 10")</f>
        <v>Windows 10</v>
      </c>
      <c r="L377" s="2" t="str">
        <f ca="1">IFERROR(__xludf.DUMMYFUNCTION("""COMPUTED_VALUE"""),"1.91kg")</f>
        <v>1.91kg</v>
      </c>
      <c r="M377" s="2">
        <f ca="1">IFERROR(__xludf.DUMMYFUNCTION("""COMPUTED_VALUE"""),488.99)</f>
        <v>488.99</v>
      </c>
    </row>
    <row r="378" spans="1:13">
      <c r="A378" s="2">
        <f ca="1">IFERROR(__xludf.DUMMYFUNCTION("""COMPUTED_VALUE"""),382)</f>
        <v>382</v>
      </c>
      <c r="B378" s="2" t="str">
        <f ca="1">IFERROR(__xludf.DUMMYFUNCTION("""COMPUTED_VALUE"""),"Lenovo")</f>
        <v>Lenovo</v>
      </c>
      <c r="C378" s="2" t="str">
        <f ca="1">IFERROR(__xludf.DUMMYFUNCTION("""COMPUTED_VALUE"""),"Yoga 11e")</f>
        <v>Yoga 11e</v>
      </c>
      <c r="D378" s="2" t="str">
        <f ca="1">IFERROR(__xludf.DUMMYFUNCTION("""COMPUTED_VALUE"""),"Netbook")</f>
        <v>Netbook</v>
      </c>
      <c r="E378" s="2">
        <f ca="1">IFERROR(__xludf.DUMMYFUNCTION("""COMPUTED_VALUE"""),11.6)</f>
        <v>11.6</v>
      </c>
      <c r="F378" s="2" t="str">
        <f ca="1">IFERROR(__xludf.DUMMYFUNCTION("""COMPUTED_VALUE"""),"IPS Panel 1366x768")</f>
        <v>IPS Panel 1366x768</v>
      </c>
      <c r="G378" s="2" t="str">
        <f ca="1">IFERROR(__xludf.DUMMYFUNCTION("""COMPUTED_VALUE"""),"Intel Celeron Quad Core N3450 1.1GHz")</f>
        <v>Intel Celeron Quad Core N3450 1.1GHz</v>
      </c>
      <c r="H378" s="2" t="str">
        <f ca="1">IFERROR(__xludf.DUMMYFUNCTION("""COMPUTED_VALUE"""),"4GB")</f>
        <v>4GB</v>
      </c>
      <c r="I378" s="2" t="str">
        <f ca="1">IFERROR(__xludf.DUMMYFUNCTION("""COMPUTED_VALUE"""),"128GB SSD")</f>
        <v>128GB SSD</v>
      </c>
      <c r="J378" s="2" t="str">
        <f ca="1">IFERROR(__xludf.DUMMYFUNCTION("""COMPUTED_VALUE"""),"Intel HD Graphics 500")</f>
        <v>Intel HD Graphics 500</v>
      </c>
      <c r="K378" s="2" t="str">
        <f ca="1">IFERROR(__xludf.DUMMYFUNCTION("""COMPUTED_VALUE"""),"Windows 10")</f>
        <v>Windows 10</v>
      </c>
      <c r="L378" s="2" t="str">
        <f ca="1">IFERROR(__xludf.DUMMYFUNCTION("""COMPUTED_VALUE"""),"1.59kg")</f>
        <v>1.59kg</v>
      </c>
      <c r="M378" s="2">
        <f ca="1">IFERROR(__xludf.DUMMYFUNCTION("""COMPUTED_VALUE"""),553)</f>
        <v>553</v>
      </c>
    </row>
    <row r="379" spans="1:13">
      <c r="A379" s="2">
        <f ca="1">IFERROR(__xludf.DUMMYFUNCTION("""COMPUTED_VALUE"""),383)</f>
        <v>383</v>
      </c>
      <c r="B379" s="2" t="str">
        <f ca="1">IFERROR(__xludf.DUMMYFUNCTION("""COMPUTED_VALUE"""),"Dell")</f>
        <v>Dell</v>
      </c>
      <c r="C379" s="2" t="str">
        <f ca="1">IFERROR(__xludf.DUMMYFUNCTION("""COMPUTED_VALUE"""),"Inspiron 3552")</f>
        <v>Inspiron 3552</v>
      </c>
      <c r="D379" s="2" t="str">
        <f ca="1">IFERROR(__xludf.DUMMYFUNCTION("""COMPUTED_VALUE"""),"Notebook")</f>
        <v>Notebook</v>
      </c>
      <c r="E379" s="2">
        <f ca="1">IFERROR(__xludf.DUMMYFUNCTION("""COMPUTED_VALUE"""),15.6)</f>
        <v>15.6</v>
      </c>
      <c r="F379" s="2" t="str">
        <f ca="1">IFERROR(__xludf.DUMMYFUNCTION("""COMPUTED_VALUE"""),"1366x768")</f>
        <v>1366x768</v>
      </c>
      <c r="G379" s="2" t="str">
        <f ca="1">IFERROR(__xludf.DUMMYFUNCTION("""COMPUTED_VALUE"""),"Intel Celeron Dual Core N3060 1.60GHz")</f>
        <v>Intel Celeron Dual Core N3060 1.60GHz</v>
      </c>
      <c r="H379" s="2" t="str">
        <f ca="1">IFERROR(__xludf.DUMMYFUNCTION("""COMPUTED_VALUE"""),"4GB")</f>
        <v>4GB</v>
      </c>
      <c r="I379" s="2" t="str">
        <f ca="1">IFERROR(__xludf.DUMMYFUNCTION("""COMPUTED_VALUE"""),"500GB HDD")</f>
        <v>500GB HDD</v>
      </c>
      <c r="J379" s="2" t="str">
        <f ca="1">IFERROR(__xludf.DUMMYFUNCTION("""COMPUTED_VALUE"""),"Intel HD Graphics 400")</f>
        <v>Intel HD Graphics 400</v>
      </c>
      <c r="K379" s="2" t="str">
        <f ca="1">IFERROR(__xludf.DUMMYFUNCTION("""COMPUTED_VALUE"""),"Windows 10")</f>
        <v>Windows 10</v>
      </c>
      <c r="L379" s="2" t="str">
        <f ca="1">IFERROR(__xludf.DUMMYFUNCTION("""COMPUTED_VALUE"""),"1.8kg")</f>
        <v>1.8kg</v>
      </c>
      <c r="M379" s="2">
        <f ca="1">IFERROR(__xludf.DUMMYFUNCTION("""COMPUTED_VALUE"""),309)</f>
        <v>309</v>
      </c>
    </row>
    <row r="380" spans="1:13">
      <c r="A380" s="2">
        <f ca="1">IFERROR(__xludf.DUMMYFUNCTION("""COMPUTED_VALUE"""),384)</f>
        <v>384</v>
      </c>
      <c r="B380" s="2" t="str">
        <f ca="1">IFERROR(__xludf.DUMMYFUNCTION("""COMPUTED_VALUE"""),"Asus")</f>
        <v>Asus</v>
      </c>
      <c r="C380" s="2" t="str">
        <f ca="1">IFERROR(__xludf.DUMMYFUNCTION("""COMPUTED_VALUE"""),"VivoBook E403NA")</f>
        <v>VivoBook E403NA</v>
      </c>
      <c r="D380" s="2" t="str">
        <f ca="1">IFERROR(__xludf.DUMMYFUNCTION("""COMPUTED_VALUE"""),"Notebook")</f>
        <v>Notebook</v>
      </c>
      <c r="E380" s="2">
        <f ca="1">IFERROR(__xludf.DUMMYFUNCTION("""COMPUTED_VALUE"""),14)</f>
        <v>14</v>
      </c>
      <c r="F380" s="2" t="str">
        <f ca="1">IFERROR(__xludf.DUMMYFUNCTION("""COMPUTED_VALUE"""),"1366x768")</f>
        <v>1366x768</v>
      </c>
      <c r="G380" s="2" t="str">
        <f ca="1">IFERROR(__xludf.DUMMYFUNCTION("""COMPUTED_VALUE"""),"Intel Celeron Dual Core N3350 1.1GHz")</f>
        <v>Intel Celeron Dual Core N3350 1.1GHz</v>
      </c>
      <c r="H380" s="2" t="str">
        <f ca="1">IFERROR(__xludf.DUMMYFUNCTION("""COMPUTED_VALUE"""),"4GB")</f>
        <v>4GB</v>
      </c>
      <c r="I380" s="2" t="str">
        <f ca="1">IFERROR(__xludf.DUMMYFUNCTION("""COMPUTED_VALUE"""),"32GB Flash Storage")</f>
        <v>32GB Flash Storage</v>
      </c>
      <c r="J380" s="2" t="str">
        <f ca="1">IFERROR(__xludf.DUMMYFUNCTION("""COMPUTED_VALUE"""),"Intel HD Graphics 500")</f>
        <v>Intel HD Graphics 500</v>
      </c>
      <c r="K380" s="2" t="str">
        <f ca="1">IFERROR(__xludf.DUMMYFUNCTION("""COMPUTED_VALUE"""),"Windows 10")</f>
        <v>Windows 10</v>
      </c>
      <c r="L380" s="2" t="str">
        <f ca="1">IFERROR(__xludf.DUMMYFUNCTION("""COMPUTED_VALUE"""),"1.5kg")</f>
        <v>1.5kg</v>
      </c>
      <c r="M380" s="2">
        <f ca="1">IFERROR(__xludf.DUMMYFUNCTION("""COMPUTED_VALUE"""),286)</f>
        <v>286</v>
      </c>
    </row>
    <row r="381" spans="1:13">
      <c r="A381" s="2">
        <f ca="1">IFERROR(__xludf.DUMMYFUNCTION("""COMPUTED_VALUE"""),385)</f>
        <v>385</v>
      </c>
      <c r="B381" s="2" t="str">
        <f ca="1">IFERROR(__xludf.DUMMYFUNCTION("""COMPUTED_VALUE"""),"Acer")</f>
        <v>Acer</v>
      </c>
      <c r="C381" s="2" t="str">
        <f ca="1">IFERROR(__xludf.DUMMYFUNCTION("""COMPUTED_VALUE"""),"Aspire 7")</f>
        <v>Aspire 7</v>
      </c>
      <c r="D381" s="2" t="str">
        <f ca="1">IFERROR(__xludf.DUMMYFUNCTION("""COMPUTED_VALUE"""),"Notebook")</f>
        <v>Notebook</v>
      </c>
      <c r="E381" s="2">
        <f ca="1">IFERROR(__xludf.DUMMYFUNCTION("""COMPUTED_VALUE"""),15.6)</f>
        <v>15.6</v>
      </c>
      <c r="F381" s="2" t="str">
        <f ca="1">IFERROR(__xludf.DUMMYFUNCTION("""COMPUTED_VALUE"""),"Full HD 1920x1080")</f>
        <v>Full HD 1920x1080</v>
      </c>
      <c r="G381" s="2" t="str">
        <f ca="1">IFERROR(__xludf.DUMMYFUNCTION("""COMPUTED_VALUE"""),"Intel Core i7 7700HQ 2.8GHz")</f>
        <v>Intel Core i7 7700HQ 2.8GHz</v>
      </c>
      <c r="H381" s="2" t="str">
        <f ca="1">IFERROR(__xludf.DUMMYFUNCTION("""COMPUTED_VALUE"""),"8GB")</f>
        <v>8GB</v>
      </c>
      <c r="I381" s="2" t="str">
        <f ca="1">IFERROR(__xludf.DUMMYFUNCTION("""COMPUTED_VALUE"""),"1TB HDD")</f>
        <v>1TB HDD</v>
      </c>
      <c r="J381" s="2" t="str">
        <f ca="1">IFERROR(__xludf.DUMMYFUNCTION("""COMPUTED_VALUE"""),"Nvidia GeForce GTX 1050")</f>
        <v>Nvidia GeForce GTX 1050</v>
      </c>
      <c r="K381" s="2" t="str">
        <f ca="1">IFERROR(__xludf.DUMMYFUNCTION("""COMPUTED_VALUE"""),"Linux")</f>
        <v>Linux</v>
      </c>
      <c r="L381" s="2" t="str">
        <f ca="1">IFERROR(__xludf.DUMMYFUNCTION("""COMPUTED_VALUE"""),"2.4kg")</f>
        <v>2.4kg</v>
      </c>
      <c r="M381" s="2">
        <f ca="1">IFERROR(__xludf.DUMMYFUNCTION("""COMPUTED_VALUE"""),846)</f>
        <v>846</v>
      </c>
    </row>
    <row r="382" spans="1:13">
      <c r="A382" s="2">
        <f ca="1">IFERROR(__xludf.DUMMYFUNCTION("""COMPUTED_VALUE"""),386)</f>
        <v>386</v>
      </c>
      <c r="B382" s="2" t="str">
        <f ca="1">IFERROR(__xludf.DUMMYFUNCTION("""COMPUTED_VALUE"""),"HP")</f>
        <v>HP</v>
      </c>
      <c r="C382" s="2" t="str">
        <f ca="1">IFERROR(__xludf.DUMMYFUNCTION("""COMPUTED_VALUE"""),"Omen 17-w212nv")</f>
        <v>Omen 17-w212nv</v>
      </c>
      <c r="D382" s="2" t="str">
        <f ca="1">IFERROR(__xludf.DUMMYFUNCTION("""COMPUTED_VALUE"""),"Gaming")</f>
        <v>Gaming</v>
      </c>
      <c r="E382" s="2">
        <f ca="1">IFERROR(__xludf.DUMMYFUNCTION("""COMPUTED_VALUE"""),17.3)</f>
        <v>17.3</v>
      </c>
      <c r="F382" s="2" t="str">
        <f ca="1">IFERROR(__xludf.DUMMYFUNCTION("""COMPUTED_VALUE"""),"IPS Panel Full HD 1920x1080")</f>
        <v>IPS Panel Full HD 1920x1080</v>
      </c>
      <c r="G382" s="2" t="str">
        <f ca="1">IFERROR(__xludf.DUMMYFUNCTION("""COMPUTED_VALUE"""),"Intel Core i7 7700HQ 2.8GHz")</f>
        <v>Intel Core i7 7700HQ 2.8GHz</v>
      </c>
      <c r="H382" s="2" t="str">
        <f ca="1">IFERROR(__xludf.DUMMYFUNCTION("""COMPUTED_VALUE"""),"8GB")</f>
        <v>8GB</v>
      </c>
      <c r="I382" s="2" t="str">
        <f ca="1">IFERROR(__xludf.DUMMYFUNCTION("""COMPUTED_VALUE"""),"128GB SSD +  1TB HDD")</f>
        <v>128GB SSD +  1TB HDD</v>
      </c>
      <c r="J382" s="2" t="str">
        <f ca="1">IFERROR(__xludf.DUMMYFUNCTION("""COMPUTED_VALUE"""),"Nvidia GeForce GTX 1050")</f>
        <v>Nvidia GeForce GTX 1050</v>
      </c>
      <c r="K382" s="2" t="str">
        <f ca="1">IFERROR(__xludf.DUMMYFUNCTION("""COMPUTED_VALUE"""),"Windows 10")</f>
        <v>Windows 10</v>
      </c>
      <c r="L382" s="2" t="str">
        <f ca="1">IFERROR(__xludf.DUMMYFUNCTION("""COMPUTED_VALUE"""),"3.35kg")</f>
        <v>3.35kg</v>
      </c>
      <c r="M382" s="2">
        <f ca="1">IFERROR(__xludf.DUMMYFUNCTION("""COMPUTED_VALUE"""),1191)</f>
        <v>1191</v>
      </c>
    </row>
    <row r="383" spans="1:13">
      <c r="A383" s="2">
        <f ca="1">IFERROR(__xludf.DUMMYFUNCTION("""COMPUTED_VALUE"""),387)</f>
        <v>387</v>
      </c>
      <c r="B383" s="2" t="str">
        <f ca="1">IFERROR(__xludf.DUMMYFUNCTION("""COMPUTED_VALUE"""),"Lenovo")</f>
        <v>Lenovo</v>
      </c>
      <c r="C383" s="2" t="str">
        <f ca="1">IFERROR(__xludf.DUMMYFUNCTION("""COMPUTED_VALUE"""),"V310-15ISK (i3-6006U/4GB/128GB/FHD/No")</f>
        <v>V310-15ISK (i3-6006U/4GB/128GB/FHD/No</v>
      </c>
      <c r="D383" s="2" t="str">
        <f ca="1">IFERROR(__xludf.DUMMYFUNCTION("""COMPUTED_VALUE"""),"Notebook")</f>
        <v>Notebook</v>
      </c>
      <c r="E383" s="2">
        <f ca="1">IFERROR(__xludf.DUMMYFUNCTION("""COMPUTED_VALUE"""),15.6)</f>
        <v>15.6</v>
      </c>
      <c r="F383" s="2" t="str">
        <f ca="1">IFERROR(__xludf.DUMMYFUNCTION("""COMPUTED_VALUE"""),"Full HD 1920x1080")</f>
        <v>Full HD 1920x1080</v>
      </c>
      <c r="G383" s="2" t="str">
        <f ca="1">IFERROR(__xludf.DUMMYFUNCTION("""COMPUTED_VALUE"""),"Intel Core i3 6006U 2GHz")</f>
        <v>Intel Core i3 6006U 2GHz</v>
      </c>
      <c r="H383" s="2" t="str">
        <f ca="1">IFERROR(__xludf.DUMMYFUNCTION("""COMPUTED_VALUE"""),"4GB")</f>
        <v>4GB</v>
      </c>
      <c r="I383" s="2" t="str">
        <f ca="1">IFERROR(__xludf.DUMMYFUNCTION("""COMPUTED_VALUE"""),"128GB SSD")</f>
        <v>128GB SSD</v>
      </c>
      <c r="J383" s="2" t="str">
        <f ca="1">IFERROR(__xludf.DUMMYFUNCTION("""COMPUTED_VALUE"""),"Intel HD Graphics 520")</f>
        <v>Intel HD Graphics 520</v>
      </c>
      <c r="K383" s="2" t="str">
        <f ca="1">IFERROR(__xludf.DUMMYFUNCTION("""COMPUTED_VALUE"""),"No OS")</f>
        <v>No OS</v>
      </c>
      <c r="L383" s="2" t="str">
        <f ca="1">IFERROR(__xludf.DUMMYFUNCTION("""COMPUTED_VALUE"""),"1.85kg")</f>
        <v>1.85kg</v>
      </c>
      <c r="M383" s="2">
        <f ca="1">IFERROR(__xludf.DUMMYFUNCTION("""COMPUTED_VALUE"""),403.5)</f>
        <v>403.5</v>
      </c>
    </row>
    <row r="384" spans="1:13">
      <c r="A384" s="2">
        <f ca="1">IFERROR(__xludf.DUMMYFUNCTION("""COMPUTED_VALUE"""),388)</f>
        <v>388</v>
      </c>
      <c r="B384" s="2" t="str">
        <f ca="1">IFERROR(__xludf.DUMMYFUNCTION("""COMPUTED_VALUE"""),"Asus")</f>
        <v>Asus</v>
      </c>
      <c r="C384" s="2" t="str">
        <f ca="1">IFERROR(__xludf.DUMMYFUNCTION("""COMPUTED_VALUE"""),"ROG Strix")</f>
        <v>ROG Strix</v>
      </c>
      <c r="D384" s="2" t="str">
        <f ca="1">IFERROR(__xludf.DUMMYFUNCTION("""COMPUTED_VALUE"""),"Gaming")</f>
        <v>Gaming</v>
      </c>
      <c r="E384" s="2">
        <f ca="1">IFERROR(__xludf.DUMMYFUNCTION("""COMPUTED_VALUE"""),15.6)</f>
        <v>15.6</v>
      </c>
      <c r="F384" s="2" t="str">
        <f ca="1">IFERROR(__xludf.DUMMYFUNCTION("""COMPUTED_VALUE"""),"IPS Panel Full HD 1920x1080")</f>
        <v>IPS Panel Full HD 1920x1080</v>
      </c>
      <c r="G384" s="2" t="str">
        <f ca="1">IFERROR(__xludf.DUMMYFUNCTION("""COMPUTED_VALUE"""),"Intel Core i7 7700HQ 2.8GHz")</f>
        <v>Intel Core i7 7700HQ 2.8GHz</v>
      </c>
      <c r="H384" s="2" t="str">
        <f ca="1">IFERROR(__xludf.DUMMYFUNCTION("""COMPUTED_VALUE"""),"8GB")</f>
        <v>8GB</v>
      </c>
      <c r="I384" s="2" t="str">
        <f ca="1">IFERROR(__xludf.DUMMYFUNCTION("""COMPUTED_VALUE"""),"128GB SSD +  1TB HDD")</f>
        <v>128GB SSD +  1TB HDD</v>
      </c>
      <c r="J384" s="2" t="str">
        <f ca="1">IFERROR(__xludf.DUMMYFUNCTION("""COMPUTED_VALUE"""),"Nvidia GeForce GTX 1060")</f>
        <v>Nvidia GeForce GTX 1060</v>
      </c>
      <c r="K384" s="2" t="str">
        <f ca="1">IFERROR(__xludf.DUMMYFUNCTION("""COMPUTED_VALUE"""),"Windows 10")</f>
        <v>Windows 10</v>
      </c>
      <c r="L384" s="2" t="str">
        <f ca="1">IFERROR(__xludf.DUMMYFUNCTION("""COMPUTED_VALUE"""),"2.3kg")</f>
        <v>2.3kg</v>
      </c>
      <c r="M384" s="2">
        <f ca="1">IFERROR(__xludf.DUMMYFUNCTION("""COMPUTED_VALUE"""),1655)</f>
        <v>1655</v>
      </c>
    </row>
    <row r="385" spans="1:13">
      <c r="A385" s="2">
        <f ca="1">IFERROR(__xludf.DUMMYFUNCTION("""COMPUTED_VALUE"""),389)</f>
        <v>389</v>
      </c>
      <c r="B385" s="2" t="str">
        <f ca="1">IFERROR(__xludf.DUMMYFUNCTION("""COMPUTED_VALUE"""),"Lenovo")</f>
        <v>Lenovo</v>
      </c>
      <c r="C385" s="2" t="str">
        <f ca="1">IFERROR(__xludf.DUMMYFUNCTION("""COMPUTED_VALUE"""),"IdeaPad 720S-14IKB")</f>
        <v>IdeaPad 720S-14IKB</v>
      </c>
      <c r="D385" s="2" t="str">
        <f ca="1">IFERROR(__xludf.DUMMYFUNCTION("""COMPUTED_VALUE"""),"Notebook")</f>
        <v>Notebook</v>
      </c>
      <c r="E385" s="2">
        <f ca="1">IFERROR(__xludf.DUMMYFUNCTION("""COMPUTED_VALUE"""),14)</f>
        <v>14</v>
      </c>
      <c r="F385" s="2" t="str">
        <f ca="1">IFERROR(__xludf.DUMMYFUNCTION("""COMPUTED_VALUE"""),"IPS Panel Full HD 1920x1080")</f>
        <v>IPS Panel Full HD 1920x1080</v>
      </c>
      <c r="G385" s="2" t="str">
        <f ca="1">IFERROR(__xludf.DUMMYFUNCTION("""COMPUTED_VALUE"""),"Intel Core i5 7200U 2.5GHz")</f>
        <v>Intel Core i5 7200U 2.5GHz</v>
      </c>
      <c r="H385" s="2" t="str">
        <f ca="1">IFERROR(__xludf.DUMMYFUNCTION("""COMPUTED_VALUE"""),"8GB")</f>
        <v>8GB</v>
      </c>
      <c r="I385" s="2" t="str">
        <f ca="1">IFERROR(__xludf.DUMMYFUNCTION("""COMPUTED_VALUE"""),"256GB SSD")</f>
        <v>256GB SSD</v>
      </c>
      <c r="J385" s="2" t="str">
        <f ca="1">IFERROR(__xludf.DUMMYFUNCTION("""COMPUTED_VALUE"""),"Nvidia GeForce 940MX")</f>
        <v>Nvidia GeForce 940MX</v>
      </c>
      <c r="K385" s="2" t="str">
        <f ca="1">IFERROR(__xludf.DUMMYFUNCTION("""COMPUTED_VALUE"""),"Windows 10")</f>
        <v>Windows 10</v>
      </c>
      <c r="L385" s="2" t="str">
        <f ca="1">IFERROR(__xludf.DUMMYFUNCTION("""COMPUTED_VALUE"""),"1.5kg")</f>
        <v>1.5kg</v>
      </c>
      <c r="M385" s="2">
        <f ca="1">IFERROR(__xludf.DUMMYFUNCTION("""COMPUTED_VALUE"""),1099)</f>
        <v>1099</v>
      </c>
    </row>
    <row r="386" spans="1:13">
      <c r="A386" s="2">
        <f ca="1">IFERROR(__xludf.DUMMYFUNCTION("""COMPUTED_VALUE"""),390)</f>
        <v>390</v>
      </c>
      <c r="B386" s="2" t="str">
        <f ca="1">IFERROR(__xludf.DUMMYFUNCTION("""COMPUTED_VALUE"""),"Asus")</f>
        <v>Asus</v>
      </c>
      <c r="C386" s="2" t="str">
        <f ca="1">IFERROR(__xludf.DUMMYFUNCTION("""COMPUTED_VALUE"""),"Zenbook Flip")</f>
        <v>Zenbook Flip</v>
      </c>
      <c r="D386" s="2" t="str">
        <f ca="1">IFERROR(__xludf.DUMMYFUNCTION("""COMPUTED_VALUE"""),"Ultrabook")</f>
        <v>Ultrabook</v>
      </c>
      <c r="E386" s="2">
        <f ca="1">IFERROR(__xludf.DUMMYFUNCTION("""COMPUTED_VALUE"""),13.3)</f>
        <v>13.3</v>
      </c>
      <c r="F386" s="2" t="str">
        <f ca="1">IFERROR(__xludf.DUMMYFUNCTION("""COMPUTED_VALUE"""),"Full HD / Touchscreen 1920x1080")</f>
        <v>Full HD / Touchscreen 1920x1080</v>
      </c>
      <c r="G386" s="2" t="str">
        <f ca="1">IFERROR(__xludf.DUMMYFUNCTION("""COMPUTED_VALUE"""),"Intel Core i7 7500U 2.7GHz")</f>
        <v>Intel Core i7 7500U 2.7GHz</v>
      </c>
      <c r="H386" s="2" t="str">
        <f ca="1">IFERROR(__xludf.DUMMYFUNCTION("""COMPUTED_VALUE"""),"16GB")</f>
        <v>16GB</v>
      </c>
      <c r="I386" s="2" t="str">
        <f ca="1">IFERROR(__xludf.DUMMYFUNCTION("""COMPUTED_VALUE"""),"512GB SSD")</f>
        <v>512GB SSD</v>
      </c>
      <c r="J386" s="2" t="str">
        <f ca="1">IFERROR(__xludf.DUMMYFUNCTION("""COMPUTED_VALUE"""),"Intel HD Graphics 620")</f>
        <v>Intel HD Graphics 620</v>
      </c>
      <c r="K386" s="2" t="str">
        <f ca="1">IFERROR(__xludf.DUMMYFUNCTION("""COMPUTED_VALUE"""),"Windows 10")</f>
        <v>Windows 10</v>
      </c>
      <c r="L386" s="2" t="str">
        <f ca="1">IFERROR(__xludf.DUMMYFUNCTION("""COMPUTED_VALUE"""),"1.1kg")</f>
        <v>1.1kg</v>
      </c>
      <c r="M386" s="2">
        <f ca="1">IFERROR(__xludf.DUMMYFUNCTION("""COMPUTED_VALUE"""),1748.9)</f>
        <v>1748.9</v>
      </c>
    </row>
    <row r="387" spans="1:13">
      <c r="A387" s="2">
        <f ca="1">IFERROR(__xludf.DUMMYFUNCTION("""COMPUTED_VALUE"""),391)</f>
        <v>391</v>
      </c>
      <c r="B387" s="2" t="str">
        <f ca="1">IFERROR(__xludf.DUMMYFUNCTION("""COMPUTED_VALUE"""),"Lenovo")</f>
        <v>Lenovo</v>
      </c>
      <c r="C387" s="2" t="str">
        <f ca="1">IFERROR(__xludf.DUMMYFUNCTION("""COMPUTED_VALUE"""),"Thinkpad X1")</f>
        <v>Thinkpad X1</v>
      </c>
      <c r="D387" s="2" t="str">
        <f ca="1">IFERROR(__xludf.DUMMYFUNCTION("""COMPUTED_VALUE"""),"Ultrabook")</f>
        <v>Ultrabook</v>
      </c>
      <c r="E387" s="2">
        <f ca="1">IFERROR(__xludf.DUMMYFUNCTION("""COMPUTED_VALUE"""),14)</f>
        <v>14</v>
      </c>
      <c r="F387" s="2" t="str">
        <f ca="1">IFERROR(__xludf.DUMMYFUNCTION("""COMPUTED_VALUE"""),"IPS Panel 2560x1440")</f>
        <v>IPS Panel 2560x1440</v>
      </c>
      <c r="G387" s="2" t="str">
        <f ca="1">IFERROR(__xludf.DUMMYFUNCTION("""COMPUTED_VALUE"""),"Intel Core i7 7500U 2.7GHz")</f>
        <v>Intel Core i7 7500U 2.7GHz</v>
      </c>
      <c r="H387" s="2" t="str">
        <f ca="1">IFERROR(__xludf.DUMMYFUNCTION("""COMPUTED_VALUE"""),"8GB")</f>
        <v>8GB</v>
      </c>
      <c r="I387" s="2" t="str">
        <f ca="1">IFERROR(__xludf.DUMMYFUNCTION("""COMPUTED_VALUE"""),"512GB SSD")</f>
        <v>512GB SSD</v>
      </c>
      <c r="J387" s="2" t="str">
        <f ca="1">IFERROR(__xludf.DUMMYFUNCTION("""COMPUTED_VALUE"""),"Intel HD Graphics 620")</f>
        <v>Intel HD Graphics 620</v>
      </c>
      <c r="K387" s="2" t="str">
        <f ca="1">IFERROR(__xludf.DUMMYFUNCTION("""COMPUTED_VALUE"""),"Windows 10")</f>
        <v>Windows 10</v>
      </c>
      <c r="L387" s="2" t="str">
        <f ca="1">IFERROR(__xludf.DUMMYFUNCTION("""COMPUTED_VALUE"""),"1.13kg")</f>
        <v>1.13kg</v>
      </c>
      <c r="M387" s="2">
        <f ca="1">IFERROR(__xludf.DUMMYFUNCTION("""COMPUTED_VALUE"""),2282)</f>
        <v>2282</v>
      </c>
    </row>
    <row r="388" spans="1:13">
      <c r="A388" s="2">
        <f ca="1">IFERROR(__xludf.DUMMYFUNCTION("""COMPUTED_VALUE"""),392)</f>
        <v>392</v>
      </c>
      <c r="B388" s="2" t="str">
        <f ca="1">IFERROR(__xludf.DUMMYFUNCTION("""COMPUTED_VALUE"""),"Lenovo")</f>
        <v>Lenovo</v>
      </c>
      <c r="C388" s="2" t="str">
        <f ca="1">IFERROR(__xludf.DUMMYFUNCTION("""COMPUTED_VALUE"""),"Ideapad 510S-13IKB")</f>
        <v>Ideapad 510S-13IKB</v>
      </c>
      <c r="D388" s="2" t="str">
        <f ca="1">IFERROR(__xludf.DUMMYFUNCTION("""COMPUTED_VALUE"""),"Notebook")</f>
        <v>Notebook</v>
      </c>
      <c r="E388" s="2">
        <f ca="1">IFERROR(__xludf.DUMMYFUNCTION("""COMPUTED_VALUE"""),13.3)</f>
        <v>13.3</v>
      </c>
      <c r="F388" s="2" t="str">
        <f ca="1">IFERROR(__xludf.DUMMYFUNCTION("""COMPUTED_VALUE"""),"IPS Panel Full HD 1920x1080")</f>
        <v>IPS Panel Full HD 1920x1080</v>
      </c>
      <c r="G388" s="2" t="str">
        <f ca="1">IFERROR(__xludf.DUMMYFUNCTION("""COMPUTED_VALUE"""),"Intel Core i3 7100U 2.4GHz")</f>
        <v>Intel Core i3 7100U 2.4GHz</v>
      </c>
      <c r="H388" s="2" t="str">
        <f ca="1">IFERROR(__xludf.DUMMYFUNCTION("""COMPUTED_VALUE"""),"4GB")</f>
        <v>4GB</v>
      </c>
      <c r="I388" s="2" t="str">
        <f ca="1">IFERROR(__xludf.DUMMYFUNCTION("""COMPUTED_VALUE"""),"128GB SSD")</f>
        <v>128GB SSD</v>
      </c>
      <c r="J388" s="2" t="str">
        <f ca="1">IFERROR(__xludf.DUMMYFUNCTION("""COMPUTED_VALUE"""),"Intel HD Graphics 620")</f>
        <v>Intel HD Graphics 620</v>
      </c>
      <c r="K388" s="2" t="str">
        <f ca="1">IFERROR(__xludf.DUMMYFUNCTION("""COMPUTED_VALUE"""),"Windows 10")</f>
        <v>Windows 10</v>
      </c>
      <c r="L388" s="2" t="str">
        <f ca="1">IFERROR(__xludf.DUMMYFUNCTION("""COMPUTED_VALUE"""),"1.5kg")</f>
        <v>1.5kg</v>
      </c>
      <c r="M388" s="2">
        <f ca="1">IFERROR(__xludf.DUMMYFUNCTION("""COMPUTED_VALUE"""),549)</f>
        <v>549</v>
      </c>
    </row>
    <row r="389" spans="1:13">
      <c r="A389" s="2">
        <f ca="1">IFERROR(__xludf.DUMMYFUNCTION("""COMPUTED_VALUE"""),393)</f>
        <v>393</v>
      </c>
      <c r="B389" s="2" t="str">
        <f ca="1">IFERROR(__xludf.DUMMYFUNCTION("""COMPUTED_VALUE"""),"Dell")</f>
        <v>Dell</v>
      </c>
      <c r="C389" s="2" t="str">
        <f ca="1">IFERROR(__xludf.DUMMYFUNCTION("""COMPUTED_VALUE"""),"Precision 3510")</f>
        <v>Precision 3510</v>
      </c>
      <c r="D389" s="2" t="str">
        <f ca="1">IFERROR(__xludf.DUMMYFUNCTION("""COMPUTED_VALUE"""),"Workstation")</f>
        <v>Workstation</v>
      </c>
      <c r="E389" s="2">
        <f ca="1">IFERROR(__xludf.DUMMYFUNCTION("""COMPUTED_VALUE"""),15.6)</f>
        <v>15.6</v>
      </c>
      <c r="F389" s="2" t="str">
        <f ca="1">IFERROR(__xludf.DUMMYFUNCTION("""COMPUTED_VALUE"""),"Full HD 1920x1080")</f>
        <v>Full HD 1920x1080</v>
      </c>
      <c r="G389" s="2" t="str">
        <f ca="1">IFERROR(__xludf.DUMMYFUNCTION("""COMPUTED_VALUE"""),"Intel Core i5 6440HQ 2.6GHz")</f>
        <v>Intel Core i5 6440HQ 2.6GHz</v>
      </c>
      <c r="H389" s="2" t="str">
        <f ca="1">IFERROR(__xludf.DUMMYFUNCTION("""COMPUTED_VALUE"""),"8GB")</f>
        <v>8GB</v>
      </c>
      <c r="I389" s="2" t="str">
        <f ca="1">IFERROR(__xludf.DUMMYFUNCTION("""COMPUTED_VALUE"""),"500GB HDD")</f>
        <v>500GB HDD</v>
      </c>
      <c r="J389" s="2" t="str">
        <f ca="1">IFERROR(__xludf.DUMMYFUNCTION("""COMPUTED_VALUE"""),"AMD FirePro W5130M")</f>
        <v>AMD FirePro W5130M</v>
      </c>
      <c r="K389" s="2" t="str">
        <f ca="1">IFERROR(__xludf.DUMMYFUNCTION("""COMPUTED_VALUE"""),"Windows 10")</f>
        <v>Windows 10</v>
      </c>
      <c r="L389" s="2" t="str">
        <f ca="1">IFERROR(__xludf.DUMMYFUNCTION("""COMPUTED_VALUE"""),"2.23kg")</f>
        <v>2.23kg</v>
      </c>
      <c r="M389" s="2">
        <f ca="1">IFERROR(__xludf.DUMMYFUNCTION("""COMPUTED_VALUE"""),1369)</f>
        <v>1369</v>
      </c>
    </row>
    <row r="390" spans="1:13">
      <c r="A390" s="2">
        <f ca="1">IFERROR(__xludf.DUMMYFUNCTION("""COMPUTED_VALUE"""),394)</f>
        <v>394</v>
      </c>
      <c r="B390" s="2" t="str">
        <f ca="1">IFERROR(__xludf.DUMMYFUNCTION("""COMPUTED_VALUE"""),"Dell")</f>
        <v>Dell</v>
      </c>
      <c r="C390" s="2" t="str">
        <f ca="1">IFERROR(__xludf.DUMMYFUNCTION("""COMPUTED_VALUE"""),"Precision 5520")</f>
        <v>Precision 5520</v>
      </c>
      <c r="D390" s="2" t="str">
        <f ca="1">IFERROR(__xludf.DUMMYFUNCTION("""COMPUTED_VALUE"""),"Workstation")</f>
        <v>Workstation</v>
      </c>
      <c r="E390" s="2">
        <f ca="1">IFERROR(__xludf.DUMMYFUNCTION("""COMPUTED_VALUE"""),15.6)</f>
        <v>15.6</v>
      </c>
      <c r="F390" s="2" t="str">
        <f ca="1">IFERROR(__xludf.DUMMYFUNCTION("""COMPUTED_VALUE"""),"IPS Panel Full HD 1920x1080")</f>
        <v>IPS Panel Full HD 1920x1080</v>
      </c>
      <c r="G390" s="2" t="str">
        <f ca="1">IFERROR(__xludf.DUMMYFUNCTION("""COMPUTED_VALUE"""),"Intel Core i7 6820HQ 2.7GHz")</f>
        <v>Intel Core i7 6820HQ 2.7GHz</v>
      </c>
      <c r="H390" s="2" t="str">
        <f ca="1">IFERROR(__xludf.DUMMYFUNCTION("""COMPUTED_VALUE"""),"8GB")</f>
        <v>8GB</v>
      </c>
      <c r="I390" s="2" t="str">
        <f ca="1">IFERROR(__xludf.DUMMYFUNCTION("""COMPUTED_VALUE"""),"256GB SSD")</f>
        <v>256GB SSD</v>
      </c>
      <c r="J390" s="2" t="str">
        <f ca="1">IFERROR(__xludf.DUMMYFUNCTION("""COMPUTED_VALUE"""),"Nvidia Quadro M1200")</f>
        <v>Nvidia Quadro M1200</v>
      </c>
      <c r="K390" s="2" t="str">
        <f ca="1">IFERROR(__xludf.DUMMYFUNCTION("""COMPUTED_VALUE"""),"Windows 10")</f>
        <v>Windows 10</v>
      </c>
      <c r="L390" s="2" t="str">
        <f ca="1">IFERROR(__xludf.DUMMYFUNCTION("""COMPUTED_VALUE"""),"2kg")</f>
        <v>2kg</v>
      </c>
      <c r="M390" s="2">
        <f ca="1">IFERROR(__xludf.DUMMYFUNCTION("""COMPUTED_VALUE"""),2135)</f>
        <v>2135</v>
      </c>
    </row>
    <row r="391" spans="1:13">
      <c r="A391" s="2">
        <f ca="1">IFERROR(__xludf.DUMMYFUNCTION("""COMPUTED_VALUE"""),395)</f>
        <v>395</v>
      </c>
      <c r="B391" s="2" t="str">
        <f ca="1">IFERROR(__xludf.DUMMYFUNCTION("""COMPUTED_VALUE"""),"Lenovo")</f>
        <v>Lenovo</v>
      </c>
      <c r="C391" s="2" t="str">
        <f ca="1">IFERROR(__xludf.DUMMYFUNCTION("""COMPUTED_VALUE"""),"ThinkPad X1")</f>
        <v>ThinkPad X1</v>
      </c>
      <c r="D391" s="2" t="str">
        <f ca="1">IFERROR(__xludf.DUMMYFUNCTION("""COMPUTED_VALUE"""),"2 in 1 Convertible")</f>
        <v>2 in 1 Convertible</v>
      </c>
      <c r="E391" s="2">
        <f ca="1">IFERROR(__xludf.DUMMYFUNCTION("""COMPUTED_VALUE"""),14)</f>
        <v>14</v>
      </c>
      <c r="F391" s="2" t="str">
        <f ca="1">IFERROR(__xludf.DUMMYFUNCTION("""COMPUTED_VALUE"""),"Touchscreen 2560x1440")</f>
        <v>Touchscreen 2560x1440</v>
      </c>
      <c r="G391" s="2" t="str">
        <f ca="1">IFERROR(__xludf.DUMMYFUNCTION("""COMPUTED_VALUE"""),"Intel Core i7 7500U 2.7GHz")</f>
        <v>Intel Core i7 7500U 2.7GHz</v>
      </c>
      <c r="H391" s="2" t="str">
        <f ca="1">IFERROR(__xludf.DUMMYFUNCTION("""COMPUTED_VALUE"""),"16GB")</f>
        <v>16GB</v>
      </c>
      <c r="I391" s="2" t="str">
        <f ca="1">IFERROR(__xludf.DUMMYFUNCTION("""COMPUTED_VALUE"""),"512GB SSD")</f>
        <v>512GB SSD</v>
      </c>
      <c r="J391" s="2" t="str">
        <f ca="1">IFERROR(__xludf.DUMMYFUNCTION("""COMPUTED_VALUE"""),"Intel HD Graphics 620")</f>
        <v>Intel HD Graphics 620</v>
      </c>
      <c r="K391" s="2" t="str">
        <f ca="1">IFERROR(__xludf.DUMMYFUNCTION("""COMPUTED_VALUE"""),"Windows 10")</f>
        <v>Windows 10</v>
      </c>
      <c r="L391" s="2" t="str">
        <f ca="1">IFERROR(__xludf.DUMMYFUNCTION("""COMPUTED_VALUE"""),"1.42kg")</f>
        <v>1.42kg</v>
      </c>
      <c r="M391" s="2">
        <f ca="1">IFERROR(__xludf.DUMMYFUNCTION("""COMPUTED_VALUE"""),2509)</f>
        <v>2509</v>
      </c>
    </row>
    <row r="392" spans="1:13">
      <c r="A392" s="2">
        <f ca="1">IFERROR(__xludf.DUMMYFUNCTION("""COMPUTED_VALUE"""),396)</f>
        <v>396</v>
      </c>
      <c r="B392" s="2" t="str">
        <f ca="1">IFERROR(__xludf.DUMMYFUNCTION("""COMPUTED_VALUE"""),"Asus")</f>
        <v>Asus</v>
      </c>
      <c r="C392" s="2" t="str">
        <f ca="1">IFERROR(__xludf.DUMMYFUNCTION("""COMPUTED_VALUE"""),"Rog GL753VD-GC042T")</f>
        <v>Rog GL753VD-GC042T</v>
      </c>
      <c r="D392" s="2" t="str">
        <f ca="1">IFERROR(__xludf.DUMMYFUNCTION("""COMPUTED_VALUE"""),"Gaming")</f>
        <v>Gaming</v>
      </c>
      <c r="E392" s="2">
        <f ca="1">IFERROR(__xludf.DUMMYFUNCTION("""COMPUTED_VALUE"""),17.3)</f>
        <v>17.3</v>
      </c>
      <c r="F392" s="2" t="str">
        <f ca="1">IFERROR(__xludf.DUMMYFUNCTION("""COMPUTED_VALUE"""),"Full HD 1920x1080")</f>
        <v>Full HD 1920x1080</v>
      </c>
      <c r="G392" s="2" t="str">
        <f ca="1">IFERROR(__xludf.DUMMYFUNCTION("""COMPUTED_VALUE"""),"Intel Core i7 7700HQ 2.8GHz")</f>
        <v>Intel Core i7 7700HQ 2.8GHz</v>
      </c>
      <c r="H392" s="2" t="str">
        <f ca="1">IFERROR(__xludf.DUMMYFUNCTION("""COMPUTED_VALUE"""),"8GB")</f>
        <v>8GB</v>
      </c>
      <c r="I392" s="2" t="str">
        <f ca="1">IFERROR(__xludf.DUMMYFUNCTION("""COMPUTED_VALUE"""),"1TB HDD")</f>
        <v>1TB HDD</v>
      </c>
      <c r="J392" s="2" t="str">
        <f ca="1">IFERROR(__xludf.DUMMYFUNCTION("""COMPUTED_VALUE"""),"Nvidia GeForce GTX 1050")</f>
        <v>Nvidia GeForce GTX 1050</v>
      </c>
      <c r="K392" s="2" t="str">
        <f ca="1">IFERROR(__xludf.DUMMYFUNCTION("""COMPUTED_VALUE"""),"Windows 10")</f>
        <v>Windows 10</v>
      </c>
      <c r="L392" s="2" t="str">
        <f ca="1">IFERROR(__xludf.DUMMYFUNCTION("""COMPUTED_VALUE"""),"3kg")</f>
        <v>3kg</v>
      </c>
      <c r="M392" s="2">
        <f ca="1">IFERROR(__xludf.DUMMYFUNCTION("""COMPUTED_VALUE"""),1039)</f>
        <v>1039</v>
      </c>
    </row>
    <row r="393" spans="1:13">
      <c r="A393" s="2">
        <f ca="1">IFERROR(__xludf.DUMMYFUNCTION("""COMPUTED_VALUE"""),397)</f>
        <v>397</v>
      </c>
      <c r="B393" s="2" t="str">
        <f ca="1">IFERROR(__xludf.DUMMYFUNCTION("""COMPUTED_VALUE"""),"Asus")</f>
        <v>Asus</v>
      </c>
      <c r="C393" s="2" t="str">
        <f ca="1">IFERROR(__xludf.DUMMYFUNCTION("""COMPUTED_VALUE"""),"Rog GL753VE-GC070T")</f>
        <v>Rog GL753VE-GC070T</v>
      </c>
      <c r="D393" s="2" t="str">
        <f ca="1">IFERROR(__xludf.DUMMYFUNCTION("""COMPUTED_VALUE"""),"Gaming")</f>
        <v>Gaming</v>
      </c>
      <c r="E393" s="2">
        <f ca="1">IFERROR(__xludf.DUMMYFUNCTION("""COMPUTED_VALUE"""),17.3)</f>
        <v>17.3</v>
      </c>
      <c r="F393" s="2" t="str">
        <f ca="1">IFERROR(__xludf.DUMMYFUNCTION("""COMPUTED_VALUE"""),"Full HD 1920x1080")</f>
        <v>Full HD 1920x1080</v>
      </c>
      <c r="G393" s="2" t="str">
        <f ca="1">IFERROR(__xludf.DUMMYFUNCTION("""COMPUTED_VALUE"""),"Intel Core i7 7700HQ 2.8GHz")</f>
        <v>Intel Core i7 7700HQ 2.8GHz</v>
      </c>
      <c r="H393" s="2" t="str">
        <f ca="1">IFERROR(__xludf.DUMMYFUNCTION("""COMPUTED_VALUE"""),"16GB")</f>
        <v>16GB</v>
      </c>
      <c r="I393" s="2" t="str">
        <f ca="1">IFERROR(__xludf.DUMMYFUNCTION("""COMPUTED_VALUE"""),"256GB SSD +  1TB HDD")</f>
        <v>256GB SSD +  1TB HDD</v>
      </c>
      <c r="J393" s="2" t="str">
        <f ca="1">IFERROR(__xludf.DUMMYFUNCTION("""COMPUTED_VALUE"""),"Nvidia GeForce GTX 1050 Ti")</f>
        <v>Nvidia GeForce GTX 1050 Ti</v>
      </c>
      <c r="K393" s="2" t="str">
        <f ca="1">IFERROR(__xludf.DUMMYFUNCTION("""COMPUTED_VALUE"""),"Windows 10")</f>
        <v>Windows 10</v>
      </c>
      <c r="L393" s="2" t="str">
        <f ca="1">IFERROR(__xludf.DUMMYFUNCTION("""COMPUTED_VALUE"""),"3kg")</f>
        <v>3kg</v>
      </c>
      <c r="M393" s="2">
        <f ca="1">IFERROR(__xludf.DUMMYFUNCTION("""COMPUTED_VALUE"""),1591)</f>
        <v>1591</v>
      </c>
    </row>
    <row r="394" spans="1:13">
      <c r="A394" s="2">
        <f ca="1">IFERROR(__xludf.DUMMYFUNCTION("""COMPUTED_VALUE"""),399)</f>
        <v>399</v>
      </c>
      <c r="B394" s="2" t="str">
        <f ca="1">IFERROR(__xludf.DUMMYFUNCTION("""COMPUTED_VALUE"""),"Acer")</f>
        <v>Acer</v>
      </c>
      <c r="C394" s="2" t="str">
        <f ca="1">IFERROR(__xludf.DUMMYFUNCTION("""COMPUTED_VALUE"""),"Aspire 5")</f>
        <v>Aspire 5</v>
      </c>
      <c r="D394" s="2" t="str">
        <f ca="1">IFERROR(__xludf.DUMMYFUNCTION("""COMPUTED_VALUE"""),"Notebook")</f>
        <v>Notebook</v>
      </c>
      <c r="E394" s="2">
        <f ca="1">IFERROR(__xludf.DUMMYFUNCTION("""COMPUTED_VALUE"""),15.6)</f>
        <v>15.6</v>
      </c>
      <c r="F394" s="2" t="str">
        <f ca="1">IFERROR(__xludf.DUMMYFUNCTION("""COMPUTED_VALUE"""),"IPS Panel 1366x768")</f>
        <v>IPS Panel 1366x768</v>
      </c>
      <c r="G394" s="2" t="str">
        <f ca="1">IFERROR(__xludf.DUMMYFUNCTION("""COMPUTED_VALUE"""),"Intel Core i5 8250U 1.6GHz")</f>
        <v>Intel Core i5 8250U 1.6GHz</v>
      </c>
      <c r="H394" s="2" t="str">
        <f ca="1">IFERROR(__xludf.DUMMYFUNCTION("""COMPUTED_VALUE"""),"12GB")</f>
        <v>12GB</v>
      </c>
      <c r="I394" s="2" t="str">
        <f ca="1">IFERROR(__xludf.DUMMYFUNCTION("""COMPUTED_VALUE"""),"1TB HDD")</f>
        <v>1TB HDD</v>
      </c>
      <c r="J394" s="2" t="str">
        <f ca="1">IFERROR(__xludf.DUMMYFUNCTION("""COMPUTED_VALUE"""),"Nvidia GeForce MX130")</f>
        <v>Nvidia GeForce MX130</v>
      </c>
      <c r="K394" s="2" t="str">
        <f ca="1">IFERROR(__xludf.DUMMYFUNCTION("""COMPUTED_VALUE"""),"Windows 10")</f>
        <v>Windows 10</v>
      </c>
      <c r="L394" s="2" t="str">
        <f ca="1">IFERROR(__xludf.DUMMYFUNCTION("""COMPUTED_VALUE"""),"2.2kg")</f>
        <v>2.2kg</v>
      </c>
      <c r="M394" s="2">
        <f ca="1">IFERROR(__xludf.DUMMYFUNCTION("""COMPUTED_VALUE"""),693.99)</f>
        <v>693.99</v>
      </c>
    </row>
    <row r="395" spans="1:13">
      <c r="A395" s="2">
        <f ca="1">IFERROR(__xludf.DUMMYFUNCTION("""COMPUTED_VALUE"""),400)</f>
        <v>400</v>
      </c>
      <c r="B395" s="2" t="str">
        <f ca="1">IFERROR(__xludf.DUMMYFUNCTION("""COMPUTED_VALUE"""),"MSI")</f>
        <v>MSI</v>
      </c>
      <c r="C395" s="2" t="str">
        <f ca="1">IFERROR(__xludf.DUMMYFUNCTION("""COMPUTED_VALUE"""),"Leopard GP72M")</f>
        <v>Leopard GP72M</v>
      </c>
      <c r="D395" s="2" t="str">
        <f ca="1">IFERROR(__xludf.DUMMYFUNCTION("""COMPUTED_VALUE"""),"Gaming")</f>
        <v>Gaming</v>
      </c>
      <c r="E395" s="2">
        <f ca="1">IFERROR(__xludf.DUMMYFUNCTION("""COMPUTED_VALUE"""),17.3)</f>
        <v>17.3</v>
      </c>
      <c r="F395" s="2" t="str">
        <f ca="1">IFERROR(__xludf.DUMMYFUNCTION("""COMPUTED_VALUE"""),"Full HD 1920x1080")</f>
        <v>Full HD 1920x1080</v>
      </c>
      <c r="G395" s="2" t="str">
        <f ca="1">IFERROR(__xludf.DUMMYFUNCTION("""COMPUTED_VALUE"""),"Intel Core i7 7700HQ 2.8GHz")</f>
        <v>Intel Core i7 7700HQ 2.8GHz</v>
      </c>
      <c r="H395" s="2" t="str">
        <f ca="1">IFERROR(__xludf.DUMMYFUNCTION("""COMPUTED_VALUE"""),"8GB")</f>
        <v>8GB</v>
      </c>
      <c r="I395" s="2" t="str">
        <f ca="1">IFERROR(__xludf.DUMMYFUNCTION("""COMPUTED_VALUE"""),"256GB SSD")</f>
        <v>256GB SSD</v>
      </c>
      <c r="J395" s="2" t="str">
        <f ca="1">IFERROR(__xludf.DUMMYFUNCTION("""COMPUTED_VALUE"""),"Nvidia GeForce GTX 1050 Ti")</f>
        <v>Nvidia GeForce GTX 1050 Ti</v>
      </c>
      <c r="K395" s="2" t="str">
        <f ca="1">IFERROR(__xludf.DUMMYFUNCTION("""COMPUTED_VALUE"""),"Windows 10")</f>
        <v>Windows 10</v>
      </c>
      <c r="L395" s="2" t="str">
        <f ca="1">IFERROR(__xludf.DUMMYFUNCTION("""COMPUTED_VALUE"""),"2.7kg")</f>
        <v>2.7kg</v>
      </c>
      <c r="M395" s="2">
        <f ca="1">IFERROR(__xludf.DUMMYFUNCTION("""COMPUTED_VALUE"""),1349)</f>
        <v>1349</v>
      </c>
    </row>
    <row r="396" spans="1:13">
      <c r="A396" s="2">
        <f ca="1">IFERROR(__xludf.DUMMYFUNCTION("""COMPUTED_VALUE"""),401)</f>
        <v>401</v>
      </c>
      <c r="B396" s="2" t="str">
        <f ca="1">IFERROR(__xludf.DUMMYFUNCTION("""COMPUTED_VALUE"""),"Dell")</f>
        <v>Dell</v>
      </c>
      <c r="C396" s="2" t="str">
        <f ca="1">IFERROR(__xludf.DUMMYFUNCTION("""COMPUTED_VALUE"""),"Inspiron 5567")</f>
        <v>Inspiron 5567</v>
      </c>
      <c r="D396" s="2" t="str">
        <f ca="1">IFERROR(__xludf.DUMMYFUNCTION("""COMPUTED_VALUE"""),"Notebook")</f>
        <v>Notebook</v>
      </c>
      <c r="E396" s="2">
        <f ca="1">IFERROR(__xludf.DUMMYFUNCTION("""COMPUTED_VALUE"""),15.6)</f>
        <v>15.6</v>
      </c>
      <c r="F396" s="2" t="str">
        <f ca="1">IFERROR(__xludf.DUMMYFUNCTION("""COMPUTED_VALUE"""),"Full HD 1920x1080")</f>
        <v>Full HD 1920x1080</v>
      </c>
      <c r="G396" s="2" t="str">
        <f ca="1">IFERROR(__xludf.DUMMYFUNCTION("""COMPUTED_VALUE"""),"Intel Core i7 7500U 2.7GHz")</f>
        <v>Intel Core i7 7500U 2.7GHz</v>
      </c>
      <c r="H396" s="2" t="str">
        <f ca="1">IFERROR(__xludf.DUMMYFUNCTION("""COMPUTED_VALUE"""),"8GB")</f>
        <v>8GB</v>
      </c>
      <c r="I396" s="2" t="str">
        <f ca="1">IFERROR(__xludf.DUMMYFUNCTION("""COMPUTED_VALUE"""),"256GB SSD")</f>
        <v>256GB SSD</v>
      </c>
      <c r="J396" s="2" t="str">
        <f ca="1">IFERROR(__xludf.DUMMYFUNCTION("""COMPUTED_VALUE"""),"AMD Radeon R7 M445")</f>
        <v>AMD Radeon R7 M445</v>
      </c>
      <c r="K396" s="2" t="str">
        <f ca="1">IFERROR(__xludf.DUMMYFUNCTION("""COMPUTED_VALUE"""),"Linux")</f>
        <v>Linux</v>
      </c>
      <c r="L396" s="2" t="str">
        <f ca="1">IFERROR(__xludf.DUMMYFUNCTION("""COMPUTED_VALUE"""),"2.33kg")</f>
        <v>2.33kg</v>
      </c>
      <c r="M396" s="2">
        <f ca="1">IFERROR(__xludf.DUMMYFUNCTION("""COMPUTED_VALUE"""),778.87)</f>
        <v>778.87</v>
      </c>
    </row>
    <row r="397" spans="1:13">
      <c r="A397" s="2">
        <f ca="1">IFERROR(__xludf.DUMMYFUNCTION("""COMPUTED_VALUE"""),402)</f>
        <v>402</v>
      </c>
      <c r="B397" s="2" t="str">
        <f ca="1">IFERROR(__xludf.DUMMYFUNCTION("""COMPUTED_VALUE"""),"HP")</f>
        <v>HP</v>
      </c>
      <c r="C397" s="2" t="str">
        <f ca="1">IFERROR(__xludf.DUMMYFUNCTION("""COMPUTED_VALUE"""),"15-BW004nv (A9-9420/4GB/256GB/Radeon")</f>
        <v>15-BW004nv (A9-9420/4GB/256GB/Radeon</v>
      </c>
      <c r="D397" s="2" t="str">
        <f ca="1">IFERROR(__xludf.DUMMYFUNCTION("""COMPUTED_VALUE"""),"Ultrabook")</f>
        <v>Ultrabook</v>
      </c>
      <c r="E397" s="2">
        <f ca="1">IFERROR(__xludf.DUMMYFUNCTION("""COMPUTED_VALUE"""),15.6)</f>
        <v>15.6</v>
      </c>
      <c r="F397" s="2" t="str">
        <f ca="1">IFERROR(__xludf.DUMMYFUNCTION("""COMPUTED_VALUE"""),"Full HD 1920x1080")</f>
        <v>Full HD 1920x1080</v>
      </c>
      <c r="G397" s="2" t="str">
        <f ca="1">IFERROR(__xludf.DUMMYFUNCTION("""COMPUTED_VALUE"""),"AMD A9-Series 9420 3GHz")</f>
        <v>AMD A9-Series 9420 3GHz</v>
      </c>
      <c r="H397" s="2" t="str">
        <f ca="1">IFERROR(__xludf.DUMMYFUNCTION("""COMPUTED_VALUE"""),"4GB")</f>
        <v>4GB</v>
      </c>
      <c r="I397" s="2" t="str">
        <f ca="1">IFERROR(__xludf.DUMMYFUNCTION("""COMPUTED_VALUE"""),"256GB SSD")</f>
        <v>256GB SSD</v>
      </c>
      <c r="J397" s="2" t="str">
        <f ca="1">IFERROR(__xludf.DUMMYFUNCTION("""COMPUTED_VALUE"""),"AMD Radeon 520")</f>
        <v>AMD Radeon 520</v>
      </c>
      <c r="K397" s="2" t="str">
        <f ca="1">IFERROR(__xludf.DUMMYFUNCTION("""COMPUTED_VALUE"""),"Windows 10")</f>
        <v>Windows 10</v>
      </c>
      <c r="L397" s="2" t="str">
        <f ca="1">IFERROR(__xludf.DUMMYFUNCTION("""COMPUTED_VALUE"""),"1.91kg")</f>
        <v>1.91kg</v>
      </c>
      <c r="M397" s="2">
        <f ca="1">IFERROR(__xludf.DUMMYFUNCTION("""COMPUTED_VALUE"""),499)</f>
        <v>499</v>
      </c>
    </row>
    <row r="398" spans="1:13">
      <c r="A398" s="2">
        <f ca="1">IFERROR(__xludf.DUMMYFUNCTION("""COMPUTED_VALUE"""),403)</f>
        <v>403</v>
      </c>
      <c r="B398" s="2" t="str">
        <f ca="1">IFERROR(__xludf.DUMMYFUNCTION("""COMPUTED_VALUE"""),"Lenovo")</f>
        <v>Lenovo</v>
      </c>
      <c r="C398" s="2" t="str">
        <f ca="1">IFERROR(__xludf.DUMMYFUNCTION("""COMPUTED_VALUE"""),"ThinkPad E580")</f>
        <v>ThinkPad E580</v>
      </c>
      <c r="D398" s="2" t="str">
        <f ca="1">IFERROR(__xludf.DUMMYFUNCTION("""COMPUTED_VALUE"""),"Notebook")</f>
        <v>Notebook</v>
      </c>
      <c r="E398" s="2">
        <f ca="1">IFERROR(__xludf.DUMMYFUNCTION("""COMPUTED_VALUE"""),15.6)</f>
        <v>15.6</v>
      </c>
      <c r="F398" s="2" t="str">
        <f ca="1">IFERROR(__xludf.DUMMYFUNCTION("""COMPUTED_VALUE"""),"IPS Panel Full HD 1920x1080")</f>
        <v>IPS Panel Full HD 1920x1080</v>
      </c>
      <c r="G398" s="2" t="str">
        <f ca="1">IFERROR(__xludf.DUMMYFUNCTION("""COMPUTED_VALUE"""),"Intel Core i7 8550U 1.8GHz")</f>
        <v>Intel Core i7 8550U 1.8GHz</v>
      </c>
      <c r="H398" s="2" t="str">
        <f ca="1">IFERROR(__xludf.DUMMYFUNCTION("""COMPUTED_VALUE"""),"8GB")</f>
        <v>8GB</v>
      </c>
      <c r="I398" s="2" t="str">
        <f ca="1">IFERROR(__xludf.DUMMYFUNCTION("""COMPUTED_VALUE"""),"256GB SSD")</f>
        <v>256GB SSD</v>
      </c>
      <c r="J398" s="2" t="str">
        <f ca="1">IFERROR(__xludf.DUMMYFUNCTION("""COMPUTED_VALUE"""),"AMD Radeon RX 550")</f>
        <v>AMD Radeon RX 550</v>
      </c>
      <c r="K398" s="2" t="str">
        <f ca="1">IFERROR(__xludf.DUMMYFUNCTION("""COMPUTED_VALUE"""),"Windows 10")</f>
        <v>Windows 10</v>
      </c>
      <c r="L398" s="2" t="str">
        <f ca="1">IFERROR(__xludf.DUMMYFUNCTION("""COMPUTED_VALUE"""),"2.1kg")</f>
        <v>2.1kg</v>
      </c>
      <c r="M398" s="2">
        <f ca="1">IFERROR(__xludf.DUMMYFUNCTION("""COMPUTED_VALUE"""),1229.56)</f>
        <v>1229.56</v>
      </c>
    </row>
    <row r="399" spans="1:13">
      <c r="A399" s="2">
        <f ca="1">IFERROR(__xludf.DUMMYFUNCTION("""COMPUTED_VALUE"""),404)</f>
        <v>404</v>
      </c>
      <c r="B399" s="2" t="str">
        <f ca="1">IFERROR(__xludf.DUMMYFUNCTION("""COMPUTED_VALUE"""),"Lenovo")</f>
        <v>Lenovo</v>
      </c>
      <c r="C399" s="2" t="str">
        <f ca="1">IFERROR(__xludf.DUMMYFUNCTION("""COMPUTED_VALUE"""),"ThinkPad L470")</f>
        <v>ThinkPad L470</v>
      </c>
      <c r="D399" s="2" t="str">
        <f ca="1">IFERROR(__xludf.DUMMYFUNCTION("""COMPUTED_VALUE"""),"Notebook")</f>
        <v>Notebook</v>
      </c>
      <c r="E399" s="2">
        <f ca="1">IFERROR(__xludf.DUMMYFUNCTION("""COMPUTED_VALUE"""),14)</f>
        <v>14</v>
      </c>
      <c r="F399" s="2" t="str">
        <f ca="1">IFERROR(__xludf.DUMMYFUNCTION("""COMPUTED_VALUE"""),"IPS Panel Full HD 1920x1080")</f>
        <v>IPS Panel Full HD 1920x1080</v>
      </c>
      <c r="G399" s="2" t="str">
        <f ca="1">IFERROR(__xludf.DUMMYFUNCTION("""COMPUTED_VALUE"""),"Intel Core i5 7200U 2.5GHz")</f>
        <v>Intel Core i5 7200U 2.5GHz</v>
      </c>
      <c r="H399" s="2" t="str">
        <f ca="1">IFERROR(__xludf.DUMMYFUNCTION("""COMPUTED_VALUE"""),"8GB")</f>
        <v>8GB</v>
      </c>
      <c r="I399" s="2" t="str">
        <f ca="1">IFERROR(__xludf.DUMMYFUNCTION("""COMPUTED_VALUE"""),"256GB SSD")</f>
        <v>256GB SSD</v>
      </c>
      <c r="J399" s="2" t="str">
        <f ca="1">IFERROR(__xludf.DUMMYFUNCTION("""COMPUTED_VALUE"""),"Intel HD Graphics 620")</f>
        <v>Intel HD Graphics 620</v>
      </c>
      <c r="K399" s="2" t="str">
        <f ca="1">IFERROR(__xludf.DUMMYFUNCTION("""COMPUTED_VALUE"""),"Windows 10")</f>
        <v>Windows 10</v>
      </c>
      <c r="L399" s="2" t="str">
        <f ca="1">IFERROR(__xludf.DUMMYFUNCTION("""COMPUTED_VALUE"""),"1.9kg")</f>
        <v>1.9kg</v>
      </c>
      <c r="M399" s="2">
        <f ca="1">IFERROR(__xludf.DUMMYFUNCTION("""COMPUTED_VALUE"""),938)</f>
        <v>938</v>
      </c>
    </row>
    <row r="400" spans="1:13">
      <c r="A400" s="2">
        <f ca="1">IFERROR(__xludf.DUMMYFUNCTION("""COMPUTED_VALUE"""),405)</f>
        <v>405</v>
      </c>
      <c r="B400" s="2" t="str">
        <f ca="1">IFERROR(__xludf.DUMMYFUNCTION("""COMPUTED_VALUE"""),"Dell")</f>
        <v>Dell</v>
      </c>
      <c r="C400" s="2" t="str">
        <f ca="1">IFERROR(__xludf.DUMMYFUNCTION("""COMPUTED_VALUE"""),"Precision M5520")</f>
        <v>Precision M5520</v>
      </c>
      <c r="D400" s="2" t="str">
        <f ca="1">IFERROR(__xludf.DUMMYFUNCTION("""COMPUTED_VALUE"""),"Workstation")</f>
        <v>Workstation</v>
      </c>
      <c r="E400" s="2">
        <f ca="1">IFERROR(__xludf.DUMMYFUNCTION("""COMPUTED_VALUE"""),15.6)</f>
        <v>15.6</v>
      </c>
      <c r="F400" s="2" t="str">
        <f ca="1">IFERROR(__xludf.DUMMYFUNCTION("""COMPUTED_VALUE"""),"4K Ultra HD / Touchscreen 3840x2160")</f>
        <v>4K Ultra HD / Touchscreen 3840x2160</v>
      </c>
      <c r="G400" s="2" t="str">
        <f ca="1">IFERROR(__xludf.DUMMYFUNCTION("""COMPUTED_VALUE"""),"Intel Core i7 7700HQ 2.8GHz")</f>
        <v>Intel Core i7 7700HQ 2.8GHz</v>
      </c>
      <c r="H400" s="2" t="str">
        <f ca="1">IFERROR(__xludf.DUMMYFUNCTION("""COMPUTED_VALUE"""),"8GB")</f>
        <v>8GB</v>
      </c>
      <c r="I400" s="2" t="str">
        <f ca="1">IFERROR(__xludf.DUMMYFUNCTION("""COMPUTED_VALUE"""),"256GB SSD")</f>
        <v>256GB SSD</v>
      </c>
      <c r="J400" s="2" t="str">
        <f ca="1">IFERROR(__xludf.DUMMYFUNCTION("""COMPUTED_VALUE"""),"Nvidia Quadro M1200")</f>
        <v>Nvidia Quadro M1200</v>
      </c>
      <c r="K400" s="2" t="str">
        <f ca="1">IFERROR(__xludf.DUMMYFUNCTION("""COMPUTED_VALUE"""),"Windows 10")</f>
        <v>Windows 10</v>
      </c>
      <c r="L400" s="2" t="str">
        <f ca="1">IFERROR(__xludf.DUMMYFUNCTION("""COMPUTED_VALUE"""),"1.78kg")</f>
        <v>1.78kg</v>
      </c>
      <c r="M400" s="2">
        <f ca="1">IFERROR(__xludf.DUMMYFUNCTION("""COMPUTED_VALUE"""),2712)</f>
        <v>2712</v>
      </c>
    </row>
    <row r="401" spans="1:13">
      <c r="A401" s="2">
        <f ca="1">IFERROR(__xludf.DUMMYFUNCTION("""COMPUTED_VALUE"""),406)</f>
        <v>406</v>
      </c>
      <c r="B401" s="2" t="str">
        <f ca="1">IFERROR(__xludf.DUMMYFUNCTION("""COMPUTED_VALUE"""),"Lenovo")</f>
        <v>Lenovo</v>
      </c>
      <c r="C401" s="2" t="str">
        <f ca="1">IFERROR(__xludf.DUMMYFUNCTION("""COMPUTED_VALUE"""),"Thinkpad X1")</f>
        <v>Thinkpad X1</v>
      </c>
      <c r="D401" s="2" t="str">
        <f ca="1">IFERROR(__xludf.DUMMYFUNCTION("""COMPUTED_VALUE"""),"Ultrabook")</f>
        <v>Ultrabook</v>
      </c>
      <c r="E401" s="2">
        <f ca="1">IFERROR(__xludf.DUMMYFUNCTION("""COMPUTED_VALUE"""),14)</f>
        <v>14</v>
      </c>
      <c r="F401" s="2" t="str">
        <f ca="1">IFERROR(__xludf.DUMMYFUNCTION("""COMPUTED_VALUE"""),"IPS Panel 2560x1440")</f>
        <v>IPS Panel 2560x1440</v>
      </c>
      <c r="G401" s="2" t="str">
        <f ca="1">IFERROR(__xludf.DUMMYFUNCTION("""COMPUTED_VALUE"""),"Intel Core i7 7500U 2.7GHz")</f>
        <v>Intel Core i7 7500U 2.7GHz</v>
      </c>
      <c r="H401" s="2" t="str">
        <f ca="1">IFERROR(__xludf.DUMMYFUNCTION("""COMPUTED_VALUE"""),"16GB")</f>
        <v>16GB</v>
      </c>
      <c r="I401" s="2" t="str">
        <f ca="1">IFERROR(__xludf.DUMMYFUNCTION("""COMPUTED_VALUE"""),"1TB SSD")</f>
        <v>1TB SSD</v>
      </c>
      <c r="J401" s="2" t="str">
        <f ca="1">IFERROR(__xludf.DUMMYFUNCTION("""COMPUTED_VALUE"""),"Intel HD Graphics 620")</f>
        <v>Intel HD Graphics 620</v>
      </c>
      <c r="K401" s="2" t="str">
        <f ca="1">IFERROR(__xludf.DUMMYFUNCTION("""COMPUTED_VALUE"""),"Windows 10")</f>
        <v>Windows 10</v>
      </c>
      <c r="L401" s="2" t="str">
        <f ca="1">IFERROR(__xludf.DUMMYFUNCTION("""COMPUTED_VALUE"""),"1.13kg")</f>
        <v>1.13kg</v>
      </c>
      <c r="M401" s="2">
        <f ca="1">IFERROR(__xludf.DUMMYFUNCTION("""COMPUTED_VALUE"""),2625)</f>
        <v>2625</v>
      </c>
    </row>
    <row r="402" spans="1:13">
      <c r="A402" s="2">
        <f ca="1">IFERROR(__xludf.DUMMYFUNCTION("""COMPUTED_VALUE"""),407)</f>
        <v>407</v>
      </c>
      <c r="B402" s="2" t="str">
        <f ca="1">IFERROR(__xludf.DUMMYFUNCTION("""COMPUTED_VALUE"""),"Lenovo")</f>
        <v>Lenovo</v>
      </c>
      <c r="C402" s="2" t="str">
        <f ca="1">IFERROR(__xludf.DUMMYFUNCTION("""COMPUTED_VALUE"""),"IdeaPad 320-15IAP")</f>
        <v>IdeaPad 320-15IAP</v>
      </c>
      <c r="D402" s="2" t="str">
        <f ca="1">IFERROR(__xludf.DUMMYFUNCTION("""COMPUTED_VALUE"""),"Notebook")</f>
        <v>Notebook</v>
      </c>
      <c r="E402" s="2">
        <f ca="1">IFERROR(__xludf.DUMMYFUNCTION("""COMPUTED_VALUE"""),15.6)</f>
        <v>15.6</v>
      </c>
      <c r="F402" s="2" t="str">
        <f ca="1">IFERROR(__xludf.DUMMYFUNCTION("""COMPUTED_VALUE"""),"1366x768")</f>
        <v>1366x768</v>
      </c>
      <c r="G402" s="2" t="str">
        <f ca="1">IFERROR(__xludf.DUMMYFUNCTION("""COMPUTED_VALUE"""),"Intel Celeron Dual Core N3350 1.1GHz")</f>
        <v>Intel Celeron Dual Core N3350 1.1GHz</v>
      </c>
      <c r="H402" s="2" t="str">
        <f ca="1">IFERROR(__xludf.DUMMYFUNCTION("""COMPUTED_VALUE"""),"4GB")</f>
        <v>4GB</v>
      </c>
      <c r="I402" s="2" t="str">
        <f ca="1">IFERROR(__xludf.DUMMYFUNCTION("""COMPUTED_VALUE"""),"1TB HDD")</f>
        <v>1TB HDD</v>
      </c>
      <c r="J402" s="2" t="str">
        <f ca="1">IFERROR(__xludf.DUMMYFUNCTION("""COMPUTED_VALUE"""),"Intel HD Graphics 500")</f>
        <v>Intel HD Graphics 500</v>
      </c>
      <c r="K402" s="2" t="str">
        <f ca="1">IFERROR(__xludf.DUMMYFUNCTION("""COMPUTED_VALUE"""),"Windows 10")</f>
        <v>Windows 10</v>
      </c>
      <c r="L402" s="2" t="str">
        <f ca="1">IFERROR(__xludf.DUMMYFUNCTION("""COMPUTED_VALUE"""),"2.2kg")</f>
        <v>2.2kg</v>
      </c>
      <c r="M402" s="2">
        <f ca="1">IFERROR(__xludf.DUMMYFUNCTION("""COMPUTED_VALUE"""),306)</f>
        <v>306</v>
      </c>
    </row>
    <row r="403" spans="1:13">
      <c r="A403" s="2">
        <f ca="1">IFERROR(__xludf.DUMMYFUNCTION("""COMPUTED_VALUE"""),408)</f>
        <v>408</v>
      </c>
      <c r="B403" s="2" t="str">
        <f ca="1">IFERROR(__xludf.DUMMYFUNCTION("""COMPUTED_VALUE"""),"Asus")</f>
        <v>Asus</v>
      </c>
      <c r="C403" s="2" t="str">
        <f ca="1">IFERROR(__xludf.DUMMYFUNCTION("""COMPUTED_VALUE"""),"FX753VD-GC461T (i7-7700HQ/16GB/1TB")</f>
        <v>FX753VD-GC461T (i7-7700HQ/16GB/1TB</v>
      </c>
      <c r="D403" s="2" t="str">
        <f ca="1">IFERROR(__xludf.DUMMYFUNCTION("""COMPUTED_VALUE"""),"Gaming")</f>
        <v>Gaming</v>
      </c>
      <c r="E403" s="2">
        <f ca="1">IFERROR(__xludf.DUMMYFUNCTION("""COMPUTED_VALUE"""),17.3)</f>
        <v>17.3</v>
      </c>
      <c r="F403" s="2" t="str">
        <f ca="1">IFERROR(__xludf.DUMMYFUNCTION("""COMPUTED_VALUE"""),"Full HD 1920x1080")</f>
        <v>Full HD 1920x1080</v>
      </c>
      <c r="G403" s="2" t="str">
        <f ca="1">IFERROR(__xludf.DUMMYFUNCTION("""COMPUTED_VALUE"""),"Intel Core i7 7700HQ 2.8GHz")</f>
        <v>Intel Core i7 7700HQ 2.8GHz</v>
      </c>
      <c r="H403" s="2" t="str">
        <f ca="1">IFERROR(__xludf.DUMMYFUNCTION("""COMPUTED_VALUE"""),"16GB")</f>
        <v>16GB</v>
      </c>
      <c r="I403" s="2" t="str">
        <f ca="1">IFERROR(__xludf.DUMMYFUNCTION("""COMPUTED_VALUE"""),"256GB SSD +  1TB HDD")</f>
        <v>256GB SSD +  1TB HDD</v>
      </c>
      <c r="J403" s="2" t="str">
        <f ca="1">IFERROR(__xludf.DUMMYFUNCTION("""COMPUTED_VALUE"""),"Nvidia GeForce GTX 1050")</f>
        <v>Nvidia GeForce GTX 1050</v>
      </c>
      <c r="K403" s="2" t="str">
        <f ca="1">IFERROR(__xludf.DUMMYFUNCTION("""COMPUTED_VALUE"""),"Windows 10")</f>
        <v>Windows 10</v>
      </c>
      <c r="L403" s="2" t="str">
        <f ca="1">IFERROR(__xludf.DUMMYFUNCTION("""COMPUTED_VALUE"""),"2.9kg")</f>
        <v>2.9kg</v>
      </c>
      <c r="M403" s="2">
        <f ca="1">IFERROR(__xludf.DUMMYFUNCTION("""COMPUTED_VALUE"""),1529)</f>
        <v>1529</v>
      </c>
    </row>
    <row r="404" spans="1:13">
      <c r="A404" s="2">
        <f ca="1">IFERROR(__xludf.DUMMYFUNCTION("""COMPUTED_VALUE"""),409)</f>
        <v>409</v>
      </c>
      <c r="B404" s="2" t="str">
        <f ca="1">IFERROR(__xludf.DUMMYFUNCTION("""COMPUTED_VALUE"""),"Lenovo")</f>
        <v>Lenovo</v>
      </c>
      <c r="C404" s="2" t="str">
        <f ca="1">IFERROR(__xludf.DUMMYFUNCTION("""COMPUTED_VALUE"""),"ThinkPad E580")</f>
        <v>ThinkPad E580</v>
      </c>
      <c r="D404" s="2" t="str">
        <f ca="1">IFERROR(__xludf.DUMMYFUNCTION("""COMPUTED_VALUE"""),"Notebook")</f>
        <v>Notebook</v>
      </c>
      <c r="E404" s="2">
        <f ca="1">IFERROR(__xludf.DUMMYFUNCTION("""COMPUTED_VALUE"""),15.6)</f>
        <v>15.6</v>
      </c>
      <c r="F404" s="2" t="str">
        <f ca="1">IFERROR(__xludf.DUMMYFUNCTION("""COMPUTED_VALUE"""),"IPS Panel Full HD 1920x1080")</f>
        <v>IPS Panel Full HD 1920x1080</v>
      </c>
      <c r="G404" s="2" t="str">
        <f ca="1">IFERROR(__xludf.DUMMYFUNCTION("""COMPUTED_VALUE"""),"Intel Core i5 8250U 1.6GHz")</f>
        <v>Intel Core i5 8250U 1.6GHz</v>
      </c>
      <c r="H404" s="2" t="str">
        <f ca="1">IFERROR(__xludf.DUMMYFUNCTION("""COMPUTED_VALUE"""),"8GB")</f>
        <v>8GB</v>
      </c>
      <c r="I404" s="2" t="str">
        <f ca="1">IFERROR(__xludf.DUMMYFUNCTION("""COMPUTED_VALUE"""),"256GB SSD +  1TB HDD")</f>
        <v>256GB SSD +  1TB HDD</v>
      </c>
      <c r="J404" s="2" t="str">
        <f ca="1">IFERROR(__xludf.DUMMYFUNCTION("""COMPUTED_VALUE"""),"AMD Radeon RX 550")</f>
        <v>AMD Radeon RX 550</v>
      </c>
      <c r="K404" s="2" t="str">
        <f ca="1">IFERROR(__xludf.DUMMYFUNCTION("""COMPUTED_VALUE"""),"Windows 10")</f>
        <v>Windows 10</v>
      </c>
      <c r="L404" s="2" t="str">
        <f ca="1">IFERROR(__xludf.DUMMYFUNCTION("""COMPUTED_VALUE"""),"2.1kg")</f>
        <v>2.1kg</v>
      </c>
      <c r="M404" s="2">
        <f ca="1">IFERROR(__xludf.DUMMYFUNCTION("""COMPUTED_VALUE"""),1144.5)</f>
        <v>1144.5</v>
      </c>
    </row>
    <row r="405" spans="1:13">
      <c r="A405" s="2">
        <f ca="1">IFERROR(__xludf.DUMMYFUNCTION("""COMPUTED_VALUE"""),410)</f>
        <v>410</v>
      </c>
      <c r="B405" s="2" t="str">
        <f ca="1">IFERROR(__xludf.DUMMYFUNCTION("""COMPUTED_VALUE"""),"Acer")</f>
        <v>Acer</v>
      </c>
      <c r="C405" s="2" t="str">
        <f ca="1">IFERROR(__xludf.DUMMYFUNCTION("""COMPUTED_VALUE"""),"Aspire 7")</f>
        <v>Aspire 7</v>
      </c>
      <c r="D405" s="2" t="str">
        <f ca="1">IFERROR(__xludf.DUMMYFUNCTION("""COMPUTED_VALUE"""),"Notebook")</f>
        <v>Notebook</v>
      </c>
      <c r="E405" s="2">
        <f ca="1">IFERROR(__xludf.DUMMYFUNCTION("""COMPUTED_VALUE"""),15.6)</f>
        <v>15.6</v>
      </c>
      <c r="F405" s="2" t="str">
        <f ca="1">IFERROR(__xludf.DUMMYFUNCTION("""COMPUTED_VALUE"""),"Full HD 1920x1080")</f>
        <v>Full HD 1920x1080</v>
      </c>
      <c r="G405" s="2" t="str">
        <f ca="1">IFERROR(__xludf.DUMMYFUNCTION("""COMPUTED_VALUE"""),"Intel Core i7 7700HQ 2.8GHz")</f>
        <v>Intel Core i7 7700HQ 2.8GHz</v>
      </c>
      <c r="H405" s="2" t="str">
        <f ca="1">IFERROR(__xludf.DUMMYFUNCTION("""COMPUTED_VALUE"""),"8GB")</f>
        <v>8GB</v>
      </c>
      <c r="I405" s="2" t="str">
        <f ca="1">IFERROR(__xludf.DUMMYFUNCTION("""COMPUTED_VALUE"""),"256GB SSD")</f>
        <v>256GB SSD</v>
      </c>
      <c r="J405" s="2" t="str">
        <f ca="1">IFERROR(__xludf.DUMMYFUNCTION("""COMPUTED_VALUE"""),"Nvidia GeForce GTX 1050")</f>
        <v>Nvidia GeForce GTX 1050</v>
      </c>
      <c r="K405" s="2" t="str">
        <f ca="1">IFERROR(__xludf.DUMMYFUNCTION("""COMPUTED_VALUE"""),"Linux")</f>
        <v>Linux</v>
      </c>
      <c r="L405" s="2" t="str">
        <f ca="1">IFERROR(__xludf.DUMMYFUNCTION("""COMPUTED_VALUE"""),"2.5kg")</f>
        <v>2.5kg</v>
      </c>
      <c r="M405" s="2">
        <f ca="1">IFERROR(__xludf.DUMMYFUNCTION("""COMPUTED_VALUE"""),879)</f>
        <v>879</v>
      </c>
    </row>
    <row r="406" spans="1:13">
      <c r="A406" s="2">
        <f ca="1">IFERROR(__xludf.DUMMYFUNCTION("""COMPUTED_VALUE"""),411)</f>
        <v>411</v>
      </c>
      <c r="B406" s="2" t="str">
        <f ca="1">IFERROR(__xludf.DUMMYFUNCTION("""COMPUTED_VALUE"""),"MSI")</f>
        <v>MSI</v>
      </c>
      <c r="C406" s="2" t="str">
        <f ca="1">IFERROR(__xludf.DUMMYFUNCTION("""COMPUTED_VALUE"""),"GE73VR 7RF")</f>
        <v>GE73VR 7RF</v>
      </c>
      <c r="D406" s="2" t="str">
        <f ca="1">IFERROR(__xludf.DUMMYFUNCTION("""COMPUTED_VALUE"""),"Gaming")</f>
        <v>Gaming</v>
      </c>
      <c r="E406" s="2">
        <f ca="1">IFERROR(__xludf.DUMMYFUNCTION("""COMPUTED_VALUE"""),17.3)</f>
        <v>17.3</v>
      </c>
      <c r="F406" s="2" t="str">
        <f ca="1">IFERROR(__xludf.DUMMYFUNCTION("""COMPUTED_VALUE"""),"Full HD 1920x1080")</f>
        <v>Full HD 1920x1080</v>
      </c>
      <c r="G406" s="2" t="str">
        <f ca="1">IFERROR(__xludf.DUMMYFUNCTION("""COMPUTED_VALUE"""),"Intel Core i7 7700HQ 2.8GHz")</f>
        <v>Intel Core i7 7700HQ 2.8GHz</v>
      </c>
      <c r="H406" s="2" t="str">
        <f ca="1">IFERROR(__xludf.DUMMYFUNCTION("""COMPUTED_VALUE"""),"16GB")</f>
        <v>16GB</v>
      </c>
      <c r="I406" s="2" t="str">
        <f ca="1">IFERROR(__xludf.DUMMYFUNCTION("""COMPUTED_VALUE"""),"256GB SSD +  1TB HDD")</f>
        <v>256GB SSD +  1TB HDD</v>
      </c>
      <c r="J406" s="2" t="str">
        <f ca="1">IFERROR(__xludf.DUMMYFUNCTION("""COMPUTED_VALUE"""),"Nvidia GeForce GTX 1070")</f>
        <v>Nvidia GeForce GTX 1070</v>
      </c>
      <c r="K406" s="2" t="str">
        <f ca="1">IFERROR(__xludf.DUMMYFUNCTION("""COMPUTED_VALUE"""),"Windows 10")</f>
        <v>Windows 10</v>
      </c>
      <c r="L406" s="2" t="str">
        <f ca="1">IFERROR(__xludf.DUMMYFUNCTION("""COMPUTED_VALUE"""),"2.8kg")</f>
        <v>2.8kg</v>
      </c>
      <c r="M406" s="2">
        <f ca="1">IFERROR(__xludf.DUMMYFUNCTION("""COMPUTED_VALUE"""),2249)</f>
        <v>2249</v>
      </c>
    </row>
    <row r="407" spans="1:13">
      <c r="A407" s="2">
        <f ca="1">IFERROR(__xludf.DUMMYFUNCTION("""COMPUTED_VALUE"""),412)</f>
        <v>412</v>
      </c>
      <c r="B407" s="2" t="str">
        <f ca="1">IFERROR(__xludf.DUMMYFUNCTION("""COMPUTED_VALUE"""),"Asus")</f>
        <v>Asus</v>
      </c>
      <c r="C407" s="2" t="str">
        <f ca="1">IFERROR(__xludf.DUMMYFUNCTION("""COMPUTED_VALUE"""),"Zenbook 3")</f>
        <v>Zenbook 3</v>
      </c>
      <c r="D407" s="2" t="str">
        <f ca="1">IFERROR(__xludf.DUMMYFUNCTION("""COMPUTED_VALUE"""),"Ultrabook")</f>
        <v>Ultrabook</v>
      </c>
      <c r="E407" s="2">
        <f ca="1">IFERROR(__xludf.DUMMYFUNCTION("""COMPUTED_VALUE"""),14)</f>
        <v>14</v>
      </c>
      <c r="F407" s="2" t="str">
        <f ca="1">IFERROR(__xludf.DUMMYFUNCTION("""COMPUTED_VALUE"""),"Full HD 1920x1080")</f>
        <v>Full HD 1920x1080</v>
      </c>
      <c r="G407" s="2" t="str">
        <f ca="1">IFERROR(__xludf.DUMMYFUNCTION("""COMPUTED_VALUE"""),"Intel Core i7 7500U 2.7GHz")</f>
        <v>Intel Core i7 7500U 2.7GHz</v>
      </c>
      <c r="H407" s="2" t="str">
        <f ca="1">IFERROR(__xludf.DUMMYFUNCTION("""COMPUTED_VALUE"""),"8GB")</f>
        <v>8GB</v>
      </c>
      <c r="I407" s="2" t="str">
        <f ca="1">IFERROR(__xludf.DUMMYFUNCTION("""COMPUTED_VALUE"""),"512GB SSD")</f>
        <v>512GB SSD</v>
      </c>
      <c r="J407" s="2" t="str">
        <f ca="1">IFERROR(__xludf.DUMMYFUNCTION("""COMPUTED_VALUE"""),"Intel HD Graphics 620")</f>
        <v>Intel HD Graphics 620</v>
      </c>
      <c r="K407" s="2" t="str">
        <f ca="1">IFERROR(__xludf.DUMMYFUNCTION("""COMPUTED_VALUE"""),"Windows 10")</f>
        <v>Windows 10</v>
      </c>
      <c r="L407" s="2" t="str">
        <f ca="1">IFERROR(__xludf.DUMMYFUNCTION("""COMPUTED_VALUE"""),"1.10kg")</f>
        <v>1.10kg</v>
      </c>
      <c r="M407" s="2">
        <f ca="1">IFERROR(__xludf.DUMMYFUNCTION("""COMPUTED_VALUE"""),1873)</f>
        <v>1873</v>
      </c>
    </row>
    <row r="408" spans="1:13">
      <c r="A408" s="2">
        <f ca="1">IFERROR(__xludf.DUMMYFUNCTION("""COMPUTED_VALUE"""),413)</f>
        <v>413</v>
      </c>
      <c r="B408" s="2" t="str">
        <f ca="1">IFERROR(__xludf.DUMMYFUNCTION("""COMPUTED_VALUE"""),"Toshiba")</f>
        <v>Toshiba</v>
      </c>
      <c r="C408" s="2" t="str">
        <f ca="1">IFERROR(__xludf.DUMMYFUNCTION("""COMPUTED_VALUE"""),"Portege Z30-C-16P")</f>
        <v>Portege Z30-C-16P</v>
      </c>
      <c r="D408" s="2" t="str">
        <f ca="1">IFERROR(__xludf.DUMMYFUNCTION("""COMPUTED_VALUE"""),"Ultrabook")</f>
        <v>Ultrabook</v>
      </c>
      <c r="E408" s="2">
        <f ca="1">IFERROR(__xludf.DUMMYFUNCTION("""COMPUTED_VALUE"""),13.3)</f>
        <v>13.3</v>
      </c>
      <c r="F408" s="2" t="str">
        <f ca="1">IFERROR(__xludf.DUMMYFUNCTION("""COMPUTED_VALUE"""),"Full HD 1920x1080")</f>
        <v>Full HD 1920x1080</v>
      </c>
      <c r="G408" s="2" t="str">
        <f ca="1">IFERROR(__xludf.DUMMYFUNCTION("""COMPUTED_VALUE"""),"Intel Core i7 6500U 2.5GHz")</f>
        <v>Intel Core i7 6500U 2.5GHz</v>
      </c>
      <c r="H408" s="2" t="str">
        <f ca="1">IFERROR(__xludf.DUMMYFUNCTION("""COMPUTED_VALUE"""),"16GB")</f>
        <v>16GB</v>
      </c>
      <c r="I408" s="2" t="str">
        <f ca="1">IFERROR(__xludf.DUMMYFUNCTION("""COMPUTED_VALUE"""),"512GB SSD")</f>
        <v>512GB SSD</v>
      </c>
      <c r="J408" s="2" t="str">
        <f ca="1">IFERROR(__xludf.DUMMYFUNCTION("""COMPUTED_VALUE"""),"Intel HD Graphics 520")</f>
        <v>Intel HD Graphics 520</v>
      </c>
      <c r="K408" s="2" t="str">
        <f ca="1">IFERROR(__xludf.DUMMYFUNCTION("""COMPUTED_VALUE"""),"Windows 10")</f>
        <v>Windows 10</v>
      </c>
      <c r="L408" s="2" t="str">
        <f ca="1">IFERROR(__xludf.DUMMYFUNCTION("""COMPUTED_VALUE"""),"1.2kg")</f>
        <v>1.2kg</v>
      </c>
      <c r="M408" s="2">
        <f ca="1">IFERROR(__xludf.DUMMYFUNCTION("""COMPUTED_VALUE"""),1747)</f>
        <v>1747</v>
      </c>
    </row>
    <row r="409" spans="1:13">
      <c r="A409" s="2">
        <f ca="1">IFERROR(__xludf.DUMMYFUNCTION("""COMPUTED_VALUE"""),414)</f>
        <v>414</v>
      </c>
      <c r="B409" s="2" t="str">
        <f ca="1">IFERROR(__xludf.DUMMYFUNCTION("""COMPUTED_VALUE"""),"Dell")</f>
        <v>Dell</v>
      </c>
      <c r="C409" s="2" t="str">
        <f ca="1">IFERROR(__xludf.DUMMYFUNCTION("""COMPUTED_VALUE"""),"Latitude 7480")</f>
        <v>Latitude 7480</v>
      </c>
      <c r="D409" s="2" t="str">
        <f ca="1">IFERROR(__xludf.DUMMYFUNCTION("""COMPUTED_VALUE"""),"Ultrabook")</f>
        <v>Ultrabook</v>
      </c>
      <c r="E409" s="2">
        <f ca="1">IFERROR(__xludf.DUMMYFUNCTION("""COMPUTED_VALUE"""),14)</f>
        <v>14</v>
      </c>
      <c r="F409" s="2" t="str">
        <f ca="1">IFERROR(__xludf.DUMMYFUNCTION("""COMPUTED_VALUE"""),"Full HD 1920x1080")</f>
        <v>Full HD 1920x1080</v>
      </c>
      <c r="G409" s="2" t="str">
        <f ca="1">IFERROR(__xludf.DUMMYFUNCTION("""COMPUTED_VALUE"""),"Intel Core i7 7600U 2.8GHz")</f>
        <v>Intel Core i7 7600U 2.8GHz</v>
      </c>
      <c r="H409" s="2" t="str">
        <f ca="1">IFERROR(__xludf.DUMMYFUNCTION("""COMPUTED_VALUE"""),"8GB")</f>
        <v>8GB</v>
      </c>
      <c r="I409" s="2" t="str">
        <f ca="1">IFERROR(__xludf.DUMMYFUNCTION("""COMPUTED_VALUE"""),"512GB SSD")</f>
        <v>512GB SSD</v>
      </c>
      <c r="J409" s="2" t="str">
        <f ca="1">IFERROR(__xludf.DUMMYFUNCTION("""COMPUTED_VALUE"""),"Intel HD Graphics")</f>
        <v>Intel HD Graphics</v>
      </c>
      <c r="K409" s="2" t="str">
        <f ca="1">IFERROR(__xludf.DUMMYFUNCTION("""COMPUTED_VALUE"""),"Windows 10")</f>
        <v>Windows 10</v>
      </c>
      <c r="L409" s="2" t="str">
        <f ca="1">IFERROR(__xludf.DUMMYFUNCTION("""COMPUTED_VALUE"""),"1.36kg")</f>
        <v>1.36kg</v>
      </c>
      <c r="M409" s="2">
        <f ca="1">IFERROR(__xludf.DUMMYFUNCTION("""COMPUTED_VALUE"""),1680)</f>
        <v>1680</v>
      </c>
    </row>
    <row r="410" spans="1:13">
      <c r="A410" s="2">
        <f ca="1">IFERROR(__xludf.DUMMYFUNCTION("""COMPUTED_VALUE"""),415)</f>
        <v>415</v>
      </c>
      <c r="B410" s="2" t="str">
        <f ca="1">IFERROR(__xludf.DUMMYFUNCTION("""COMPUTED_VALUE"""),"Lenovo")</f>
        <v>Lenovo</v>
      </c>
      <c r="C410" s="2" t="str">
        <f ca="1">IFERROR(__xludf.DUMMYFUNCTION("""COMPUTED_VALUE"""),"IdeaPad 320-15ISK")</f>
        <v>IdeaPad 320-15ISK</v>
      </c>
      <c r="D410" s="2" t="str">
        <f ca="1">IFERROR(__xludf.DUMMYFUNCTION("""COMPUTED_VALUE"""),"Notebook")</f>
        <v>Notebook</v>
      </c>
      <c r="E410" s="2">
        <f ca="1">IFERROR(__xludf.DUMMYFUNCTION("""COMPUTED_VALUE"""),15.6)</f>
        <v>15.6</v>
      </c>
      <c r="F410" s="2" t="str">
        <f ca="1">IFERROR(__xludf.DUMMYFUNCTION("""COMPUTED_VALUE"""),"Full HD 1920x1080")</f>
        <v>Full HD 1920x1080</v>
      </c>
      <c r="G410" s="2" t="str">
        <f ca="1">IFERROR(__xludf.DUMMYFUNCTION("""COMPUTED_VALUE"""),"Intel Core i3 6006U 2GHz")</f>
        <v>Intel Core i3 6006U 2GHz</v>
      </c>
      <c r="H410" s="2" t="str">
        <f ca="1">IFERROR(__xludf.DUMMYFUNCTION("""COMPUTED_VALUE"""),"4GB")</f>
        <v>4GB</v>
      </c>
      <c r="I410" s="2" t="str">
        <f ca="1">IFERROR(__xludf.DUMMYFUNCTION("""COMPUTED_VALUE"""),"500GB HDD")</f>
        <v>500GB HDD</v>
      </c>
      <c r="J410" s="2" t="str">
        <f ca="1">IFERROR(__xludf.DUMMYFUNCTION("""COMPUTED_VALUE"""),"Intel HD Graphics 520")</f>
        <v>Intel HD Graphics 520</v>
      </c>
      <c r="K410" s="2" t="str">
        <f ca="1">IFERROR(__xludf.DUMMYFUNCTION("""COMPUTED_VALUE"""),"Windows 10")</f>
        <v>Windows 10</v>
      </c>
      <c r="L410" s="2" t="str">
        <f ca="1">IFERROR(__xludf.DUMMYFUNCTION("""COMPUTED_VALUE"""),"2.2kg")</f>
        <v>2.2kg</v>
      </c>
      <c r="M410" s="2">
        <f ca="1">IFERROR(__xludf.DUMMYFUNCTION("""COMPUTED_VALUE"""),409)</f>
        <v>409</v>
      </c>
    </row>
    <row r="411" spans="1:13">
      <c r="A411" s="2">
        <f ca="1">IFERROR(__xludf.DUMMYFUNCTION("""COMPUTED_VALUE"""),416)</f>
        <v>416</v>
      </c>
      <c r="B411" s="2" t="str">
        <f ca="1">IFERROR(__xludf.DUMMYFUNCTION("""COMPUTED_VALUE"""),"Lenovo")</f>
        <v>Lenovo</v>
      </c>
      <c r="C411" s="2" t="str">
        <f ca="1">IFERROR(__xludf.DUMMYFUNCTION("""COMPUTED_VALUE"""),"Lenovo IdeaPad")</f>
        <v>Lenovo IdeaPad</v>
      </c>
      <c r="D411" s="2" t="str">
        <f ca="1">IFERROR(__xludf.DUMMYFUNCTION("""COMPUTED_VALUE"""),"Notebook")</f>
        <v>Notebook</v>
      </c>
      <c r="E411" s="2">
        <f ca="1">IFERROR(__xludf.DUMMYFUNCTION("""COMPUTED_VALUE"""),11.6)</f>
        <v>11.6</v>
      </c>
      <c r="F411" s="2" t="str">
        <f ca="1">IFERROR(__xludf.DUMMYFUNCTION("""COMPUTED_VALUE"""),"1366x768")</f>
        <v>1366x768</v>
      </c>
      <c r="G411" s="2" t="str">
        <f ca="1">IFERROR(__xludf.DUMMYFUNCTION("""COMPUTED_VALUE"""),"Intel Celeron Dual Core N3350 1.1GHz")</f>
        <v>Intel Celeron Dual Core N3350 1.1GHz</v>
      </c>
      <c r="H411" s="2" t="str">
        <f ca="1">IFERROR(__xludf.DUMMYFUNCTION("""COMPUTED_VALUE"""),"2GB")</f>
        <v>2GB</v>
      </c>
      <c r="I411" s="2" t="str">
        <f ca="1">IFERROR(__xludf.DUMMYFUNCTION("""COMPUTED_VALUE"""),"32GB Flash Storage")</f>
        <v>32GB Flash Storage</v>
      </c>
      <c r="J411" s="2" t="str">
        <f ca="1">IFERROR(__xludf.DUMMYFUNCTION("""COMPUTED_VALUE"""),"Intel HD Graphics 500")</f>
        <v>Intel HD Graphics 500</v>
      </c>
      <c r="K411" s="2" t="str">
        <f ca="1">IFERROR(__xludf.DUMMYFUNCTION("""COMPUTED_VALUE"""),"Windows 10")</f>
        <v>Windows 10</v>
      </c>
      <c r="L411" s="2" t="str">
        <f ca="1">IFERROR(__xludf.DUMMYFUNCTION("""COMPUTED_VALUE"""),"1.15kg")</f>
        <v>1.15kg</v>
      </c>
      <c r="M411" s="2">
        <f ca="1">IFERROR(__xludf.DUMMYFUNCTION("""COMPUTED_VALUE"""),304.45)</f>
        <v>304.45</v>
      </c>
    </row>
    <row r="412" spans="1:13">
      <c r="A412" s="2">
        <f ca="1">IFERROR(__xludf.DUMMYFUNCTION("""COMPUTED_VALUE"""),417)</f>
        <v>417</v>
      </c>
      <c r="B412" s="2" t="str">
        <f ca="1">IFERROR(__xludf.DUMMYFUNCTION("""COMPUTED_VALUE"""),"Lenovo")</f>
        <v>Lenovo</v>
      </c>
      <c r="C412" s="2" t="str">
        <f ca="1">IFERROR(__xludf.DUMMYFUNCTION("""COMPUTED_VALUE"""),"ThinkPad P51")</f>
        <v>ThinkPad P51</v>
      </c>
      <c r="D412" s="2" t="str">
        <f ca="1">IFERROR(__xludf.DUMMYFUNCTION("""COMPUTED_VALUE"""),"Workstation")</f>
        <v>Workstation</v>
      </c>
      <c r="E412" s="2">
        <f ca="1">IFERROR(__xludf.DUMMYFUNCTION("""COMPUTED_VALUE"""),15.6)</f>
        <v>15.6</v>
      </c>
      <c r="F412" s="2" t="str">
        <f ca="1">IFERROR(__xludf.DUMMYFUNCTION("""COMPUTED_VALUE"""),"Full HD 1920x1080")</f>
        <v>Full HD 1920x1080</v>
      </c>
      <c r="G412" s="2" t="str">
        <f ca="1">IFERROR(__xludf.DUMMYFUNCTION("""COMPUTED_VALUE"""),"Intel Core i7 7700HQ 2.8GHz")</f>
        <v>Intel Core i7 7700HQ 2.8GHz</v>
      </c>
      <c r="H412" s="2" t="str">
        <f ca="1">IFERROR(__xludf.DUMMYFUNCTION("""COMPUTED_VALUE"""),"8GB")</f>
        <v>8GB</v>
      </c>
      <c r="I412" s="2" t="str">
        <f ca="1">IFERROR(__xludf.DUMMYFUNCTION("""COMPUTED_VALUE"""),"512GB SSD")</f>
        <v>512GB SSD</v>
      </c>
      <c r="J412" s="2" t="str">
        <f ca="1">IFERROR(__xludf.DUMMYFUNCTION("""COMPUTED_VALUE"""),"Nvidia Quadro M1200")</f>
        <v>Nvidia Quadro M1200</v>
      </c>
      <c r="K412" s="2" t="str">
        <f ca="1">IFERROR(__xludf.DUMMYFUNCTION("""COMPUTED_VALUE"""),"Windows 10")</f>
        <v>Windows 10</v>
      </c>
      <c r="L412" s="2" t="str">
        <f ca="1">IFERROR(__xludf.DUMMYFUNCTION("""COMPUTED_VALUE"""),"2.67kg")</f>
        <v>2.67kg</v>
      </c>
      <c r="M412" s="2">
        <f ca="1">IFERROR(__xludf.DUMMYFUNCTION("""COMPUTED_VALUE"""),1925)</f>
        <v>1925</v>
      </c>
    </row>
    <row r="413" spans="1:13">
      <c r="A413" s="2">
        <f ca="1">IFERROR(__xludf.DUMMYFUNCTION("""COMPUTED_VALUE"""),418)</f>
        <v>418</v>
      </c>
      <c r="B413" s="2" t="str">
        <f ca="1">IFERROR(__xludf.DUMMYFUNCTION("""COMPUTED_VALUE"""),"Lenovo")</f>
        <v>Lenovo</v>
      </c>
      <c r="C413" s="2" t="str">
        <f ca="1">IFERROR(__xludf.DUMMYFUNCTION("""COMPUTED_VALUE"""),"Thinkpad T470p")</f>
        <v>Thinkpad T470p</v>
      </c>
      <c r="D413" s="2" t="str">
        <f ca="1">IFERROR(__xludf.DUMMYFUNCTION("""COMPUTED_VALUE"""),"Ultrabook")</f>
        <v>Ultrabook</v>
      </c>
      <c r="E413" s="2">
        <f ca="1">IFERROR(__xludf.DUMMYFUNCTION("""COMPUTED_VALUE"""),14)</f>
        <v>14</v>
      </c>
      <c r="F413" s="2" t="str">
        <f ca="1">IFERROR(__xludf.DUMMYFUNCTION("""COMPUTED_VALUE"""),"IPS Panel Full HD 2560x1440")</f>
        <v>IPS Panel Full HD 2560x1440</v>
      </c>
      <c r="G413" s="2" t="str">
        <f ca="1">IFERROR(__xludf.DUMMYFUNCTION("""COMPUTED_VALUE"""),"Intel Core i7 7700HQ 2.8GHz")</f>
        <v>Intel Core i7 7700HQ 2.8GHz</v>
      </c>
      <c r="H413" s="2" t="str">
        <f ca="1">IFERROR(__xludf.DUMMYFUNCTION("""COMPUTED_VALUE"""),"8GB")</f>
        <v>8GB</v>
      </c>
      <c r="I413" s="2" t="str">
        <f ca="1">IFERROR(__xludf.DUMMYFUNCTION("""COMPUTED_VALUE"""),"512GB SSD")</f>
        <v>512GB SSD</v>
      </c>
      <c r="J413" s="2" t="str">
        <f ca="1">IFERROR(__xludf.DUMMYFUNCTION("""COMPUTED_VALUE"""),"Nvidia GeForce GT 940MX")</f>
        <v>Nvidia GeForce GT 940MX</v>
      </c>
      <c r="K413" s="2" t="str">
        <f ca="1">IFERROR(__xludf.DUMMYFUNCTION("""COMPUTED_VALUE"""),"Windows 10")</f>
        <v>Windows 10</v>
      </c>
      <c r="L413" s="2" t="str">
        <f ca="1">IFERROR(__xludf.DUMMYFUNCTION("""COMPUTED_VALUE"""),"1.7kg")</f>
        <v>1.7kg</v>
      </c>
      <c r="M413" s="2">
        <f ca="1">IFERROR(__xludf.DUMMYFUNCTION("""COMPUTED_VALUE"""),1943)</f>
        <v>1943</v>
      </c>
    </row>
    <row r="414" spans="1:13">
      <c r="A414" s="2">
        <f ca="1">IFERROR(__xludf.DUMMYFUNCTION("""COMPUTED_VALUE"""),419)</f>
        <v>419</v>
      </c>
      <c r="B414" s="2" t="str">
        <f ca="1">IFERROR(__xludf.DUMMYFUNCTION("""COMPUTED_VALUE"""),"HP")</f>
        <v>HP</v>
      </c>
      <c r="C414" s="2" t="str">
        <f ca="1">IFERROR(__xludf.DUMMYFUNCTION("""COMPUTED_VALUE"""),"15-BS028nv (i3-6006U/4GB/1TB/Radeon")</f>
        <v>15-BS028nv (i3-6006U/4GB/1TB/Radeon</v>
      </c>
      <c r="D414" s="2" t="str">
        <f ca="1">IFERROR(__xludf.DUMMYFUNCTION("""COMPUTED_VALUE"""),"Notebook")</f>
        <v>Notebook</v>
      </c>
      <c r="E414" s="2">
        <f ca="1">IFERROR(__xludf.DUMMYFUNCTION("""COMPUTED_VALUE"""),15.6)</f>
        <v>15.6</v>
      </c>
      <c r="F414" s="2" t="str">
        <f ca="1">IFERROR(__xludf.DUMMYFUNCTION("""COMPUTED_VALUE"""),"Full HD 1920x1080")</f>
        <v>Full HD 1920x1080</v>
      </c>
      <c r="G414" s="2" t="str">
        <f ca="1">IFERROR(__xludf.DUMMYFUNCTION("""COMPUTED_VALUE"""),"Intel Core i3 6006U 2GHz")</f>
        <v>Intel Core i3 6006U 2GHz</v>
      </c>
      <c r="H414" s="2" t="str">
        <f ca="1">IFERROR(__xludf.DUMMYFUNCTION("""COMPUTED_VALUE"""),"4GB")</f>
        <v>4GB</v>
      </c>
      <c r="I414" s="2" t="str">
        <f ca="1">IFERROR(__xludf.DUMMYFUNCTION("""COMPUTED_VALUE"""),"1TB HDD")</f>
        <v>1TB HDD</v>
      </c>
      <c r="J414" s="2" t="str">
        <f ca="1">IFERROR(__xludf.DUMMYFUNCTION("""COMPUTED_VALUE"""),"AMD Radeon 520")</f>
        <v>AMD Radeon 520</v>
      </c>
      <c r="K414" s="2" t="str">
        <f ca="1">IFERROR(__xludf.DUMMYFUNCTION("""COMPUTED_VALUE"""),"Windows 10")</f>
        <v>Windows 10</v>
      </c>
      <c r="L414" s="2" t="str">
        <f ca="1">IFERROR(__xludf.DUMMYFUNCTION("""COMPUTED_VALUE"""),"2.1kg")</f>
        <v>2.1kg</v>
      </c>
      <c r="M414" s="2">
        <f ca="1">IFERROR(__xludf.DUMMYFUNCTION("""COMPUTED_VALUE"""),469)</f>
        <v>469</v>
      </c>
    </row>
    <row r="415" spans="1:13">
      <c r="A415" s="2">
        <f ca="1">IFERROR(__xludf.DUMMYFUNCTION("""COMPUTED_VALUE"""),420)</f>
        <v>420</v>
      </c>
      <c r="B415" s="2" t="str">
        <f ca="1">IFERROR(__xludf.DUMMYFUNCTION("""COMPUTED_VALUE"""),"Acer")</f>
        <v>Acer</v>
      </c>
      <c r="C415" s="2" t="str">
        <f ca="1">IFERROR(__xludf.DUMMYFUNCTION("""COMPUTED_VALUE"""),"Aspire R7")</f>
        <v>Aspire R7</v>
      </c>
      <c r="D415" s="2" t="str">
        <f ca="1">IFERROR(__xludf.DUMMYFUNCTION("""COMPUTED_VALUE"""),"2 in 1 Convertible")</f>
        <v>2 in 1 Convertible</v>
      </c>
      <c r="E415" s="2">
        <f ca="1">IFERROR(__xludf.DUMMYFUNCTION("""COMPUTED_VALUE"""),13.3)</f>
        <v>13.3</v>
      </c>
      <c r="F415" s="2" t="str">
        <f ca="1">IFERROR(__xludf.DUMMYFUNCTION("""COMPUTED_VALUE"""),"IPS Panel Full HD / Touchscreen 1920x1080")</f>
        <v>IPS Panel Full HD / Touchscreen 1920x1080</v>
      </c>
      <c r="G415" s="2" t="str">
        <f ca="1">IFERROR(__xludf.DUMMYFUNCTION("""COMPUTED_VALUE"""),"Intel Core i7 6500U 2.5GHz")</f>
        <v>Intel Core i7 6500U 2.5GHz</v>
      </c>
      <c r="H415" s="2" t="str">
        <f ca="1">IFERROR(__xludf.DUMMYFUNCTION("""COMPUTED_VALUE"""),"8GB")</f>
        <v>8GB</v>
      </c>
      <c r="I415" s="2" t="str">
        <f ca="1">IFERROR(__xludf.DUMMYFUNCTION("""COMPUTED_VALUE"""),"256GB SSD")</f>
        <v>256GB SSD</v>
      </c>
      <c r="J415" s="2" t="str">
        <f ca="1">IFERROR(__xludf.DUMMYFUNCTION("""COMPUTED_VALUE"""),"Intel HD Graphics 520")</f>
        <v>Intel HD Graphics 520</v>
      </c>
      <c r="K415" s="2" t="str">
        <f ca="1">IFERROR(__xludf.DUMMYFUNCTION("""COMPUTED_VALUE"""),"Windows 10")</f>
        <v>Windows 10</v>
      </c>
      <c r="L415" s="2" t="str">
        <f ca="1">IFERROR(__xludf.DUMMYFUNCTION("""COMPUTED_VALUE"""),"1.6kg")</f>
        <v>1.6kg</v>
      </c>
      <c r="M415" s="2">
        <f ca="1">IFERROR(__xludf.DUMMYFUNCTION("""COMPUTED_VALUE"""),789.01)</f>
        <v>789.01</v>
      </c>
    </row>
    <row r="416" spans="1:13">
      <c r="A416" s="2">
        <f ca="1">IFERROR(__xludf.DUMMYFUNCTION("""COMPUTED_VALUE"""),421)</f>
        <v>421</v>
      </c>
      <c r="B416" s="2" t="str">
        <f ca="1">IFERROR(__xludf.DUMMYFUNCTION("""COMPUTED_VALUE"""),"Asus")</f>
        <v>Asus</v>
      </c>
      <c r="C416" s="2" t="str">
        <f ca="1">IFERROR(__xludf.DUMMYFUNCTION("""COMPUTED_VALUE"""),"ZenBook Flip")</f>
        <v>ZenBook Flip</v>
      </c>
      <c r="D416" s="2" t="str">
        <f ca="1">IFERROR(__xludf.DUMMYFUNCTION("""COMPUTED_VALUE"""),"2 in 1 Convertible")</f>
        <v>2 in 1 Convertible</v>
      </c>
      <c r="E416" s="2">
        <f ca="1">IFERROR(__xludf.DUMMYFUNCTION("""COMPUTED_VALUE"""),13.3)</f>
        <v>13.3</v>
      </c>
      <c r="F416" s="2" t="str">
        <f ca="1">IFERROR(__xludf.DUMMYFUNCTION("""COMPUTED_VALUE"""),"IPS Panel Full HD / Touchscreen 1920x1080")</f>
        <v>IPS Panel Full HD / Touchscreen 1920x1080</v>
      </c>
      <c r="G416" s="2" t="str">
        <f ca="1">IFERROR(__xludf.DUMMYFUNCTION("""COMPUTED_VALUE"""),"Intel Core i5 7200U 2.5GHz")</f>
        <v>Intel Core i5 7200U 2.5GHz</v>
      </c>
      <c r="H416" s="2" t="str">
        <f ca="1">IFERROR(__xludf.DUMMYFUNCTION("""COMPUTED_VALUE"""),"8GB")</f>
        <v>8GB</v>
      </c>
      <c r="I416" s="2" t="str">
        <f ca="1">IFERROR(__xludf.DUMMYFUNCTION("""COMPUTED_VALUE"""),"256GB SSD")</f>
        <v>256GB SSD</v>
      </c>
      <c r="J416" s="2" t="str">
        <f ca="1">IFERROR(__xludf.DUMMYFUNCTION("""COMPUTED_VALUE"""),"Intel HD Graphics 620")</f>
        <v>Intel HD Graphics 620</v>
      </c>
      <c r="K416" s="2" t="str">
        <f ca="1">IFERROR(__xludf.DUMMYFUNCTION("""COMPUTED_VALUE"""),"Windows 10")</f>
        <v>Windows 10</v>
      </c>
      <c r="L416" s="2" t="str">
        <f ca="1">IFERROR(__xludf.DUMMYFUNCTION("""COMPUTED_VALUE"""),"1.27kg")</f>
        <v>1.27kg</v>
      </c>
      <c r="M416" s="2">
        <f ca="1">IFERROR(__xludf.DUMMYFUNCTION("""COMPUTED_VALUE"""),928)</f>
        <v>928</v>
      </c>
    </row>
    <row r="417" spans="1:13">
      <c r="A417" s="2">
        <f ca="1">IFERROR(__xludf.DUMMYFUNCTION("""COMPUTED_VALUE"""),422)</f>
        <v>422</v>
      </c>
      <c r="B417" s="2" t="str">
        <f ca="1">IFERROR(__xludf.DUMMYFUNCTION("""COMPUTED_VALUE"""),"Dell")</f>
        <v>Dell</v>
      </c>
      <c r="C417" s="2" t="str">
        <f ca="1">IFERROR(__xludf.DUMMYFUNCTION("""COMPUTED_VALUE"""),"Inspiron 3567")</f>
        <v>Inspiron 3567</v>
      </c>
      <c r="D417" s="2" t="str">
        <f ca="1">IFERROR(__xludf.DUMMYFUNCTION("""COMPUTED_VALUE"""),"Notebook")</f>
        <v>Notebook</v>
      </c>
      <c r="E417" s="2">
        <f ca="1">IFERROR(__xludf.DUMMYFUNCTION("""COMPUTED_VALUE"""),15.6)</f>
        <v>15.6</v>
      </c>
      <c r="F417" s="2" t="str">
        <f ca="1">IFERROR(__xludf.DUMMYFUNCTION("""COMPUTED_VALUE"""),"Full HD 1920x1080")</f>
        <v>Full HD 1920x1080</v>
      </c>
      <c r="G417" s="2" t="str">
        <f ca="1">IFERROR(__xludf.DUMMYFUNCTION("""COMPUTED_VALUE"""),"Intel Core i5 7200U 2.5GHz")</f>
        <v>Intel Core i5 7200U 2.5GHz</v>
      </c>
      <c r="H417" s="2" t="str">
        <f ca="1">IFERROR(__xludf.DUMMYFUNCTION("""COMPUTED_VALUE"""),"4GB")</f>
        <v>4GB</v>
      </c>
      <c r="I417" s="2" t="str">
        <f ca="1">IFERROR(__xludf.DUMMYFUNCTION("""COMPUTED_VALUE"""),"256GB SSD")</f>
        <v>256GB SSD</v>
      </c>
      <c r="J417" s="2" t="str">
        <f ca="1">IFERROR(__xludf.DUMMYFUNCTION("""COMPUTED_VALUE"""),"AMD Radeon R5 M430")</f>
        <v>AMD Radeon R5 M430</v>
      </c>
      <c r="K417" s="2" t="str">
        <f ca="1">IFERROR(__xludf.DUMMYFUNCTION("""COMPUTED_VALUE"""),"Linux")</f>
        <v>Linux</v>
      </c>
      <c r="L417" s="2" t="str">
        <f ca="1">IFERROR(__xludf.DUMMYFUNCTION("""COMPUTED_VALUE"""),"2.3kg")</f>
        <v>2.3kg</v>
      </c>
      <c r="M417" s="2">
        <f ca="1">IFERROR(__xludf.DUMMYFUNCTION("""COMPUTED_VALUE"""),598.9)</f>
        <v>598.9</v>
      </c>
    </row>
    <row r="418" spans="1:13">
      <c r="A418" s="2">
        <f ca="1">IFERROR(__xludf.DUMMYFUNCTION("""COMPUTED_VALUE"""),423)</f>
        <v>423</v>
      </c>
      <c r="B418" s="2" t="str">
        <f ca="1">IFERROR(__xludf.DUMMYFUNCTION("""COMPUTED_VALUE"""),"Dell")</f>
        <v>Dell</v>
      </c>
      <c r="C418" s="2" t="str">
        <f ca="1">IFERROR(__xludf.DUMMYFUNCTION("""COMPUTED_VALUE"""),"Latitude 3380")</f>
        <v>Latitude 3380</v>
      </c>
      <c r="D418" s="2" t="str">
        <f ca="1">IFERROR(__xludf.DUMMYFUNCTION("""COMPUTED_VALUE"""),"Notebook")</f>
        <v>Notebook</v>
      </c>
      <c r="E418" s="2">
        <f ca="1">IFERROR(__xludf.DUMMYFUNCTION("""COMPUTED_VALUE"""),13.3)</f>
        <v>13.3</v>
      </c>
      <c r="F418" s="2" t="str">
        <f ca="1">IFERROR(__xludf.DUMMYFUNCTION("""COMPUTED_VALUE"""),"1366x768")</f>
        <v>1366x768</v>
      </c>
      <c r="G418" s="2" t="str">
        <f ca="1">IFERROR(__xludf.DUMMYFUNCTION("""COMPUTED_VALUE"""),"Intel Core i3 6006U 2GHz")</f>
        <v>Intel Core i3 6006U 2GHz</v>
      </c>
      <c r="H418" s="2" t="str">
        <f ca="1">IFERROR(__xludf.DUMMYFUNCTION("""COMPUTED_VALUE"""),"4GB")</f>
        <v>4GB</v>
      </c>
      <c r="I418" s="2" t="str">
        <f ca="1">IFERROR(__xludf.DUMMYFUNCTION("""COMPUTED_VALUE"""),"128GB SSD")</f>
        <v>128GB SSD</v>
      </c>
      <c r="J418" s="2" t="str">
        <f ca="1">IFERROR(__xludf.DUMMYFUNCTION("""COMPUTED_VALUE"""),"Intel HD Graphics 520")</f>
        <v>Intel HD Graphics 520</v>
      </c>
      <c r="K418" s="2" t="str">
        <f ca="1">IFERROR(__xludf.DUMMYFUNCTION("""COMPUTED_VALUE"""),"Windows 10")</f>
        <v>Windows 10</v>
      </c>
      <c r="L418" s="2" t="str">
        <f ca="1">IFERROR(__xludf.DUMMYFUNCTION("""COMPUTED_VALUE"""),"1.65kg")</f>
        <v>1.65kg</v>
      </c>
      <c r="M418" s="2">
        <f ca="1">IFERROR(__xludf.DUMMYFUNCTION("""COMPUTED_VALUE"""),689)</f>
        <v>689</v>
      </c>
    </row>
    <row r="419" spans="1:13">
      <c r="A419" s="2">
        <f ca="1">IFERROR(__xludf.DUMMYFUNCTION("""COMPUTED_VALUE"""),424)</f>
        <v>424</v>
      </c>
      <c r="B419" s="2" t="str">
        <f ca="1">IFERROR(__xludf.DUMMYFUNCTION("""COMPUTED_VALUE"""),"HP")</f>
        <v>HP</v>
      </c>
      <c r="C419" s="2" t="str">
        <f ca="1">IFERROR(__xludf.DUMMYFUNCTION("""COMPUTED_VALUE"""),"EliteBook 1040")</f>
        <v>EliteBook 1040</v>
      </c>
      <c r="D419" s="2" t="str">
        <f ca="1">IFERROR(__xludf.DUMMYFUNCTION("""COMPUTED_VALUE"""),"Ultrabook")</f>
        <v>Ultrabook</v>
      </c>
      <c r="E419" s="2">
        <f ca="1">IFERROR(__xludf.DUMMYFUNCTION("""COMPUTED_VALUE"""),14)</f>
        <v>14</v>
      </c>
      <c r="F419" s="2" t="str">
        <f ca="1">IFERROR(__xludf.DUMMYFUNCTION("""COMPUTED_VALUE"""),"Full HD 1920x1080")</f>
        <v>Full HD 1920x1080</v>
      </c>
      <c r="G419" s="2" t="str">
        <f ca="1">IFERROR(__xludf.DUMMYFUNCTION("""COMPUTED_VALUE"""),"Intel Core i7 6500U 2.5GHz")</f>
        <v>Intel Core i7 6500U 2.5GHz</v>
      </c>
      <c r="H419" s="2" t="str">
        <f ca="1">IFERROR(__xludf.DUMMYFUNCTION("""COMPUTED_VALUE"""),"8GB")</f>
        <v>8GB</v>
      </c>
      <c r="I419" s="2" t="str">
        <f ca="1">IFERROR(__xludf.DUMMYFUNCTION("""COMPUTED_VALUE"""),"256GB SSD")</f>
        <v>256GB SSD</v>
      </c>
      <c r="J419" s="2" t="str">
        <f ca="1">IFERROR(__xludf.DUMMYFUNCTION("""COMPUTED_VALUE"""),"Intel HD Graphics 520")</f>
        <v>Intel HD Graphics 520</v>
      </c>
      <c r="K419" s="2" t="str">
        <f ca="1">IFERROR(__xludf.DUMMYFUNCTION("""COMPUTED_VALUE"""),"Windows 10")</f>
        <v>Windows 10</v>
      </c>
      <c r="L419" s="2" t="str">
        <f ca="1">IFERROR(__xludf.DUMMYFUNCTION("""COMPUTED_VALUE"""),"1.43kg")</f>
        <v>1.43kg</v>
      </c>
      <c r="M419" s="2">
        <f ca="1">IFERROR(__xludf.DUMMYFUNCTION("""COMPUTED_VALUE"""),1500)</f>
        <v>1500</v>
      </c>
    </row>
    <row r="420" spans="1:13">
      <c r="A420" s="2">
        <f ca="1">IFERROR(__xludf.DUMMYFUNCTION("""COMPUTED_VALUE"""),425)</f>
        <v>425</v>
      </c>
      <c r="B420" s="2" t="str">
        <f ca="1">IFERROR(__xludf.DUMMYFUNCTION("""COMPUTED_VALUE"""),"Dell")</f>
        <v>Dell</v>
      </c>
      <c r="C420" s="2" t="str">
        <f ca="1">IFERROR(__xludf.DUMMYFUNCTION("""COMPUTED_VALUE"""),"Inspiron 3567")</f>
        <v>Inspiron 3567</v>
      </c>
      <c r="D420" s="2" t="str">
        <f ca="1">IFERROR(__xludf.DUMMYFUNCTION("""COMPUTED_VALUE"""),"Notebook")</f>
        <v>Notebook</v>
      </c>
      <c r="E420" s="2">
        <f ca="1">IFERROR(__xludf.DUMMYFUNCTION("""COMPUTED_VALUE"""),15.6)</f>
        <v>15.6</v>
      </c>
      <c r="F420" s="2" t="str">
        <f ca="1">IFERROR(__xludf.DUMMYFUNCTION("""COMPUTED_VALUE"""),"1366x768")</f>
        <v>1366x768</v>
      </c>
      <c r="G420" s="2" t="str">
        <f ca="1">IFERROR(__xludf.DUMMYFUNCTION("""COMPUTED_VALUE"""),"Intel Core i5 7200U 2.5GHz")</f>
        <v>Intel Core i5 7200U 2.5GHz</v>
      </c>
      <c r="H420" s="2" t="str">
        <f ca="1">IFERROR(__xludf.DUMMYFUNCTION("""COMPUTED_VALUE"""),"8GB")</f>
        <v>8GB</v>
      </c>
      <c r="I420" s="2" t="str">
        <f ca="1">IFERROR(__xludf.DUMMYFUNCTION("""COMPUTED_VALUE"""),"1TB HDD")</f>
        <v>1TB HDD</v>
      </c>
      <c r="J420" s="2" t="str">
        <f ca="1">IFERROR(__xludf.DUMMYFUNCTION("""COMPUTED_VALUE"""),"Intel HD Graphics 620")</f>
        <v>Intel HD Graphics 620</v>
      </c>
      <c r="K420" s="2" t="str">
        <f ca="1">IFERROR(__xludf.DUMMYFUNCTION("""COMPUTED_VALUE"""),"Windows 10")</f>
        <v>Windows 10</v>
      </c>
      <c r="L420" s="2" t="str">
        <f ca="1">IFERROR(__xludf.DUMMYFUNCTION("""COMPUTED_VALUE"""),"2.14kg")</f>
        <v>2.14kg</v>
      </c>
      <c r="M420" s="2">
        <f ca="1">IFERROR(__xludf.DUMMYFUNCTION("""COMPUTED_VALUE"""),539.95)</f>
        <v>539.95000000000005</v>
      </c>
    </row>
    <row r="421" spans="1:13">
      <c r="A421" s="2">
        <f ca="1">IFERROR(__xludf.DUMMYFUNCTION("""COMPUTED_VALUE"""),426)</f>
        <v>426</v>
      </c>
      <c r="B421" s="2" t="str">
        <f ca="1">IFERROR(__xludf.DUMMYFUNCTION("""COMPUTED_VALUE"""),"Lenovo")</f>
        <v>Lenovo</v>
      </c>
      <c r="C421" s="2" t="str">
        <f ca="1">IFERROR(__xludf.DUMMYFUNCTION("""COMPUTED_VALUE"""),"ThinkPad E480")</f>
        <v>ThinkPad E480</v>
      </c>
      <c r="D421" s="2" t="str">
        <f ca="1">IFERROR(__xludf.DUMMYFUNCTION("""COMPUTED_VALUE"""),"Ultrabook")</f>
        <v>Ultrabook</v>
      </c>
      <c r="E421" s="2">
        <f ca="1">IFERROR(__xludf.DUMMYFUNCTION("""COMPUTED_VALUE"""),14)</f>
        <v>14</v>
      </c>
      <c r="F421" s="2" t="str">
        <f ca="1">IFERROR(__xludf.DUMMYFUNCTION("""COMPUTED_VALUE"""),"IPS Panel Full HD 1920x1080")</f>
        <v>IPS Panel Full HD 1920x1080</v>
      </c>
      <c r="G421" s="2" t="str">
        <f ca="1">IFERROR(__xludf.DUMMYFUNCTION("""COMPUTED_VALUE"""),"Intel Core i7 8550U 1.8GHz")</f>
        <v>Intel Core i7 8550U 1.8GHz</v>
      </c>
      <c r="H421" s="2" t="str">
        <f ca="1">IFERROR(__xludf.DUMMYFUNCTION("""COMPUTED_VALUE"""),"8GB")</f>
        <v>8GB</v>
      </c>
      <c r="I421" s="2" t="str">
        <f ca="1">IFERROR(__xludf.DUMMYFUNCTION("""COMPUTED_VALUE"""),"256GB SSD")</f>
        <v>256GB SSD</v>
      </c>
      <c r="J421" s="2" t="str">
        <f ca="1">IFERROR(__xludf.DUMMYFUNCTION("""COMPUTED_VALUE"""),"AMD Radeon RX 550")</f>
        <v>AMD Radeon RX 550</v>
      </c>
      <c r="K421" s="2" t="str">
        <f ca="1">IFERROR(__xludf.DUMMYFUNCTION("""COMPUTED_VALUE"""),"Windows 10")</f>
        <v>Windows 10</v>
      </c>
      <c r="L421" s="2" t="str">
        <f ca="1">IFERROR(__xludf.DUMMYFUNCTION("""COMPUTED_VALUE"""),"1.75kg")</f>
        <v>1.75kg</v>
      </c>
      <c r="M421" s="2">
        <f ca="1">IFERROR(__xludf.DUMMYFUNCTION("""COMPUTED_VALUE"""),1215.38)</f>
        <v>1215.3800000000001</v>
      </c>
    </row>
    <row r="422" spans="1:13">
      <c r="A422" s="2">
        <f ca="1">IFERROR(__xludf.DUMMYFUNCTION("""COMPUTED_VALUE"""),427)</f>
        <v>427</v>
      </c>
      <c r="B422" s="2" t="str">
        <f ca="1">IFERROR(__xludf.DUMMYFUNCTION("""COMPUTED_VALUE"""),"Lenovo")</f>
        <v>Lenovo</v>
      </c>
      <c r="C422" s="2" t="str">
        <f ca="1">IFERROR(__xludf.DUMMYFUNCTION("""COMPUTED_VALUE"""),"Yoga 720-15IKB")</f>
        <v>Yoga 720-15IKB</v>
      </c>
      <c r="D422" s="2" t="str">
        <f ca="1">IFERROR(__xludf.DUMMYFUNCTION("""COMPUTED_VALUE"""),"2 in 1 Convertible")</f>
        <v>2 in 1 Convertible</v>
      </c>
      <c r="E422" s="2">
        <f ca="1">IFERROR(__xludf.DUMMYFUNCTION("""COMPUTED_VALUE"""),15.6)</f>
        <v>15.6</v>
      </c>
      <c r="F422" s="2" t="str">
        <f ca="1">IFERROR(__xludf.DUMMYFUNCTION("""COMPUTED_VALUE"""),"IPS Panel 4K Ultra HD / Touchscreen 3840x2160")</f>
        <v>IPS Panel 4K Ultra HD / Touchscreen 3840x2160</v>
      </c>
      <c r="G422" s="2" t="str">
        <f ca="1">IFERROR(__xludf.DUMMYFUNCTION("""COMPUTED_VALUE"""),"Intel Core i7 7700HQ 2.8GHz")</f>
        <v>Intel Core i7 7700HQ 2.8GHz</v>
      </c>
      <c r="H422" s="2" t="str">
        <f ca="1">IFERROR(__xludf.DUMMYFUNCTION("""COMPUTED_VALUE"""),"16GB")</f>
        <v>16GB</v>
      </c>
      <c r="I422" s="2" t="str">
        <f ca="1">IFERROR(__xludf.DUMMYFUNCTION("""COMPUTED_VALUE"""),"512GB SSD")</f>
        <v>512GB SSD</v>
      </c>
      <c r="J422" s="2" t="str">
        <f ca="1">IFERROR(__xludf.DUMMYFUNCTION("""COMPUTED_VALUE"""),"Nvidia GeForce GTX 1050")</f>
        <v>Nvidia GeForce GTX 1050</v>
      </c>
      <c r="K422" s="2" t="str">
        <f ca="1">IFERROR(__xludf.DUMMYFUNCTION("""COMPUTED_VALUE"""),"Windows 10")</f>
        <v>Windows 10</v>
      </c>
      <c r="L422" s="2" t="str">
        <f ca="1">IFERROR(__xludf.DUMMYFUNCTION("""COMPUTED_VALUE"""),"2kg")</f>
        <v>2kg</v>
      </c>
      <c r="M422" s="2">
        <f ca="1">IFERROR(__xludf.DUMMYFUNCTION("""COMPUTED_VALUE"""),1899)</f>
        <v>1899</v>
      </c>
    </row>
    <row r="423" spans="1:13">
      <c r="A423" s="2">
        <f ca="1">IFERROR(__xludf.DUMMYFUNCTION("""COMPUTED_VALUE"""),428)</f>
        <v>428</v>
      </c>
      <c r="B423" s="2" t="str">
        <f ca="1">IFERROR(__xludf.DUMMYFUNCTION("""COMPUTED_VALUE"""),"Chuwi")</f>
        <v>Chuwi</v>
      </c>
      <c r="C423" s="2" t="str">
        <f ca="1">IFERROR(__xludf.DUMMYFUNCTION("""COMPUTED_VALUE"""),"LapBook 12.3")</f>
        <v>LapBook 12.3</v>
      </c>
      <c r="D423" s="2" t="str">
        <f ca="1">IFERROR(__xludf.DUMMYFUNCTION("""COMPUTED_VALUE"""),"Notebook")</f>
        <v>Notebook</v>
      </c>
      <c r="E423" s="2">
        <f ca="1">IFERROR(__xludf.DUMMYFUNCTION("""COMPUTED_VALUE"""),12.3)</f>
        <v>12.3</v>
      </c>
      <c r="F423" s="2" t="str">
        <f ca="1">IFERROR(__xludf.DUMMYFUNCTION("""COMPUTED_VALUE"""),"IPS Panel Retina Display 2736x1824")</f>
        <v>IPS Panel Retina Display 2736x1824</v>
      </c>
      <c r="G423" s="2" t="str">
        <f ca="1">IFERROR(__xludf.DUMMYFUNCTION("""COMPUTED_VALUE"""),"Intel Celeron Quad Core N3450 1.1GHz")</f>
        <v>Intel Celeron Quad Core N3450 1.1GHz</v>
      </c>
      <c r="H423" s="2" t="str">
        <f ca="1">IFERROR(__xludf.DUMMYFUNCTION("""COMPUTED_VALUE"""),"6GB")</f>
        <v>6GB</v>
      </c>
      <c r="I423" s="2" t="str">
        <f ca="1">IFERROR(__xludf.DUMMYFUNCTION("""COMPUTED_VALUE"""),"64GB Flash Storage")</f>
        <v>64GB Flash Storage</v>
      </c>
      <c r="J423" s="2" t="str">
        <f ca="1">IFERROR(__xludf.DUMMYFUNCTION("""COMPUTED_VALUE"""),"Intel HD Graphics 500")</f>
        <v>Intel HD Graphics 500</v>
      </c>
      <c r="K423" s="2" t="str">
        <f ca="1">IFERROR(__xludf.DUMMYFUNCTION("""COMPUTED_VALUE"""),"Windows 10")</f>
        <v>Windows 10</v>
      </c>
      <c r="L423" s="2" t="str">
        <f ca="1">IFERROR(__xludf.DUMMYFUNCTION("""COMPUTED_VALUE"""),"1.4kg")</f>
        <v>1.4kg</v>
      </c>
      <c r="M423" s="2">
        <f ca="1">IFERROR(__xludf.DUMMYFUNCTION("""COMPUTED_VALUE"""),449)</f>
        <v>449</v>
      </c>
    </row>
    <row r="424" spans="1:13">
      <c r="A424" s="2">
        <f ca="1">IFERROR(__xludf.DUMMYFUNCTION("""COMPUTED_VALUE"""),429)</f>
        <v>429</v>
      </c>
      <c r="B424" s="2" t="str">
        <f ca="1">IFERROR(__xludf.DUMMYFUNCTION("""COMPUTED_VALUE"""),"HP")</f>
        <v>HP</v>
      </c>
      <c r="C424" s="2" t="str">
        <f ca="1">IFERROR(__xludf.DUMMYFUNCTION("""COMPUTED_VALUE"""),"ProBook 650")</f>
        <v>ProBook 650</v>
      </c>
      <c r="D424" s="2" t="str">
        <f ca="1">IFERROR(__xludf.DUMMYFUNCTION("""COMPUTED_VALUE"""),"Notebook")</f>
        <v>Notebook</v>
      </c>
      <c r="E424" s="2">
        <f ca="1">IFERROR(__xludf.DUMMYFUNCTION("""COMPUTED_VALUE"""),15.6)</f>
        <v>15.6</v>
      </c>
      <c r="F424" s="2" t="str">
        <f ca="1">IFERROR(__xludf.DUMMYFUNCTION("""COMPUTED_VALUE"""),"Full HD 1920x1080")</f>
        <v>Full HD 1920x1080</v>
      </c>
      <c r="G424" s="2" t="str">
        <f ca="1">IFERROR(__xludf.DUMMYFUNCTION("""COMPUTED_VALUE"""),"Intel Core i7 7820HQ 2.9GHz")</f>
        <v>Intel Core i7 7820HQ 2.9GHz</v>
      </c>
      <c r="H424" s="2" t="str">
        <f ca="1">IFERROR(__xludf.DUMMYFUNCTION("""COMPUTED_VALUE"""),"8GB")</f>
        <v>8GB</v>
      </c>
      <c r="I424" s="2" t="str">
        <f ca="1">IFERROR(__xludf.DUMMYFUNCTION("""COMPUTED_VALUE"""),"256GB SSD")</f>
        <v>256GB SSD</v>
      </c>
      <c r="J424" s="2" t="str">
        <f ca="1">IFERROR(__xludf.DUMMYFUNCTION("""COMPUTED_VALUE"""),"Intel HD Graphics 630")</f>
        <v>Intel HD Graphics 630</v>
      </c>
      <c r="K424" s="2" t="str">
        <f ca="1">IFERROR(__xludf.DUMMYFUNCTION("""COMPUTED_VALUE"""),"Windows 10")</f>
        <v>Windows 10</v>
      </c>
      <c r="L424" s="2" t="str">
        <f ca="1">IFERROR(__xludf.DUMMYFUNCTION("""COMPUTED_VALUE"""),"2.31kg")</f>
        <v>2.31kg</v>
      </c>
      <c r="M424" s="2">
        <f ca="1">IFERROR(__xludf.DUMMYFUNCTION("""COMPUTED_VALUE"""),1427)</f>
        <v>1427</v>
      </c>
    </row>
    <row r="425" spans="1:13">
      <c r="A425" s="2">
        <f ca="1">IFERROR(__xludf.DUMMYFUNCTION("""COMPUTED_VALUE"""),430)</f>
        <v>430</v>
      </c>
      <c r="B425" s="2" t="str">
        <f ca="1">IFERROR(__xludf.DUMMYFUNCTION("""COMPUTED_VALUE"""),"Asus")</f>
        <v>Asus</v>
      </c>
      <c r="C425" s="2" t="str">
        <f ca="1">IFERROR(__xludf.DUMMYFUNCTION("""COMPUTED_VALUE"""),"X542UQ-DM117 (i3-7100U/8GB/1TB/GeForce")</f>
        <v>X542UQ-DM117 (i3-7100U/8GB/1TB/GeForce</v>
      </c>
      <c r="D425" s="2" t="str">
        <f ca="1">IFERROR(__xludf.DUMMYFUNCTION("""COMPUTED_VALUE"""),"Notebook")</f>
        <v>Notebook</v>
      </c>
      <c r="E425" s="2">
        <f ca="1">IFERROR(__xludf.DUMMYFUNCTION("""COMPUTED_VALUE"""),15.6)</f>
        <v>15.6</v>
      </c>
      <c r="F425" s="2" t="str">
        <f ca="1">IFERROR(__xludf.DUMMYFUNCTION("""COMPUTED_VALUE"""),"Full HD 1920x1080")</f>
        <v>Full HD 1920x1080</v>
      </c>
      <c r="G425" s="2" t="str">
        <f ca="1">IFERROR(__xludf.DUMMYFUNCTION("""COMPUTED_VALUE"""),"Intel Core i3 7100U 2.4GHz")</f>
        <v>Intel Core i3 7100U 2.4GHz</v>
      </c>
      <c r="H425" s="2" t="str">
        <f ca="1">IFERROR(__xludf.DUMMYFUNCTION("""COMPUTED_VALUE"""),"8GB")</f>
        <v>8GB</v>
      </c>
      <c r="I425" s="2" t="str">
        <f ca="1">IFERROR(__xludf.DUMMYFUNCTION("""COMPUTED_VALUE"""),"1TB HDD")</f>
        <v>1TB HDD</v>
      </c>
      <c r="J425" s="2" t="str">
        <f ca="1">IFERROR(__xludf.DUMMYFUNCTION("""COMPUTED_VALUE"""),"Nvidia GeForce 940MX")</f>
        <v>Nvidia GeForce 940MX</v>
      </c>
      <c r="K425" s="2" t="str">
        <f ca="1">IFERROR(__xludf.DUMMYFUNCTION("""COMPUTED_VALUE"""),"Linux")</f>
        <v>Linux</v>
      </c>
      <c r="L425" s="2" t="str">
        <f ca="1">IFERROR(__xludf.DUMMYFUNCTION("""COMPUTED_VALUE"""),"2.3kg")</f>
        <v>2.3kg</v>
      </c>
      <c r="M425" s="2">
        <f ca="1">IFERROR(__xludf.DUMMYFUNCTION("""COMPUTED_VALUE"""),597)</f>
        <v>597</v>
      </c>
    </row>
    <row r="426" spans="1:13">
      <c r="A426" s="2">
        <f ca="1">IFERROR(__xludf.DUMMYFUNCTION("""COMPUTED_VALUE"""),431)</f>
        <v>431</v>
      </c>
      <c r="B426" s="2" t="str">
        <f ca="1">IFERROR(__xludf.DUMMYFUNCTION("""COMPUTED_VALUE"""),"Dell")</f>
        <v>Dell</v>
      </c>
      <c r="C426" s="2" t="str">
        <f ca="1">IFERROR(__xludf.DUMMYFUNCTION("""COMPUTED_VALUE"""),"Alienware 17")</f>
        <v>Alienware 17</v>
      </c>
      <c r="D426" s="2" t="str">
        <f ca="1">IFERROR(__xludf.DUMMYFUNCTION("""COMPUTED_VALUE"""),"Gaming")</f>
        <v>Gaming</v>
      </c>
      <c r="E426" s="2">
        <f ca="1">IFERROR(__xludf.DUMMYFUNCTION("""COMPUTED_VALUE"""),17.3)</f>
        <v>17.3</v>
      </c>
      <c r="F426" s="2" t="str">
        <f ca="1">IFERROR(__xludf.DUMMYFUNCTION("""COMPUTED_VALUE"""),"IPS Panel 2560x1440")</f>
        <v>IPS Panel 2560x1440</v>
      </c>
      <c r="G426" s="2" t="str">
        <f ca="1">IFERROR(__xludf.DUMMYFUNCTION("""COMPUTED_VALUE"""),"Intel Core i7 7820HK 2.9GHz")</f>
        <v>Intel Core i7 7820HK 2.9GHz</v>
      </c>
      <c r="H426" s="2" t="str">
        <f ca="1">IFERROR(__xludf.DUMMYFUNCTION("""COMPUTED_VALUE"""),"16GB")</f>
        <v>16GB</v>
      </c>
      <c r="I426" s="2" t="str">
        <f ca="1">IFERROR(__xludf.DUMMYFUNCTION("""COMPUTED_VALUE"""),"256GB SSD +  1TB HDD")</f>
        <v>256GB SSD +  1TB HDD</v>
      </c>
      <c r="J426" s="2" t="str">
        <f ca="1">IFERROR(__xludf.DUMMYFUNCTION("""COMPUTED_VALUE"""),"Nvidia GeForce GTX 1070")</f>
        <v>Nvidia GeForce GTX 1070</v>
      </c>
      <c r="K426" s="2" t="str">
        <f ca="1">IFERROR(__xludf.DUMMYFUNCTION("""COMPUTED_VALUE"""),"Windows 10")</f>
        <v>Windows 10</v>
      </c>
      <c r="L426" s="2" t="str">
        <f ca="1">IFERROR(__xludf.DUMMYFUNCTION("""COMPUTED_VALUE"""),"4.42kg")</f>
        <v>4.42kg</v>
      </c>
      <c r="M426" s="2">
        <f ca="1">IFERROR(__xludf.DUMMYFUNCTION("""COMPUTED_VALUE"""),2799)</f>
        <v>2799</v>
      </c>
    </row>
    <row r="427" spans="1:13">
      <c r="A427" s="2">
        <f ca="1">IFERROR(__xludf.DUMMYFUNCTION("""COMPUTED_VALUE"""),432)</f>
        <v>432</v>
      </c>
      <c r="B427" s="2" t="str">
        <f ca="1">IFERROR(__xludf.DUMMYFUNCTION("""COMPUTED_VALUE"""),"Dell")</f>
        <v>Dell</v>
      </c>
      <c r="C427" s="2" t="str">
        <f ca="1">IFERROR(__xludf.DUMMYFUNCTION("""COMPUTED_VALUE"""),"Inspiron 7577")</f>
        <v>Inspiron 7577</v>
      </c>
      <c r="D427" s="2" t="str">
        <f ca="1">IFERROR(__xludf.DUMMYFUNCTION("""COMPUTED_VALUE"""),"Gaming")</f>
        <v>Gaming</v>
      </c>
      <c r="E427" s="2">
        <f ca="1">IFERROR(__xludf.DUMMYFUNCTION("""COMPUTED_VALUE"""),15.6)</f>
        <v>15.6</v>
      </c>
      <c r="F427" s="2" t="str">
        <f ca="1">IFERROR(__xludf.DUMMYFUNCTION("""COMPUTED_VALUE"""),"IPS Panel Full HD 1920x1080")</f>
        <v>IPS Panel Full HD 1920x1080</v>
      </c>
      <c r="G427" s="2" t="str">
        <f ca="1">IFERROR(__xludf.DUMMYFUNCTION("""COMPUTED_VALUE"""),"Intel Core i7 7700HQ 2.8GHz")</f>
        <v>Intel Core i7 7700HQ 2.8GHz</v>
      </c>
      <c r="H427" s="2" t="str">
        <f ca="1">IFERROR(__xludf.DUMMYFUNCTION("""COMPUTED_VALUE"""),"8GB")</f>
        <v>8GB</v>
      </c>
      <c r="I427" s="2" t="str">
        <f ca="1">IFERROR(__xludf.DUMMYFUNCTION("""COMPUTED_VALUE"""),"128GB SSD +  1TB HDD")</f>
        <v>128GB SSD +  1TB HDD</v>
      </c>
      <c r="J427" s="2" t="str">
        <f ca="1">IFERROR(__xludf.DUMMYFUNCTION("""COMPUTED_VALUE"""),"Nvidia GeForce GTX 1050 Ti")</f>
        <v>Nvidia GeForce GTX 1050 Ti</v>
      </c>
      <c r="K427" s="2" t="str">
        <f ca="1">IFERROR(__xludf.DUMMYFUNCTION("""COMPUTED_VALUE"""),"Windows 10")</f>
        <v>Windows 10</v>
      </c>
      <c r="L427" s="2" t="str">
        <f ca="1">IFERROR(__xludf.DUMMYFUNCTION("""COMPUTED_VALUE"""),"2.62kg")</f>
        <v>2.62kg</v>
      </c>
      <c r="M427" s="2">
        <f ca="1">IFERROR(__xludf.DUMMYFUNCTION("""COMPUTED_VALUE"""),1159)</f>
        <v>1159</v>
      </c>
    </row>
    <row r="428" spans="1:13">
      <c r="A428" s="2">
        <f ca="1">IFERROR(__xludf.DUMMYFUNCTION("""COMPUTED_VALUE"""),433)</f>
        <v>433</v>
      </c>
      <c r="B428" s="2" t="str">
        <f ca="1">IFERROR(__xludf.DUMMYFUNCTION("""COMPUTED_VALUE"""),"Dell")</f>
        <v>Dell</v>
      </c>
      <c r="C428" s="2" t="str">
        <f ca="1">IFERROR(__xludf.DUMMYFUNCTION("""COMPUTED_VALUE"""),"Inspiron 5570")</f>
        <v>Inspiron 5570</v>
      </c>
      <c r="D428" s="2" t="str">
        <f ca="1">IFERROR(__xludf.DUMMYFUNCTION("""COMPUTED_VALUE"""),"Notebook")</f>
        <v>Notebook</v>
      </c>
      <c r="E428" s="2">
        <f ca="1">IFERROR(__xludf.DUMMYFUNCTION("""COMPUTED_VALUE"""),15.6)</f>
        <v>15.6</v>
      </c>
      <c r="F428" s="2" t="str">
        <f ca="1">IFERROR(__xludf.DUMMYFUNCTION("""COMPUTED_VALUE"""),"Full HD 1920x1080")</f>
        <v>Full HD 1920x1080</v>
      </c>
      <c r="G428" s="2" t="str">
        <f ca="1">IFERROR(__xludf.DUMMYFUNCTION("""COMPUTED_VALUE"""),"Intel Core i7 8550U 1.8GHz")</f>
        <v>Intel Core i7 8550U 1.8GHz</v>
      </c>
      <c r="H428" s="2" t="str">
        <f ca="1">IFERROR(__xludf.DUMMYFUNCTION("""COMPUTED_VALUE"""),"8GB")</f>
        <v>8GB</v>
      </c>
      <c r="I428" s="2" t="str">
        <f ca="1">IFERROR(__xludf.DUMMYFUNCTION("""COMPUTED_VALUE"""),"256GB SSD +  2TB HDD")</f>
        <v>256GB SSD +  2TB HDD</v>
      </c>
      <c r="J428" s="2" t="str">
        <f ca="1">IFERROR(__xludf.DUMMYFUNCTION("""COMPUTED_VALUE"""),"AMD Radeon 530")</f>
        <v>AMD Radeon 530</v>
      </c>
      <c r="K428" s="2" t="str">
        <f ca="1">IFERROR(__xludf.DUMMYFUNCTION("""COMPUTED_VALUE"""),"Windows 10")</f>
        <v>Windows 10</v>
      </c>
      <c r="L428" s="2" t="str">
        <f ca="1">IFERROR(__xludf.DUMMYFUNCTION("""COMPUTED_VALUE"""),"2.02kg")</f>
        <v>2.02kg</v>
      </c>
      <c r="M428" s="2">
        <f ca="1">IFERROR(__xludf.DUMMYFUNCTION("""COMPUTED_VALUE"""),1142.4)</f>
        <v>1142.4000000000001</v>
      </c>
    </row>
    <row r="429" spans="1:13">
      <c r="A429" s="2">
        <f ca="1">IFERROR(__xludf.DUMMYFUNCTION("""COMPUTED_VALUE"""),434)</f>
        <v>434</v>
      </c>
      <c r="B429" s="2" t="str">
        <f ca="1">IFERROR(__xludf.DUMMYFUNCTION("""COMPUTED_VALUE"""),"Dell")</f>
        <v>Dell</v>
      </c>
      <c r="C429" s="2" t="str">
        <f ca="1">IFERROR(__xludf.DUMMYFUNCTION("""COMPUTED_VALUE"""),"Latitude 5480")</f>
        <v>Latitude 5480</v>
      </c>
      <c r="D429" s="2" t="str">
        <f ca="1">IFERROR(__xludf.DUMMYFUNCTION("""COMPUTED_VALUE"""),"Ultrabook")</f>
        <v>Ultrabook</v>
      </c>
      <c r="E429" s="2">
        <f ca="1">IFERROR(__xludf.DUMMYFUNCTION("""COMPUTED_VALUE"""),14)</f>
        <v>14</v>
      </c>
      <c r="F429" s="2" t="str">
        <f ca="1">IFERROR(__xludf.DUMMYFUNCTION("""COMPUTED_VALUE"""),"Full HD 1920x1080")</f>
        <v>Full HD 1920x1080</v>
      </c>
      <c r="G429" s="2" t="str">
        <f ca="1">IFERROR(__xludf.DUMMYFUNCTION("""COMPUTED_VALUE"""),"Intel Core i7 7600U 2.8GHz")</f>
        <v>Intel Core i7 7600U 2.8GHz</v>
      </c>
      <c r="H429" s="2" t="str">
        <f ca="1">IFERROR(__xludf.DUMMYFUNCTION("""COMPUTED_VALUE"""),"8GB")</f>
        <v>8GB</v>
      </c>
      <c r="I429" s="2" t="str">
        <f ca="1">IFERROR(__xludf.DUMMYFUNCTION("""COMPUTED_VALUE"""),"256GB SSD")</f>
        <v>256GB SSD</v>
      </c>
      <c r="J429" s="2" t="str">
        <f ca="1">IFERROR(__xludf.DUMMYFUNCTION("""COMPUTED_VALUE"""),"Intel HD Graphics 620")</f>
        <v>Intel HD Graphics 620</v>
      </c>
      <c r="K429" s="2" t="str">
        <f ca="1">IFERROR(__xludf.DUMMYFUNCTION("""COMPUTED_VALUE"""),"Linux")</f>
        <v>Linux</v>
      </c>
      <c r="L429" s="2" t="str">
        <f ca="1">IFERROR(__xludf.DUMMYFUNCTION("""COMPUTED_VALUE"""),"1.6kg")</f>
        <v>1.6kg</v>
      </c>
      <c r="M429" s="2">
        <f ca="1">IFERROR(__xludf.DUMMYFUNCTION("""COMPUTED_VALUE"""),1099)</f>
        <v>1099</v>
      </c>
    </row>
    <row r="430" spans="1:13">
      <c r="A430" s="2">
        <f ca="1">IFERROR(__xludf.DUMMYFUNCTION("""COMPUTED_VALUE"""),435)</f>
        <v>435</v>
      </c>
      <c r="B430" s="2" t="str">
        <f ca="1">IFERROR(__xludf.DUMMYFUNCTION("""COMPUTED_VALUE"""),"HP")</f>
        <v>HP</v>
      </c>
      <c r="C430" s="2" t="str">
        <f ca="1">IFERROR(__xludf.DUMMYFUNCTION("""COMPUTED_VALUE"""),"Omen 17-w207nv")</f>
        <v>Omen 17-w207nv</v>
      </c>
      <c r="D430" s="2" t="str">
        <f ca="1">IFERROR(__xludf.DUMMYFUNCTION("""COMPUTED_VALUE"""),"Gaming")</f>
        <v>Gaming</v>
      </c>
      <c r="E430" s="2">
        <f ca="1">IFERROR(__xludf.DUMMYFUNCTION("""COMPUTED_VALUE"""),17.3)</f>
        <v>17.3</v>
      </c>
      <c r="F430" s="2" t="str">
        <f ca="1">IFERROR(__xludf.DUMMYFUNCTION("""COMPUTED_VALUE"""),"Full HD 1920x1080")</f>
        <v>Full HD 1920x1080</v>
      </c>
      <c r="G430" s="2" t="str">
        <f ca="1">IFERROR(__xludf.DUMMYFUNCTION("""COMPUTED_VALUE"""),"Intel Core i7 7700HQ 2.8GHz")</f>
        <v>Intel Core i7 7700HQ 2.8GHz</v>
      </c>
      <c r="H430" s="2" t="str">
        <f ca="1">IFERROR(__xludf.DUMMYFUNCTION("""COMPUTED_VALUE"""),"12GB")</f>
        <v>12GB</v>
      </c>
      <c r="I430" s="2" t="str">
        <f ca="1">IFERROR(__xludf.DUMMYFUNCTION("""COMPUTED_VALUE"""),"256GB SSD +  1TB HDD")</f>
        <v>256GB SSD +  1TB HDD</v>
      </c>
      <c r="J430" s="2" t="str">
        <f ca="1">IFERROR(__xludf.DUMMYFUNCTION("""COMPUTED_VALUE"""),"Nvidia GeForce GTX 1070")</f>
        <v>Nvidia GeForce GTX 1070</v>
      </c>
      <c r="K430" s="2" t="str">
        <f ca="1">IFERROR(__xludf.DUMMYFUNCTION("""COMPUTED_VALUE"""),"Windows 10")</f>
        <v>Windows 10</v>
      </c>
      <c r="L430" s="2" t="str">
        <f ca="1">IFERROR(__xludf.DUMMYFUNCTION("""COMPUTED_VALUE"""),"3.35kg")</f>
        <v>3.35kg</v>
      </c>
      <c r="M430" s="2">
        <f ca="1">IFERROR(__xludf.DUMMYFUNCTION("""COMPUTED_VALUE"""),1999)</f>
        <v>1999</v>
      </c>
    </row>
    <row r="431" spans="1:13">
      <c r="A431" s="2">
        <f ca="1">IFERROR(__xludf.DUMMYFUNCTION("""COMPUTED_VALUE"""),436)</f>
        <v>436</v>
      </c>
      <c r="B431" s="2" t="str">
        <f ca="1">IFERROR(__xludf.DUMMYFUNCTION("""COMPUTED_VALUE"""),"Mediacom")</f>
        <v>Mediacom</v>
      </c>
      <c r="C431" s="2" t="str">
        <f ca="1">IFERROR(__xludf.DUMMYFUNCTION("""COMPUTED_VALUE"""),"FlexBook Edge")</f>
        <v>FlexBook Edge</v>
      </c>
      <c r="D431" s="2" t="str">
        <f ca="1">IFERROR(__xludf.DUMMYFUNCTION("""COMPUTED_VALUE"""),"2 in 1 Convertible")</f>
        <v>2 in 1 Convertible</v>
      </c>
      <c r="E431" s="2">
        <f ca="1">IFERROR(__xludf.DUMMYFUNCTION("""COMPUTED_VALUE"""),11.6)</f>
        <v>11.6</v>
      </c>
      <c r="F431" s="2" t="str">
        <f ca="1">IFERROR(__xludf.DUMMYFUNCTION("""COMPUTED_VALUE"""),"IPS Panel Full HD / Touchscreen 1920x1080")</f>
        <v>IPS Panel Full HD / Touchscreen 1920x1080</v>
      </c>
      <c r="G431" s="2" t="str">
        <f ca="1">IFERROR(__xludf.DUMMYFUNCTION("""COMPUTED_VALUE"""),"Intel Celeron Dual Core N3350 1.1GHz")</f>
        <v>Intel Celeron Dual Core N3350 1.1GHz</v>
      </c>
      <c r="H431" s="2" t="str">
        <f ca="1">IFERROR(__xludf.DUMMYFUNCTION("""COMPUTED_VALUE"""),"4GB")</f>
        <v>4GB</v>
      </c>
      <c r="I431" s="2" t="str">
        <f ca="1">IFERROR(__xludf.DUMMYFUNCTION("""COMPUTED_VALUE"""),"32GB SSD")</f>
        <v>32GB SSD</v>
      </c>
      <c r="J431" s="2" t="str">
        <f ca="1">IFERROR(__xludf.DUMMYFUNCTION("""COMPUTED_VALUE"""),"Intel HD Graphics 500")</f>
        <v>Intel HD Graphics 500</v>
      </c>
      <c r="K431" s="2" t="str">
        <f ca="1">IFERROR(__xludf.DUMMYFUNCTION("""COMPUTED_VALUE"""),"Windows 10")</f>
        <v>Windows 10</v>
      </c>
      <c r="L431" s="2" t="str">
        <f ca="1">IFERROR(__xludf.DUMMYFUNCTION("""COMPUTED_VALUE"""),"1.16kg")</f>
        <v>1.16kg</v>
      </c>
      <c r="M431" s="2">
        <f ca="1">IFERROR(__xludf.DUMMYFUNCTION("""COMPUTED_VALUE"""),299)</f>
        <v>299</v>
      </c>
    </row>
    <row r="432" spans="1:13">
      <c r="A432" s="2">
        <f ca="1">IFERROR(__xludf.DUMMYFUNCTION("""COMPUTED_VALUE"""),437)</f>
        <v>437</v>
      </c>
      <c r="B432" s="2" t="str">
        <f ca="1">IFERROR(__xludf.DUMMYFUNCTION("""COMPUTED_VALUE"""),"Samsung")</f>
        <v>Samsung</v>
      </c>
      <c r="C432" s="2" t="str">
        <f ca="1">IFERROR(__xludf.DUMMYFUNCTION("""COMPUTED_VALUE"""),"Chromebook 3")</f>
        <v>Chromebook 3</v>
      </c>
      <c r="D432" s="2" t="str">
        <f ca="1">IFERROR(__xludf.DUMMYFUNCTION("""COMPUTED_VALUE"""),"Netbook")</f>
        <v>Netbook</v>
      </c>
      <c r="E432" s="2">
        <f ca="1">IFERROR(__xludf.DUMMYFUNCTION("""COMPUTED_VALUE"""),11.6)</f>
        <v>11.6</v>
      </c>
      <c r="F432" s="2" t="str">
        <f ca="1">IFERROR(__xludf.DUMMYFUNCTION("""COMPUTED_VALUE"""),"1366x768")</f>
        <v>1366x768</v>
      </c>
      <c r="G432" s="2" t="str">
        <f ca="1">IFERROR(__xludf.DUMMYFUNCTION("""COMPUTED_VALUE"""),"Intel Celeron Dual Core N3060 1.6GHz")</f>
        <v>Intel Celeron Dual Core N3060 1.6GHz</v>
      </c>
      <c r="H432" s="2" t="str">
        <f ca="1">IFERROR(__xludf.DUMMYFUNCTION("""COMPUTED_VALUE"""),"4GB")</f>
        <v>4GB</v>
      </c>
      <c r="I432" s="2" t="str">
        <f ca="1">IFERROR(__xludf.DUMMYFUNCTION("""COMPUTED_VALUE"""),"16GB Flash Storage")</f>
        <v>16GB Flash Storage</v>
      </c>
      <c r="J432" s="2" t="str">
        <f ca="1">IFERROR(__xludf.DUMMYFUNCTION("""COMPUTED_VALUE"""),"Intel HD Graphics 400")</f>
        <v>Intel HD Graphics 400</v>
      </c>
      <c r="K432" s="2" t="str">
        <f ca="1">IFERROR(__xludf.DUMMYFUNCTION("""COMPUTED_VALUE"""),"Chrome OS")</f>
        <v>Chrome OS</v>
      </c>
      <c r="L432" s="2" t="str">
        <f ca="1">IFERROR(__xludf.DUMMYFUNCTION("""COMPUTED_VALUE"""),"1.15kg")</f>
        <v>1.15kg</v>
      </c>
      <c r="M432" s="2">
        <f ca="1">IFERROR(__xludf.DUMMYFUNCTION("""COMPUTED_VALUE"""),269)</f>
        <v>269</v>
      </c>
    </row>
    <row r="433" spans="1:13">
      <c r="A433" s="2">
        <f ca="1">IFERROR(__xludf.DUMMYFUNCTION("""COMPUTED_VALUE"""),438)</f>
        <v>438</v>
      </c>
      <c r="B433" s="2" t="str">
        <f ca="1">IFERROR(__xludf.DUMMYFUNCTION("""COMPUTED_VALUE"""),"Lenovo")</f>
        <v>Lenovo</v>
      </c>
      <c r="C433" s="2" t="str">
        <f ca="1">IFERROR(__xludf.DUMMYFUNCTION("""COMPUTED_VALUE"""),"Thinkpad 13")</f>
        <v>Thinkpad 13</v>
      </c>
      <c r="D433" s="2" t="str">
        <f ca="1">IFERROR(__xludf.DUMMYFUNCTION("""COMPUTED_VALUE"""),"Notebook")</f>
        <v>Notebook</v>
      </c>
      <c r="E433" s="2">
        <f ca="1">IFERROR(__xludf.DUMMYFUNCTION("""COMPUTED_VALUE"""),13.3)</f>
        <v>13.3</v>
      </c>
      <c r="F433" s="2" t="str">
        <f ca="1">IFERROR(__xludf.DUMMYFUNCTION("""COMPUTED_VALUE"""),"IPS Panel Full HD 1920x1080")</f>
        <v>IPS Panel Full HD 1920x1080</v>
      </c>
      <c r="G433" s="2" t="str">
        <f ca="1">IFERROR(__xludf.DUMMYFUNCTION("""COMPUTED_VALUE"""),"Intel Core i7 7500U 2.7GHz")</f>
        <v>Intel Core i7 7500U 2.7GHz</v>
      </c>
      <c r="H433" s="2" t="str">
        <f ca="1">IFERROR(__xludf.DUMMYFUNCTION("""COMPUTED_VALUE"""),"8GB")</f>
        <v>8GB</v>
      </c>
      <c r="I433" s="2" t="str">
        <f ca="1">IFERROR(__xludf.DUMMYFUNCTION("""COMPUTED_VALUE"""),"256GB SSD")</f>
        <v>256GB SSD</v>
      </c>
      <c r="J433" s="2" t="str">
        <f ca="1">IFERROR(__xludf.DUMMYFUNCTION("""COMPUTED_VALUE"""),"Intel HD Graphics 620")</f>
        <v>Intel HD Graphics 620</v>
      </c>
      <c r="K433" s="2" t="str">
        <f ca="1">IFERROR(__xludf.DUMMYFUNCTION("""COMPUTED_VALUE"""),"Windows 10")</f>
        <v>Windows 10</v>
      </c>
      <c r="L433" s="2" t="str">
        <f ca="1">IFERROR(__xludf.DUMMYFUNCTION("""COMPUTED_VALUE"""),"1.4kg")</f>
        <v>1.4kg</v>
      </c>
      <c r="M433" s="2">
        <f ca="1">IFERROR(__xludf.DUMMYFUNCTION("""COMPUTED_VALUE"""),1010)</f>
        <v>1010</v>
      </c>
    </row>
    <row r="434" spans="1:13">
      <c r="A434" s="2">
        <f ca="1">IFERROR(__xludf.DUMMYFUNCTION("""COMPUTED_VALUE"""),439)</f>
        <v>439</v>
      </c>
      <c r="B434" s="2" t="str">
        <f ca="1">IFERROR(__xludf.DUMMYFUNCTION("""COMPUTED_VALUE"""),"Lenovo")</f>
        <v>Lenovo</v>
      </c>
      <c r="C434" s="2" t="str">
        <f ca="1">IFERROR(__xludf.DUMMYFUNCTION("""COMPUTED_VALUE"""),"IdeaPad 320s-14IKB")</f>
        <v>IdeaPad 320s-14IKB</v>
      </c>
      <c r="D434" s="2" t="str">
        <f ca="1">IFERROR(__xludf.DUMMYFUNCTION("""COMPUTED_VALUE"""),"Notebook")</f>
        <v>Notebook</v>
      </c>
      <c r="E434" s="2">
        <f ca="1">IFERROR(__xludf.DUMMYFUNCTION("""COMPUTED_VALUE"""),14)</f>
        <v>14</v>
      </c>
      <c r="F434" s="2" t="str">
        <f ca="1">IFERROR(__xludf.DUMMYFUNCTION("""COMPUTED_VALUE"""),"IPS Panel Full HD 1920x1080")</f>
        <v>IPS Panel Full HD 1920x1080</v>
      </c>
      <c r="G434" s="2" t="str">
        <f ca="1">IFERROR(__xludf.DUMMYFUNCTION("""COMPUTED_VALUE"""),"Intel Core i3 7130U 2.7GHz")</f>
        <v>Intel Core i3 7130U 2.7GHz</v>
      </c>
      <c r="H434" s="2" t="str">
        <f ca="1">IFERROR(__xludf.DUMMYFUNCTION("""COMPUTED_VALUE"""),"4GB")</f>
        <v>4GB</v>
      </c>
      <c r="I434" s="2" t="str">
        <f ca="1">IFERROR(__xludf.DUMMYFUNCTION("""COMPUTED_VALUE"""),"128GB SSD")</f>
        <v>128GB SSD</v>
      </c>
      <c r="J434" s="2" t="str">
        <f ca="1">IFERROR(__xludf.DUMMYFUNCTION("""COMPUTED_VALUE"""),"Intel HD Graphics 620")</f>
        <v>Intel HD Graphics 620</v>
      </c>
      <c r="K434" s="2" t="str">
        <f ca="1">IFERROR(__xludf.DUMMYFUNCTION("""COMPUTED_VALUE"""),"Windows 10")</f>
        <v>Windows 10</v>
      </c>
      <c r="L434" s="2" t="str">
        <f ca="1">IFERROR(__xludf.DUMMYFUNCTION("""COMPUTED_VALUE"""),"1.7kg")</f>
        <v>1.7kg</v>
      </c>
      <c r="M434" s="2">
        <f ca="1">IFERROR(__xludf.DUMMYFUNCTION("""COMPUTED_VALUE"""),599)</f>
        <v>599</v>
      </c>
    </row>
    <row r="435" spans="1:13">
      <c r="A435" s="2">
        <f ca="1">IFERROR(__xludf.DUMMYFUNCTION("""COMPUTED_VALUE"""),440)</f>
        <v>440</v>
      </c>
      <c r="B435" s="2" t="str">
        <f ca="1">IFERROR(__xludf.DUMMYFUNCTION("""COMPUTED_VALUE"""),"Lenovo")</f>
        <v>Lenovo</v>
      </c>
      <c r="C435" s="2" t="str">
        <f ca="1">IFERROR(__xludf.DUMMYFUNCTION("""COMPUTED_VALUE"""),"Thinkpad T570")</f>
        <v>Thinkpad T570</v>
      </c>
      <c r="D435" s="2" t="str">
        <f ca="1">IFERROR(__xludf.DUMMYFUNCTION("""COMPUTED_VALUE"""),"Workstation")</f>
        <v>Workstation</v>
      </c>
      <c r="E435" s="2">
        <f ca="1">IFERROR(__xludf.DUMMYFUNCTION("""COMPUTED_VALUE"""),15.6)</f>
        <v>15.6</v>
      </c>
      <c r="F435" s="2" t="str">
        <f ca="1">IFERROR(__xludf.DUMMYFUNCTION("""COMPUTED_VALUE"""),"IPS Panel 4K Ultra HD 3840x2160")</f>
        <v>IPS Panel 4K Ultra HD 3840x2160</v>
      </c>
      <c r="G435" s="2" t="str">
        <f ca="1">IFERROR(__xludf.DUMMYFUNCTION("""COMPUTED_VALUE"""),"Intel Core i7 7600U 2.8GHz")</f>
        <v>Intel Core i7 7600U 2.8GHz</v>
      </c>
      <c r="H435" s="2" t="str">
        <f ca="1">IFERROR(__xludf.DUMMYFUNCTION("""COMPUTED_VALUE"""),"16GB")</f>
        <v>16GB</v>
      </c>
      <c r="I435" s="2" t="str">
        <f ca="1">IFERROR(__xludf.DUMMYFUNCTION("""COMPUTED_VALUE"""),"512GB SSD")</f>
        <v>512GB SSD</v>
      </c>
      <c r="J435" s="2" t="str">
        <f ca="1">IFERROR(__xludf.DUMMYFUNCTION("""COMPUTED_VALUE"""),"Nvidia GeForce 940MX")</f>
        <v>Nvidia GeForce 940MX</v>
      </c>
      <c r="K435" s="2" t="str">
        <f ca="1">IFERROR(__xludf.DUMMYFUNCTION("""COMPUTED_VALUE"""),"Windows 10")</f>
        <v>Windows 10</v>
      </c>
      <c r="L435" s="2" t="str">
        <f ca="1">IFERROR(__xludf.DUMMYFUNCTION("""COMPUTED_VALUE"""),"2.3kg")</f>
        <v>2.3kg</v>
      </c>
      <c r="M435" s="2">
        <f ca="1">IFERROR(__xludf.DUMMYFUNCTION("""COMPUTED_VALUE"""),2445)</f>
        <v>2445</v>
      </c>
    </row>
    <row r="436" spans="1:13">
      <c r="A436" s="2">
        <f ca="1">IFERROR(__xludf.DUMMYFUNCTION("""COMPUTED_VALUE"""),441)</f>
        <v>441</v>
      </c>
      <c r="B436" s="2" t="str">
        <f ca="1">IFERROR(__xludf.DUMMYFUNCTION("""COMPUTED_VALUE"""),"Lenovo")</f>
        <v>Lenovo</v>
      </c>
      <c r="C436" s="2" t="str">
        <f ca="1">IFERROR(__xludf.DUMMYFUNCTION("""COMPUTED_VALUE"""),"Thinkpad P51")</f>
        <v>Thinkpad P51</v>
      </c>
      <c r="D436" s="2" t="str">
        <f ca="1">IFERROR(__xludf.DUMMYFUNCTION("""COMPUTED_VALUE"""),"Notebook")</f>
        <v>Notebook</v>
      </c>
      <c r="E436" s="2">
        <f ca="1">IFERROR(__xludf.DUMMYFUNCTION("""COMPUTED_VALUE"""),15.6)</f>
        <v>15.6</v>
      </c>
      <c r="F436" s="2" t="str">
        <f ca="1">IFERROR(__xludf.DUMMYFUNCTION("""COMPUTED_VALUE"""),"Full HD 1920x1080")</f>
        <v>Full HD 1920x1080</v>
      </c>
      <c r="G436" s="2" t="str">
        <f ca="1">IFERROR(__xludf.DUMMYFUNCTION("""COMPUTED_VALUE"""),"Intel Core i7 7820HQ 2.9GHz")</f>
        <v>Intel Core i7 7820HQ 2.9GHz</v>
      </c>
      <c r="H436" s="2" t="str">
        <f ca="1">IFERROR(__xludf.DUMMYFUNCTION("""COMPUTED_VALUE"""),"16GB")</f>
        <v>16GB</v>
      </c>
      <c r="I436" s="2" t="str">
        <f ca="1">IFERROR(__xludf.DUMMYFUNCTION("""COMPUTED_VALUE"""),"512GB SSD")</f>
        <v>512GB SSD</v>
      </c>
      <c r="J436" s="2" t="str">
        <f ca="1">IFERROR(__xludf.DUMMYFUNCTION("""COMPUTED_VALUE"""),"Nvidia Quadro M2200M")</f>
        <v>Nvidia Quadro M2200M</v>
      </c>
      <c r="K436" s="2" t="str">
        <f ca="1">IFERROR(__xludf.DUMMYFUNCTION("""COMPUTED_VALUE"""),"Windows 10")</f>
        <v>Windows 10</v>
      </c>
      <c r="L436" s="2" t="str">
        <f ca="1">IFERROR(__xludf.DUMMYFUNCTION("""COMPUTED_VALUE"""),"2.5kg")</f>
        <v>2.5kg</v>
      </c>
      <c r="M436" s="2">
        <f ca="1">IFERROR(__xludf.DUMMYFUNCTION("""COMPUTED_VALUE"""),2449)</f>
        <v>2449</v>
      </c>
    </row>
    <row r="437" spans="1:13">
      <c r="A437" s="2">
        <f ca="1">IFERROR(__xludf.DUMMYFUNCTION("""COMPUTED_VALUE"""),442)</f>
        <v>442</v>
      </c>
      <c r="B437" s="2" t="str">
        <f ca="1">IFERROR(__xludf.DUMMYFUNCTION("""COMPUTED_VALUE"""),"Asus")</f>
        <v>Asus</v>
      </c>
      <c r="C437" s="2" t="str">
        <f ca="1">IFERROR(__xludf.DUMMYFUNCTION("""COMPUTED_VALUE"""),"Rog Strix")</f>
        <v>Rog Strix</v>
      </c>
      <c r="D437" s="2" t="str">
        <f ca="1">IFERROR(__xludf.DUMMYFUNCTION("""COMPUTED_VALUE"""),"Gaming")</f>
        <v>Gaming</v>
      </c>
      <c r="E437" s="2">
        <f ca="1">IFERROR(__xludf.DUMMYFUNCTION("""COMPUTED_VALUE"""),17.3)</f>
        <v>17.3</v>
      </c>
      <c r="F437" s="2" t="str">
        <f ca="1">IFERROR(__xludf.DUMMYFUNCTION("""COMPUTED_VALUE"""),"Full HD 1920x1080")</f>
        <v>Full HD 1920x1080</v>
      </c>
      <c r="G437" s="2" t="str">
        <f ca="1">IFERROR(__xludf.DUMMYFUNCTION("""COMPUTED_VALUE"""),"AMD Ryzen 1600 3.2GHz")</f>
        <v>AMD Ryzen 1600 3.2GHz</v>
      </c>
      <c r="H437" s="2" t="str">
        <f ca="1">IFERROR(__xludf.DUMMYFUNCTION("""COMPUTED_VALUE"""),"8GB")</f>
        <v>8GB</v>
      </c>
      <c r="I437" s="2" t="str">
        <f ca="1">IFERROR(__xludf.DUMMYFUNCTION("""COMPUTED_VALUE"""),"256GB SSD +  1TB HDD")</f>
        <v>256GB SSD +  1TB HDD</v>
      </c>
      <c r="J437" s="2" t="str">
        <f ca="1">IFERROR(__xludf.DUMMYFUNCTION("""COMPUTED_VALUE"""),"AMD Radeon RX 580")</f>
        <v>AMD Radeon RX 580</v>
      </c>
      <c r="K437" s="2" t="str">
        <f ca="1">IFERROR(__xludf.DUMMYFUNCTION("""COMPUTED_VALUE"""),"Windows 10")</f>
        <v>Windows 10</v>
      </c>
      <c r="L437" s="2" t="str">
        <f ca="1">IFERROR(__xludf.DUMMYFUNCTION("""COMPUTED_VALUE"""),"3.2kg")</f>
        <v>3.2kg</v>
      </c>
      <c r="M437" s="2">
        <f ca="1">IFERROR(__xludf.DUMMYFUNCTION("""COMPUTED_VALUE"""),1695)</f>
        <v>1695</v>
      </c>
    </row>
    <row r="438" spans="1:13">
      <c r="A438" s="2">
        <f ca="1">IFERROR(__xludf.DUMMYFUNCTION("""COMPUTED_VALUE"""),443)</f>
        <v>443</v>
      </c>
      <c r="B438" s="2" t="str">
        <f ca="1">IFERROR(__xludf.DUMMYFUNCTION("""COMPUTED_VALUE"""),"HP")</f>
        <v>HP</v>
      </c>
      <c r="C438" s="2" t="str">
        <f ca="1">IFERROR(__xludf.DUMMYFUNCTION("""COMPUTED_VALUE"""),"15-ra044nv (N3060/4GB/500GB/W10)")</f>
        <v>15-ra044nv (N3060/4GB/500GB/W10)</v>
      </c>
      <c r="D438" s="2" t="str">
        <f ca="1">IFERROR(__xludf.DUMMYFUNCTION("""COMPUTED_VALUE"""),"Notebook")</f>
        <v>Notebook</v>
      </c>
      <c r="E438" s="2">
        <f ca="1">IFERROR(__xludf.DUMMYFUNCTION("""COMPUTED_VALUE"""),15.6)</f>
        <v>15.6</v>
      </c>
      <c r="F438" s="2" t="str">
        <f ca="1">IFERROR(__xludf.DUMMYFUNCTION("""COMPUTED_VALUE"""),"1366x768")</f>
        <v>1366x768</v>
      </c>
      <c r="G438" s="2" t="str">
        <f ca="1">IFERROR(__xludf.DUMMYFUNCTION("""COMPUTED_VALUE"""),"Intel Celeron Dual Core N3060 1.6GHz")</f>
        <v>Intel Celeron Dual Core N3060 1.6GHz</v>
      </c>
      <c r="H438" s="2" t="str">
        <f ca="1">IFERROR(__xludf.DUMMYFUNCTION("""COMPUTED_VALUE"""),"4GB")</f>
        <v>4GB</v>
      </c>
      <c r="I438" s="2" t="str">
        <f ca="1">IFERROR(__xludf.DUMMYFUNCTION("""COMPUTED_VALUE"""),"500GB HDD")</f>
        <v>500GB HDD</v>
      </c>
      <c r="J438" s="2" t="str">
        <f ca="1">IFERROR(__xludf.DUMMYFUNCTION("""COMPUTED_VALUE"""),"Intel HD Graphics 400")</f>
        <v>Intel HD Graphics 400</v>
      </c>
      <c r="K438" s="2" t="str">
        <f ca="1">IFERROR(__xludf.DUMMYFUNCTION("""COMPUTED_VALUE"""),"Windows 10")</f>
        <v>Windows 10</v>
      </c>
      <c r="L438" s="2" t="str">
        <f ca="1">IFERROR(__xludf.DUMMYFUNCTION("""COMPUTED_VALUE"""),"2.1kg")</f>
        <v>2.1kg</v>
      </c>
      <c r="M438" s="2">
        <f ca="1">IFERROR(__xludf.DUMMYFUNCTION("""COMPUTED_VALUE"""),347)</f>
        <v>347</v>
      </c>
    </row>
    <row r="439" spans="1:13">
      <c r="A439" s="2">
        <f ca="1">IFERROR(__xludf.DUMMYFUNCTION("""COMPUTED_VALUE"""),444)</f>
        <v>444</v>
      </c>
      <c r="B439" s="2" t="str">
        <f ca="1">IFERROR(__xludf.DUMMYFUNCTION("""COMPUTED_VALUE"""),"Google")</f>
        <v>Google</v>
      </c>
      <c r="C439" s="2" t="str">
        <f ca="1">IFERROR(__xludf.DUMMYFUNCTION("""COMPUTED_VALUE"""),"Pixelbook (Core")</f>
        <v>Pixelbook (Core</v>
      </c>
      <c r="D439" s="2" t="str">
        <f ca="1">IFERROR(__xludf.DUMMYFUNCTION("""COMPUTED_VALUE"""),"Ultrabook")</f>
        <v>Ultrabook</v>
      </c>
      <c r="E439" s="2">
        <f ca="1">IFERROR(__xludf.DUMMYFUNCTION("""COMPUTED_VALUE"""),12.3)</f>
        <v>12.3</v>
      </c>
      <c r="F439" s="2" t="str">
        <f ca="1">IFERROR(__xludf.DUMMYFUNCTION("""COMPUTED_VALUE"""),"Touchscreen 2400x1600")</f>
        <v>Touchscreen 2400x1600</v>
      </c>
      <c r="G439" s="2" t="str">
        <f ca="1">IFERROR(__xludf.DUMMYFUNCTION("""COMPUTED_VALUE"""),"Intel Core i7 7Y75 1.3GHz")</f>
        <v>Intel Core i7 7Y75 1.3GHz</v>
      </c>
      <c r="H439" s="2" t="str">
        <f ca="1">IFERROR(__xludf.DUMMYFUNCTION("""COMPUTED_VALUE"""),"16GB")</f>
        <v>16GB</v>
      </c>
      <c r="I439" s="2" t="str">
        <f ca="1">IFERROR(__xludf.DUMMYFUNCTION("""COMPUTED_VALUE"""),"512GB SSD")</f>
        <v>512GB SSD</v>
      </c>
      <c r="J439" s="2" t="str">
        <f ca="1">IFERROR(__xludf.DUMMYFUNCTION("""COMPUTED_VALUE"""),"Intel HD Graphics 615")</f>
        <v>Intel HD Graphics 615</v>
      </c>
      <c r="K439" s="2" t="str">
        <f ca="1">IFERROR(__xludf.DUMMYFUNCTION("""COMPUTED_VALUE"""),"Chrome OS")</f>
        <v>Chrome OS</v>
      </c>
      <c r="L439" s="2" t="str">
        <f ca="1">IFERROR(__xludf.DUMMYFUNCTION("""COMPUTED_VALUE"""),"1.1kg")</f>
        <v>1.1kg</v>
      </c>
      <c r="M439" s="2">
        <f ca="1">IFERROR(__xludf.DUMMYFUNCTION("""COMPUTED_VALUE"""),2199)</f>
        <v>2199</v>
      </c>
    </row>
    <row r="440" spans="1:13">
      <c r="A440" s="2">
        <f ca="1">IFERROR(__xludf.DUMMYFUNCTION("""COMPUTED_VALUE"""),445)</f>
        <v>445</v>
      </c>
      <c r="B440" s="2" t="str">
        <f ca="1">IFERROR(__xludf.DUMMYFUNCTION("""COMPUTED_VALUE"""),"Lenovo")</f>
        <v>Lenovo</v>
      </c>
      <c r="C440" s="2" t="str">
        <f ca="1">IFERROR(__xludf.DUMMYFUNCTION("""COMPUTED_VALUE"""),"ThinkPad T470s")</f>
        <v>ThinkPad T470s</v>
      </c>
      <c r="D440" s="2" t="str">
        <f ca="1">IFERROR(__xludf.DUMMYFUNCTION("""COMPUTED_VALUE"""),"Ultrabook")</f>
        <v>Ultrabook</v>
      </c>
      <c r="E440" s="2">
        <f ca="1">IFERROR(__xludf.DUMMYFUNCTION("""COMPUTED_VALUE"""),14)</f>
        <v>14</v>
      </c>
      <c r="F440" s="2" t="str">
        <f ca="1">IFERROR(__xludf.DUMMYFUNCTION("""COMPUTED_VALUE"""),"2560x1440")</f>
        <v>2560x1440</v>
      </c>
      <c r="G440" s="2" t="str">
        <f ca="1">IFERROR(__xludf.DUMMYFUNCTION("""COMPUTED_VALUE"""),"Intel Core i7 7500U 2.7GHz")</f>
        <v>Intel Core i7 7500U 2.7GHz</v>
      </c>
      <c r="H440" s="2" t="str">
        <f ca="1">IFERROR(__xludf.DUMMYFUNCTION("""COMPUTED_VALUE"""),"24GB")</f>
        <v>24GB</v>
      </c>
      <c r="I440" s="2" t="str">
        <f ca="1">IFERROR(__xludf.DUMMYFUNCTION("""COMPUTED_VALUE"""),"512GB SSD")</f>
        <v>512GB SSD</v>
      </c>
      <c r="J440" s="2" t="str">
        <f ca="1">IFERROR(__xludf.DUMMYFUNCTION("""COMPUTED_VALUE"""),"Intel HD Graphics 620")</f>
        <v>Intel HD Graphics 620</v>
      </c>
      <c r="K440" s="2" t="str">
        <f ca="1">IFERROR(__xludf.DUMMYFUNCTION("""COMPUTED_VALUE"""),"Windows 10")</f>
        <v>Windows 10</v>
      </c>
      <c r="L440" s="2" t="str">
        <f ca="1">IFERROR(__xludf.DUMMYFUNCTION("""COMPUTED_VALUE"""),"1.32kg")</f>
        <v>1.32kg</v>
      </c>
      <c r="M440" s="2">
        <f ca="1">IFERROR(__xludf.DUMMYFUNCTION("""COMPUTED_VALUE"""),2382)</f>
        <v>2382</v>
      </c>
    </row>
    <row r="441" spans="1:13">
      <c r="A441" s="2">
        <f ca="1">IFERROR(__xludf.DUMMYFUNCTION("""COMPUTED_VALUE"""),446)</f>
        <v>446</v>
      </c>
      <c r="B441" s="2" t="str">
        <f ca="1">IFERROR(__xludf.DUMMYFUNCTION("""COMPUTED_VALUE"""),"Asus")</f>
        <v>Asus</v>
      </c>
      <c r="C441" s="2" t="str">
        <f ca="1">IFERROR(__xludf.DUMMYFUNCTION("""COMPUTED_VALUE"""),"VivoBook Max")</f>
        <v>VivoBook Max</v>
      </c>
      <c r="D441" s="2" t="str">
        <f ca="1">IFERROR(__xludf.DUMMYFUNCTION("""COMPUTED_VALUE"""),"Notebook")</f>
        <v>Notebook</v>
      </c>
      <c r="E441" s="2">
        <f ca="1">IFERROR(__xludf.DUMMYFUNCTION("""COMPUTED_VALUE"""),15.6)</f>
        <v>15.6</v>
      </c>
      <c r="F441" s="2" t="str">
        <f ca="1">IFERROR(__xludf.DUMMYFUNCTION("""COMPUTED_VALUE"""),"Full HD 1920x1080")</f>
        <v>Full HD 1920x1080</v>
      </c>
      <c r="G441" s="2" t="str">
        <f ca="1">IFERROR(__xludf.DUMMYFUNCTION("""COMPUTED_VALUE"""),"Intel Core i5 7200U 2.5GHz")</f>
        <v>Intel Core i5 7200U 2.5GHz</v>
      </c>
      <c r="H441" s="2" t="str">
        <f ca="1">IFERROR(__xludf.DUMMYFUNCTION("""COMPUTED_VALUE"""),"4GB")</f>
        <v>4GB</v>
      </c>
      <c r="I441" s="2" t="str">
        <f ca="1">IFERROR(__xludf.DUMMYFUNCTION("""COMPUTED_VALUE"""),"256GB SSD")</f>
        <v>256GB SSD</v>
      </c>
      <c r="J441" s="2" t="str">
        <f ca="1">IFERROR(__xludf.DUMMYFUNCTION("""COMPUTED_VALUE"""),"Intel HD Graphics 620")</f>
        <v>Intel HD Graphics 620</v>
      </c>
      <c r="K441" s="2" t="str">
        <f ca="1">IFERROR(__xludf.DUMMYFUNCTION("""COMPUTED_VALUE"""),"Linux")</f>
        <v>Linux</v>
      </c>
      <c r="L441" s="2" t="str">
        <f ca="1">IFERROR(__xludf.DUMMYFUNCTION("""COMPUTED_VALUE"""),"2kg")</f>
        <v>2kg</v>
      </c>
      <c r="M441" s="2">
        <f ca="1">IFERROR(__xludf.DUMMYFUNCTION("""COMPUTED_VALUE"""),559)</f>
        <v>559</v>
      </c>
    </row>
    <row r="442" spans="1:13">
      <c r="A442" s="2">
        <f ca="1">IFERROR(__xludf.DUMMYFUNCTION("""COMPUTED_VALUE"""),447)</f>
        <v>447</v>
      </c>
      <c r="B442" s="2" t="str">
        <f ca="1">IFERROR(__xludf.DUMMYFUNCTION("""COMPUTED_VALUE"""),"Lenovo")</f>
        <v>Lenovo</v>
      </c>
      <c r="C442" s="2" t="str">
        <f ca="1">IFERROR(__xludf.DUMMYFUNCTION("""COMPUTED_VALUE"""),"IdeaPad 320-15AST")</f>
        <v>IdeaPad 320-15AST</v>
      </c>
      <c r="D442" s="2" t="str">
        <f ca="1">IFERROR(__xludf.DUMMYFUNCTION("""COMPUTED_VALUE"""),"Notebook")</f>
        <v>Notebook</v>
      </c>
      <c r="E442" s="2">
        <f ca="1">IFERROR(__xludf.DUMMYFUNCTION("""COMPUTED_VALUE"""),17.3)</f>
        <v>17.3</v>
      </c>
      <c r="F442" s="2" t="str">
        <f ca="1">IFERROR(__xludf.DUMMYFUNCTION("""COMPUTED_VALUE"""),"1600x900")</f>
        <v>1600x900</v>
      </c>
      <c r="G442" s="2" t="str">
        <f ca="1">IFERROR(__xludf.DUMMYFUNCTION("""COMPUTED_VALUE"""),"AMD A6-Series 9220 2.5GHz")</f>
        <v>AMD A6-Series 9220 2.5GHz</v>
      </c>
      <c r="H442" s="2" t="str">
        <f ca="1">IFERROR(__xludf.DUMMYFUNCTION("""COMPUTED_VALUE"""),"8GB")</f>
        <v>8GB</v>
      </c>
      <c r="I442" s="2" t="str">
        <f ca="1">IFERROR(__xludf.DUMMYFUNCTION("""COMPUTED_VALUE"""),"1TB HDD")</f>
        <v>1TB HDD</v>
      </c>
      <c r="J442" s="2" t="str">
        <f ca="1">IFERROR(__xludf.DUMMYFUNCTION("""COMPUTED_VALUE"""),"AMD Radeon R4")</f>
        <v>AMD Radeon R4</v>
      </c>
      <c r="K442" s="2" t="str">
        <f ca="1">IFERROR(__xludf.DUMMYFUNCTION("""COMPUTED_VALUE"""),"Windows 10")</f>
        <v>Windows 10</v>
      </c>
      <c r="L442" s="2" t="str">
        <f ca="1">IFERROR(__xludf.DUMMYFUNCTION("""COMPUTED_VALUE"""),"2.8kg")</f>
        <v>2.8kg</v>
      </c>
      <c r="M442" s="2">
        <f ca="1">IFERROR(__xludf.DUMMYFUNCTION("""COMPUTED_VALUE"""),519)</f>
        <v>519</v>
      </c>
    </row>
    <row r="443" spans="1:13">
      <c r="A443" s="2">
        <f ca="1">IFERROR(__xludf.DUMMYFUNCTION("""COMPUTED_VALUE"""),448)</f>
        <v>448</v>
      </c>
      <c r="B443" s="2" t="str">
        <f ca="1">IFERROR(__xludf.DUMMYFUNCTION("""COMPUTED_VALUE"""),"Dell")</f>
        <v>Dell</v>
      </c>
      <c r="C443" s="2" t="str">
        <f ca="1">IFERROR(__xludf.DUMMYFUNCTION("""COMPUTED_VALUE"""),"Inspiron 5570")</f>
        <v>Inspiron 5570</v>
      </c>
      <c r="D443" s="2" t="str">
        <f ca="1">IFERROR(__xludf.DUMMYFUNCTION("""COMPUTED_VALUE"""),"Notebook")</f>
        <v>Notebook</v>
      </c>
      <c r="E443" s="2">
        <f ca="1">IFERROR(__xludf.DUMMYFUNCTION("""COMPUTED_VALUE"""),15.6)</f>
        <v>15.6</v>
      </c>
      <c r="F443" s="2" t="str">
        <f ca="1">IFERROR(__xludf.DUMMYFUNCTION("""COMPUTED_VALUE"""),"Full HD 1920x1080")</f>
        <v>Full HD 1920x1080</v>
      </c>
      <c r="G443" s="2" t="str">
        <f ca="1">IFERROR(__xludf.DUMMYFUNCTION("""COMPUTED_VALUE"""),"Intel Core i5 8250U 1.6GHz")</f>
        <v>Intel Core i5 8250U 1.6GHz</v>
      </c>
      <c r="H443" s="2" t="str">
        <f ca="1">IFERROR(__xludf.DUMMYFUNCTION("""COMPUTED_VALUE"""),"4GB")</f>
        <v>4GB</v>
      </c>
      <c r="I443" s="2" t="str">
        <f ca="1">IFERROR(__xludf.DUMMYFUNCTION("""COMPUTED_VALUE"""),"256GB SSD")</f>
        <v>256GB SSD</v>
      </c>
      <c r="J443" s="2" t="str">
        <f ca="1">IFERROR(__xludf.DUMMYFUNCTION("""COMPUTED_VALUE"""),"AMD Radeon 530")</f>
        <v>AMD Radeon 530</v>
      </c>
      <c r="K443" s="2" t="str">
        <f ca="1">IFERROR(__xludf.DUMMYFUNCTION("""COMPUTED_VALUE"""),"Windows 10")</f>
        <v>Windows 10</v>
      </c>
      <c r="L443" s="2" t="str">
        <f ca="1">IFERROR(__xludf.DUMMYFUNCTION("""COMPUTED_VALUE"""),"2.2kg")</f>
        <v>2.2kg</v>
      </c>
      <c r="M443" s="2">
        <f ca="1">IFERROR(__xludf.DUMMYFUNCTION("""COMPUTED_VALUE"""),749)</f>
        <v>749</v>
      </c>
    </row>
    <row r="444" spans="1:13">
      <c r="A444" s="2">
        <f ca="1">IFERROR(__xludf.DUMMYFUNCTION("""COMPUTED_VALUE"""),449)</f>
        <v>449</v>
      </c>
      <c r="B444" s="2" t="str">
        <f ca="1">IFERROR(__xludf.DUMMYFUNCTION("""COMPUTED_VALUE"""),"Lenovo")</f>
        <v>Lenovo</v>
      </c>
      <c r="C444" s="2" t="str">
        <f ca="1">IFERROR(__xludf.DUMMYFUNCTION("""COMPUTED_VALUE"""),"ThinkPad X270")</f>
        <v>ThinkPad X270</v>
      </c>
      <c r="D444" s="2" t="str">
        <f ca="1">IFERROR(__xludf.DUMMYFUNCTION("""COMPUTED_VALUE"""),"Ultrabook")</f>
        <v>Ultrabook</v>
      </c>
      <c r="E444" s="2">
        <f ca="1">IFERROR(__xludf.DUMMYFUNCTION("""COMPUTED_VALUE"""),12.5)</f>
        <v>12.5</v>
      </c>
      <c r="F444" s="2" t="str">
        <f ca="1">IFERROR(__xludf.DUMMYFUNCTION("""COMPUTED_VALUE"""),"IPS Panel Full HD 1920x1080")</f>
        <v>IPS Panel Full HD 1920x1080</v>
      </c>
      <c r="G444" s="2" t="str">
        <f ca="1">IFERROR(__xludf.DUMMYFUNCTION("""COMPUTED_VALUE"""),"Intel Core i5 7200U 2.5GHz")</f>
        <v>Intel Core i5 7200U 2.5GHz</v>
      </c>
      <c r="H444" s="2" t="str">
        <f ca="1">IFERROR(__xludf.DUMMYFUNCTION("""COMPUTED_VALUE"""),"8GB")</f>
        <v>8GB</v>
      </c>
      <c r="I444" s="2" t="str">
        <f ca="1">IFERROR(__xludf.DUMMYFUNCTION("""COMPUTED_VALUE"""),"256GB SSD")</f>
        <v>256GB SSD</v>
      </c>
      <c r="J444" s="2" t="str">
        <f ca="1">IFERROR(__xludf.DUMMYFUNCTION("""COMPUTED_VALUE"""),"Intel HD Graphics 620")</f>
        <v>Intel HD Graphics 620</v>
      </c>
      <c r="K444" s="2" t="str">
        <f ca="1">IFERROR(__xludf.DUMMYFUNCTION("""COMPUTED_VALUE"""),"Windows 10")</f>
        <v>Windows 10</v>
      </c>
      <c r="L444" s="2" t="str">
        <f ca="1">IFERROR(__xludf.DUMMYFUNCTION("""COMPUTED_VALUE"""),"1.36kg")</f>
        <v>1.36kg</v>
      </c>
      <c r="M444" s="2">
        <f ca="1">IFERROR(__xludf.DUMMYFUNCTION("""COMPUTED_VALUE"""),1429)</f>
        <v>1429</v>
      </c>
    </row>
    <row r="445" spans="1:13">
      <c r="A445" s="2">
        <f ca="1">IFERROR(__xludf.DUMMYFUNCTION("""COMPUTED_VALUE"""),450)</f>
        <v>450</v>
      </c>
      <c r="B445" s="2" t="str">
        <f ca="1">IFERROR(__xludf.DUMMYFUNCTION("""COMPUTED_VALUE"""),"Lenovo")</f>
        <v>Lenovo</v>
      </c>
      <c r="C445" s="2" t="str">
        <f ca="1">IFERROR(__xludf.DUMMYFUNCTION("""COMPUTED_VALUE"""),"IdeaPad 320-15IAP")</f>
        <v>IdeaPad 320-15IAP</v>
      </c>
      <c r="D445" s="2" t="str">
        <f ca="1">IFERROR(__xludf.DUMMYFUNCTION("""COMPUTED_VALUE"""),"Notebook")</f>
        <v>Notebook</v>
      </c>
      <c r="E445" s="2">
        <f ca="1">IFERROR(__xludf.DUMMYFUNCTION("""COMPUTED_VALUE"""),15.6)</f>
        <v>15.6</v>
      </c>
      <c r="F445" s="2" t="str">
        <f ca="1">IFERROR(__xludf.DUMMYFUNCTION("""COMPUTED_VALUE"""),"Full HD 1920x1080")</f>
        <v>Full HD 1920x1080</v>
      </c>
      <c r="G445" s="2" t="str">
        <f ca="1">IFERROR(__xludf.DUMMYFUNCTION("""COMPUTED_VALUE"""),"Intel Pentium Quad Core N4200 1.1GHz")</f>
        <v>Intel Pentium Quad Core N4200 1.1GHz</v>
      </c>
      <c r="H445" s="2" t="str">
        <f ca="1">IFERROR(__xludf.DUMMYFUNCTION("""COMPUTED_VALUE"""),"4GB")</f>
        <v>4GB</v>
      </c>
      <c r="I445" s="2" t="str">
        <f ca="1">IFERROR(__xludf.DUMMYFUNCTION("""COMPUTED_VALUE"""),"128GB SSD")</f>
        <v>128GB SSD</v>
      </c>
      <c r="J445" s="2" t="str">
        <f ca="1">IFERROR(__xludf.DUMMYFUNCTION("""COMPUTED_VALUE"""),"Intel HD Graphics 505")</f>
        <v>Intel HD Graphics 505</v>
      </c>
      <c r="K445" s="2" t="str">
        <f ca="1">IFERROR(__xludf.DUMMYFUNCTION("""COMPUTED_VALUE"""),"Windows 10")</f>
        <v>Windows 10</v>
      </c>
      <c r="L445" s="2" t="str">
        <f ca="1">IFERROR(__xludf.DUMMYFUNCTION("""COMPUTED_VALUE"""),"2.2kg")</f>
        <v>2.2kg</v>
      </c>
      <c r="M445" s="2">
        <f ca="1">IFERROR(__xludf.DUMMYFUNCTION("""COMPUTED_VALUE"""),349)</f>
        <v>349</v>
      </c>
    </row>
    <row r="446" spans="1:13">
      <c r="A446" s="2">
        <f ca="1">IFERROR(__xludf.DUMMYFUNCTION("""COMPUTED_VALUE"""),451)</f>
        <v>451</v>
      </c>
      <c r="B446" s="2" t="str">
        <f ca="1">IFERROR(__xludf.DUMMYFUNCTION("""COMPUTED_VALUE"""),"HP")</f>
        <v>HP</v>
      </c>
      <c r="C446" s="2" t="str">
        <f ca="1">IFERROR(__xludf.DUMMYFUNCTION("""COMPUTED_VALUE"""),"Omen 15-AX205na")</f>
        <v>Omen 15-AX205na</v>
      </c>
      <c r="D446" s="2" t="str">
        <f ca="1">IFERROR(__xludf.DUMMYFUNCTION("""COMPUTED_VALUE"""),"Gaming")</f>
        <v>Gaming</v>
      </c>
      <c r="E446" s="2">
        <f ca="1">IFERROR(__xludf.DUMMYFUNCTION("""COMPUTED_VALUE"""),15.6)</f>
        <v>15.6</v>
      </c>
      <c r="F446" s="2" t="str">
        <f ca="1">IFERROR(__xludf.DUMMYFUNCTION("""COMPUTED_VALUE"""),"IPS Panel Full HD 1920x1080")</f>
        <v>IPS Panel Full HD 1920x1080</v>
      </c>
      <c r="G446" s="2" t="str">
        <f ca="1">IFERROR(__xludf.DUMMYFUNCTION("""COMPUTED_VALUE"""),"Intel Core i7 7700HQ 2.8GHz")</f>
        <v>Intel Core i7 7700HQ 2.8GHz</v>
      </c>
      <c r="H446" s="2" t="str">
        <f ca="1">IFERROR(__xludf.DUMMYFUNCTION("""COMPUTED_VALUE"""),"8GB")</f>
        <v>8GB</v>
      </c>
      <c r="I446" s="2" t="str">
        <f ca="1">IFERROR(__xludf.DUMMYFUNCTION("""COMPUTED_VALUE"""),"128GB SSD +  1TB HDD")</f>
        <v>128GB SSD +  1TB HDD</v>
      </c>
      <c r="J446" s="2" t="str">
        <f ca="1">IFERROR(__xludf.DUMMYFUNCTION("""COMPUTED_VALUE"""),"Nvidia GeForce GTX 1050")</f>
        <v>Nvidia GeForce GTX 1050</v>
      </c>
      <c r="K446" s="2" t="str">
        <f ca="1">IFERROR(__xludf.DUMMYFUNCTION("""COMPUTED_VALUE"""),"Windows 10")</f>
        <v>Windows 10</v>
      </c>
      <c r="L446" s="2" t="str">
        <f ca="1">IFERROR(__xludf.DUMMYFUNCTION("""COMPUTED_VALUE"""),"2.2kg")</f>
        <v>2.2kg</v>
      </c>
      <c r="M446" s="2">
        <f ca="1">IFERROR(__xludf.DUMMYFUNCTION("""COMPUTED_VALUE"""),1099)</f>
        <v>1099</v>
      </c>
    </row>
    <row r="447" spans="1:13">
      <c r="A447" s="2">
        <f ca="1">IFERROR(__xludf.DUMMYFUNCTION("""COMPUTED_VALUE"""),452)</f>
        <v>452</v>
      </c>
      <c r="B447" s="2" t="str">
        <f ca="1">IFERROR(__xludf.DUMMYFUNCTION("""COMPUTED_VALUE"""),"Dell")</f>
        <v>Dell</v>
      </c>
      <c r="C447" s="2" t="str">
        <f ca="1">IFERROR(__xludf.DUMMYFUNCTION("""COMPUTED_VALUE"""),"Latitude 5480")</f>
        <v>Latitude 5480</v>
      </c>
      <c r="D447" s="2" t="str">
        <f ca="1">IFERROR(__xludf.DUMMYFUNCTION("""COMPUTED_VALUE"""),"Notebook")</f>
        <v>Notebook</v>
      </c>
      <c r="E447" s="2">
        <f ca="1">IFERROR(__xludf.DUMMYFUNCTION("""COMPUTED_VALUE"""),14)</f>
        <v>14</v>
      </c>
      <c r="F447" s="2" t="str">
        <f ca="1">IFERROR(__xludf.DUMMYFUNCTION("""COMPUTED_VALUE"""),"Full HD 1920x1080")</f>
        <v>Full HD 1920x1080</v>
      </c>
      <c r="G447" s="2" t="str">
        <f ca="1">IFERROR(__xludf.DUMMYFUNCTION("""COMPUTED_VALUE"""),"Intel Core i5 7440HQ 2.8GHz")</f>
        <v>Intel Core i5 7440HQ 2.8GHz</v>
      </c>
      <c r="H447" s="2" t="str">
        <f ca="1">IFERROR(__xludf.DUMMYFUNCTION("""COMPUTED_VALUE"""),"8GB")</f>
        <v>8GB</v>
      </c>
      <c r="I447" s="2" t="str">
        <f ca="1">IFERROR(__xludf.DUMMYFUNCTION("""COMPUTED_VALUE"""),"256GB SSD")</f>
        <v>256GB SSD</v>
      </c>
      <c r="J447" s="2" t="str">
        <f ca="1">IFERROR(__xludf.DUMMYFUNCTION("""COMPUTED_VALUE"""),"Nvidia GeForce 930MX")</f>
        <v>Nvidia GeForce 930MX</v>
      </c>
      <c r="K447" s="2" t="str">
        <f ca="1">IFERROR(__xludf.DUMMYFUNCTION("""COMPUTED_VALUE"""),"Windows 10")</f>
        <v>Windows 10</v>
      </c>
      <c r="L447" s="2" t="str">
        <f ca="1">IFERROR(__xludf.DUMMYFUNCTION("""COMPUTED_VALUE"""),"1.64kg")</f>
        <v>1.64kg</v>
      </c>
      <c r="M447" s="2">
        <f ca="1">IFERROR(__xludf.DUMMYFUNCTION("""COMPUTED_VALUE"""),1179)</f>
        <v>1179</v>
      </c>
    </row>
    <row r="448" spans="1:13">
      <c r="A448" s="2">
        <f ca="1">IFERROR(__xludf.DUMMYFUNCTION("""COMPUTED_VALUE"""),453)</f>
        <v>453</v>
      </c>
      <c r="B448" s="2" t="str">
        <f ca="1">IFERROR(__xludf.DUMMYFUNCTION("""COMPUTED_VALUE"""),"Acer")</f>
        <v>Acer</v>
      </c>
      <c r="C448" s="2" t="str">
        <f ca="1">IFERROR(__xludf.DUMMYFUNCTION("""COMPUTED_VALUE"""),"Aspire ES1-572")</f>
        <v>Aspire ES1-572</v>
      </c>
      <c r="D448" s="2" t="str">
        <f ca="1">IFERROR(__xludf.DUMMYFUNCTION("""COMPUTED_VALUE"""),"Notebook")</f>
        <v>Notebook</v>
      </c>
      <c r="E448" s="2">
        <f ca="1">IFERROR(__xludf.DUMMYFUNCTION("""COMPUTED_VALUE"""),15.6)</f>
        <v>15.6</v>
      </c>
      <c r="F448" s="2" t="str">
        <f ca="1">IFERROR(__xludf.DUMMYFUNCTION("""COMPUTED_VALUE"""),"1366x768")</f>
        <v>1366x768</v>
      </c>
      <c r="G448" s="2" t="str">
        <f ca="1">IFERROR(__xludf.DUMMYFUNCTION("""COMPUTED_VALUE"""),"Intel Core i5 7200U 2.5GHz")</f>
        <v>Intel Core i5 7200U 2.5GHz</v>
      </c>
      <c r="H448" s="2" t="str">
        <f ca="1">IFERROR(__xludf.DUMMYFUNCTION("""COMPUTED_VALUE"""),"4GB")</f>
        <v>4GB</v>
      </c>
      <c r="I448" s="2" t="str">
        <f ca="1">IFERROR(__xludf.DUMMYFUNCTION("""COMPUTED_VALUE"""),"500GB HDD")</f>
        <v>500GB HDD</v>
      </c>
      <c r="J448" s="2" t="str">
        <f ca="1">IFERROR(__xludf.DUMMYFUNCTION("""COMPUTED_VALUE"""),"Intel HD Graphics 620")</f>
        <v>Intel HD Graphics 620</v>
      </c>
      <c r="K448" s="2" t="str">
        <f ca="1">IFERROR(__xludf.DUMMYFUNCTION("""COMPUTED_VALUE"""),"Linux")</f>
        <v>Linux</v>
      </c>
      <c r="L448" s="2" t="str">
        <f ca="1">IFERROR(__xludf.DUMMYFUNCTION("""COMPUTED_VALUE"""),"2.4kg")</f>
        <v>2.4kg</v>
      </c>
      <c r="M448" s="2">
        <f ca="1">IFERROR(__xludf.DUMMYFUNCTION("""COMPUTED_VALUE"""),441.8)</f>
        <v>441.8</v>
      </c>
    </row>
    <row r="449" spans="1:13">
      <c r="A449" s="2">
        <f ca="1">IFERROR(__xludf.DUMMYFUNCTION("""COMPUTED_VALUE"""),454)</f>
        <v>454</v>
      </c>
      <c r="B449" s="2" t="str">
        <f ca="1">IFERROR(__xludf.DUMMYFUNCTION("""COMPUTED_VALUE"""),"Dell")</f>
        <v>Dell</v>
      </c>
      <c r="C449" s="2" t="str">
        <f ca="1">IFERROR(__xludf.DUMMYFUNCTION("""COMPUTED_VALUE"""),"Precision 3520")</f>
        <v>Precision 3520</v>
      </c>
      <c r="D449" s="2" t="str">
        <f ca="1">IFERROR(__xludf.DUMMYFUNCTION("""COMPUTED_VALUE"""),"Workstation")</f>
        <v>Workstation</v>
      </c>
      <c r="E449" s="2">
        <f ca="1">IFERROR(__xludf.DUMMYFUNCTION("""COMPUTED_VALUE"""),15.6)</f>
        <v>15.6</v>
      </c>
      <c r="F449" s="2" t="str">
        <f ca="1">IFERROR(__xludf.DUMMYFUNCTION("""COMPUTED_VALUE"""),"Full HD 1920x1080")</f>
        <v>Full HD 1920x1080</v>
      </c>
      <c r="G449" s="2" t="str">
        <f ca="1">IFERROR(__xludf.DUMMYFUNCTION("""COMPUTED_VALUE"""),"Intel Xeon E3-1505M V6 3GHz")</f>
        <v>Intel Xeon E3-1505M V6 3GHz</v>
      </c>
      <c r="H449" s="2" t="str">
        <f ca="1">IFERROR(__xludf.DUMMYFUNCTION("""COMPUTED_VALUE"""),"8GB")</f>
        <v>8GB</v>
      </c>
      <c r="I449" s="2" t="str">
        <f ca="1">IFERROR(__xludf.DUMMYFUNCTION("""COMPUTED_VALUE"""),"64GB Flash Storage +  1TB HDD")</f>
        <v>64GB Flash Storage +  1TB HDD</v>
      </c>
      <c r="J449" s="2" t="str">
        <f ca="1">IFERROR(__xludf.DUMMYFUNCTION("""COMPUTED_VALUE"""),"Nvidia Quadro M620")</f>
        <v>Nvidia Quadro M620</v>
      </c>
      <c r="K449" s="2" t="str">
        <f ca="1">IFERROR(__xludf.DUMMYFUNCTION("""COMPUTED_VALUE"""),"Windows 10")</f>
        <v>Windows 10</v>
      </c>
      <c r="L449" s="2" t="str">
        <f ca="1">IFERROR(__xludf.DUMMYFUNCTION("""COMPUTED_VALUE"""),"2.23kg")</f>
        <v>2.23kg</v>
      </c>
      <c r="M449" s="2">
        <f ca="1">IFERROR(__xludf.DUMMYFUNCTION("""COMPUTED_VALUE"""),1993)</f>
        <v>1993</v>
      </c>
    </row>
    <row r="450" spans="1:13">
      <c r="A450" s="2">
        <f ca="1">IFERROR(__xludf.DUMMYFUNCTION("""COMPUTED_VALUE"""),455)</f>
        <v>455</v>
      </c>
      <c r="B450" s="2" t="str">
        <f ca="1">IFERROR(__xludf.DUMMYFUNCTION("""COMPUTED_VALUE"""),"MSI")</f>
        <v>MSI</v>
      </c>
      <c r="C450" s="2" t="str">
        <f ca="1">IFERROR(__xludf.DUMMYFUNCTION("""COMPUTED_VALUE"""),"GV62 7RD-1686NL")</f>
        <v>GV62 7RD-1686NL</v>
      </c>
      <c r="D450" s="2" t="str">
        <f ca="1">IFERROR(__xludf.DUMMYFUNCTION("""COMPUTED_VALUE"""),"Gaming")</f>
        <v>Gaming</v>
      </c>
      <c r="E450" s="2">
        <f ca="1">IFERROR(__xludf.DUMMYFUNCTION("""COMPUTED_VALUE"""),15.6)</f>
        <v>15.6</v>
      </c>
      <c r="F450" s="2" t="str">
        <f ca="1">IFERROR(__xludf.DUMMYFUNCTION("""COMPUTED_VALUE"""),"Full HD 1920x1080")</f>
        <v>Full HD 1920x1080</v>
      </c>
      <c r="G450" s="2" t="str">
        <f ca="1">IFERROR(__xludf.DUMMYFUNCTION("""COMPUTED_VALUE"""),"Intel Core i5 7300HQ 2.5GHz")</f>
        <v>Intel Core i5 7300HQ 2.5GHz</v>
      </c>
      <c r="H450" s="2" t="str">
        <f ca="1">IFERROR(__xludf.DUMMYFUNCTION("""COMPUTED_VALUE"""),"8GB")</f>
        <v>8GB</v>
      </c>
      <c r="I450" s="2" t="str">
        <f ca="1">IFERROR(__xludf.DUMMYFUNCTION("""COMPUTED_VALUE"""),"256GB SSD")</f>
        <v>256GB SSD</v>
      </c>
      <c r="J450" s="2" t="str">
        <f ca="1">IFERROR(__xludf.DUMMYFUNCTION("""COMPUTED_VALUE"""),"Nvidia GeForce GTX 1050")</f>
        <v>Nvidia GeForce GTX 1050</v>
      </c>
      <c r="K450" s="2" t="str">
        <f ca="1">IFERROR(__xludf.DUMMYFUNCTION("""COMPUTED_VALUE"""),"Windows 10")</f>
        <v>Windows 10</v>
      </c>
      <c r="L450" s="2" t="str">
        <f ca="1">IFERROR(__xludf.DUMMYFUNCTION("""COMPUTED_VALUE"""),"2.2kg")</f>
        <v>2.2kg</v>
      </c>
      <c r="M450" s="2">
        <f ca="1">IFERROR(__xludf.DUMMYFUNCTION("""COMPUTED_VALUE"""),1027.74)</f>
        <v>1027.74</v>
      </c>
    </row>
    <row r="451" spans="1:13">
      <c r="A451" s="2">
        <f ca="1">IFERROR(__xludf.DUMMYFUNCTION("""COMPUTED_VALUE"""),456)</f>
        <v>456</v>
      </c>
      <c r="B451" s="2" t="str">
        <f ca="1">IFERROR(__xludf.DUMMYFUNCTION("""COMPUTED_VALUE"""),"Microsoft")</f>
        <v>Microsoft</v>
      </c>
      <c r="C451" s="2" t="str">
        <f ca="1">IFERROR(__xludf.DUMMYFUNCTION("""COMPUTED_VALUE"""),"Surface Laptop")</f>
        <v>Surface Laptop</v>
      </c>
      <c r="D451" s="2" t="str">
        <f ca="1">IFERROR(__xludf.DUMMYFUNCTION("""COMPUTED_VALUE"""),"Ultrabook")</f>
        <v>Ultrabook</v>
      </c>
      <c r="E451" s="2">
        <f ca="1">IFERROR(__xludf.DUMMYFUNCTION("""COMPUTED_VALUE"""),13.5)</f>
        <v>13.5</v>
      </c>
      <c r="F451" s="2" t="str">
        <f ca="1">IFERROR(__xludf.DUMMYFUNCTION("""COMPUTED_VALUE"""),"Touchscreen 2256x1504")</f>
        <v>Touchscreen 2256x1504</v>
      </c>
      <c r="G451" s="2" t="str">
        <f ca="1">IFERROR(__xludf.DUMMYFUNCTION("""COMPUTED_VALUE"""),"Intel Core i7 7660U 2.5GHz")</f>
        <v>Intel Core i7 7660U 2.5GHz</v>
      </c>
      <c r="H451" s="2" t="str">
        <f ca="1">IFERROR(__xludf.DUMMYFUNCTION("""COMPUTED_VALUE"""),"16GB")</f>
        <v>16GB</v>
      </c>
      <c r="I451" s="2" t="str">
        <f ca="1">IFERROR(__xludf.DUMMYFUNCTION("""COMPUTED_VALUE"""),"512GB SSD")</f>
        <v>512GB SSD</v>
      </c>
      <c r="J451" s="2" t="str">
        <f ca="1">IFERROR(__xludf.DUMMYFUNCTION("""COMPUTED_VALUE"""),"Intel Iris Plus Graphics 640")</f>
        <v>Intel Iris Plus Graphics 640</v>
      </c>
      <c r="K451" s="2" t="str">
        <f ca="1">IFERROR(__xludf.DUMMYFUNCTION("""COMPUTED_VALUE"""),"Windows 10 S")</f>
        <v>Windows 10 S</v>
      </c>
      <c r="L451" s="2" t="str">
        <f ca="1">IFERROR(__xludf.DUMMYFUNCTION("""COMPUTED_VALUE"""),"1.25kg")</f>
        <v>1.25kg</v>
      </c>
      <c r="M451" s="2">
        <f ca="1">IFERROR(__xludf.DUMMYFUNCTION("""COMPUTED_VALUE"""),2589)</f>
        <v>2589</v>
      </c>
    </row>
    <row r="452" spans="1:13">
      <c r="A452" s="2">
        <f ca="1">IFERROR(__xludf.DUMMYFUNCTION("""COMPUTED_VALUE"""),457)</f>
        <v>457</v>
      </c>
      <c r="B452" s="2" t="str">
        <f ca="1">IFERROR(__xludf.DUMMYFUNCTION("""COMPUTED_VALUE"""),"HP")</f>
        <v>HP</v>
      </c>
      <c r="C452" s="2" t="str">
        <f ca="1">IFERROR(__xludf.DUMMYFUNCTION("""COMPUTED_VALUE"""),"15-bs024nv (i5-7200U/8GB/128GB/W10)")</f>
        <v>15-bs024nv (i5-7200U/8GB/128GB/W10)</v>
      </c>
      <c r="D452" s="2" t="str">
        <f ca="1">IFERROR(__xludf.DUMMYFUNCTION("""COMPUTED_VALUE"""),"Notebook")</f>
        <v>Notebook</v>
      </c>
      <c r="E452" s="2">
        <f ca="1">IFERROR(__xludf.DUMMYFUNCTION("""COMPUTED_VALUE"""),15.6)</f>
        <v>15.6</v>
      </c>
      <c r="F452" s="2" t="str">
        <f ca="1">IFERROR(__xludf.DUMMYFUNCTION("""COMPUTED_VALUE"""),"1366x768")</f>
        <v>1366x768</v>
      </c>
      <c r="G452" s="2" t="str">
        <f ca="1">IFERROR(__xludf.DUMMYFUNCTION("""COMPUTED_VALUE"""),"Intel Core i5 7200U 2.5GHz")</f>
        <v>Intel Core i5 7200U 2.5GHz</v>
      </c>
      <c r="H452" s="2" t="str">
        <f ca="1">IFERROR(__xludf.DUMMYFUNCTION("""COMPUTED_VALUE"""),"8GB")</f>
        <v>8GB</v>
      </c>
      <c r="I452" s="2" t="str">
        <f ca="1">IFERROR(__xludf.DUMMYFUNCTION("""COMPUTED_VALUE"""),"128GB SSD")</f>
        <v>128GB SSD</v>
      </c>
      <c r="J452" s="2" t="str">
        <f ca="1">IFERROR(__xludf.DUMMYFUNCTION("""COMPUTED_VALUE"""),"Intel HD Graphics 620")</f>
        <v>Intel HD Graphics 620</v>
      </c>
      <c r="K452" s="2" t="str">
        <f ca="1">IFERROR(__xludf.DUMMYFUNCTION("""COMPUTED_VALUE"""),"Windows 10")</f>
        <v>Windows 10</v>
      </c>
      <c r="L452" s="2" t="str">
        <f ca="1">IFERROR(__xludf.DUMMYFUNCTION("""COMPUTED_VALUE"""),"1.91kg")</f>
        <v>1.91kg</v>
      </c>
      <c r="M452" s="2">
        <f ca="1">IFERROR(__xludf.DUMMYFUNCTION("""COMPUTED_VALUE"""),589)</f>
        <v>589</v>
      </c>
    </row>
    <row r="453" spans="1:13">
      <c r="A453" s="2">
        <f ca="1">IFERROR(__xludf.DUMMYFUNCTION("""COMPUTED_VALUE"""),458)</f>
        <v>458</v>
      </c>
      <c r="B453" s="2" t="str">
        <f ca="1">IFERROR(__xludf.DUMMYFUNCTION("""COMPUTED_VALUE"""),"Dell")</f>
        <v>Dell</v>
      </c>
      <c r="C453" s="2" t="str">
        <f ca="1">IFERROR(__xludf.DUMMYFUNCTION("""COMPUTED_VALUE"""),"Precision 3520")</f>
        <v>Precision 3520</v>
      </c>
      <c r="D453" s="2" t="str">
        <f ca="1">IFERROR(__xludf.DUMMYFUNCTION("""COMPUTED_VALUE"""),"Workstation")</f>
        <v>Workstation</v>
      </c>
      <c r="E453" s="2">
        <f ca="1">IFERROR(__xludf.DUMMYFUNCTION("""COMPUTED_VALUE"""),15.6)</f>
        <v>15.6</v>
      </c>
      <c r="F453" s="2" t="str">
        <f ca="1">IFERROR(__xludf.DUMMYFUNCTION("""COMPUTED_VALUE"""),"IPS Panel Full HD 1920x1080")</f>
        <v>IPS Panel Full HD 1920x1080</v>
      </c>
      <c r="G453" s="2" t="str">
        <f ca="1">IFERROR(__xludf.DUMMYFUNCTION("""COMPUTED_VALUE"""),"Intel Core i7 6820HQ 2.7GHz")</f>
        <v>Intel Core i7 6820HQ 2.7GHz</v>
      </c>
      <c r="H453" s="2" t="str">
        <f ca="1">IFERROR(__xludf.DUMMYFUNCTION("""COMPUTED_VALUE"""),"16GB")</f>
        <v>16GB</v>
      </c>
      <c r="I453" s="2" t="str">
        <f ca="1">IFERROR(__xludf.DUMMYFUNCTION("""COMPUTED_VALUE"""),"256GB SSD")</f>
        <v>256GB SSD</v>
      </c>
      <c r="J453" s="2" t="str">
        <f ca="1">IFERROR(__xludf.DUMMYFUNCTION("""COMPUTED_VALUE"""),"Nvidia Quadro M620")</f>
        <v>Nvidia Quadro M620</v>
      </c>
      <c r="K453" s="2" t="str">
        <f ca="1">IFERROR(__xludf.DUMMYFUNCTION("""COMPUTED_VALUE"""),"Windows 10")</f>
        <v>Windows 10</v>
      </c>
      <c r="L453" s="2" t="str">
        <f ca="1">IFERROR(__xludf.DUMMYFUNCTION("""COMPUTED_VALUE"""),"2.17kg")</f>
        <v>2.17kg</v>
      </c>
      <c r="M453" s="2">
        <f ca="1">IFERROR(__xludf.DUMMYFUNCTION("""COMPUTED_VALUE"""),1975)</f>
        <v>1975</v>
      </c>
    </row>
    <row r="454" spans="1:13">
      <c r="A454" s="2">
        <f ca="1">IFERROR(__xludf.DUMMYFUNCTION("""COMPUTED_VALUE"""),459)</f>
        <v>459</v>
      </c>
      <c r="B454" s="2" t="str">
        <f ca="1">IFERROR(__xludf.DUMMYFUNCTION("""COMPUTED_VALUE"""),"HP")</f>
        <v>HP</v>
      </c>
      <c r="C454" s="2" t="str">
        <f ca="1">IFERROR(__xludf.DUMMYFUNCTION("""COMPUTED_VALUE"""),"ProBook 650")</f>
        <v>ProBook 650</v>
      </c>
      <c r="D454" s="2" t="str">
        <f ca="1">IFERROR(__xludf.DUMMYFUNCTION("""COMPUTED_VALUE"""),"Workstation")</f>
        <v>Workstation</v>
      </c>
      <c r="E454" s="2">
        <f ca="1">IFERROR(__xludf.DUMMYFUNCTION("""COMPUTED_VALUE"""),15.6)</f>
        <v>15.6</v>
      </c>
      <c r="F454" s="2" t="str">
        <f ca="1">IFERROR(__xludf.DUMMYFUNCTION("""COMPUTED_VALUE"""),"IPS Panel Full HD 1920x1080")</f>
        <v>IPS Panel Full HD 1920x1080</v>
      </c>
      <c r="G454" s="2" t="str">
        <f ca="1">IFERROR(__xludf.DUMMYFUNCTION("""COMPUTED_VALUE"""),"Intel Core i7 7820HQ 2.9GHz")</f>
        <v>Intel Core i7 7820HQ 2.9GHz</v>
      </c>
      <c r="H454" s="2" t="str">
        <f ca="1">IFERROR(__xludf.DUMMYFUNCTION("""COMPUTED_VALUE"""),"8GB")</f>
        <v>8GB</v>
      </c>
      <c r="I454" s="2" t="str">
        <f ca="1">IFERROR(__xludf.DUMMYFUNCTION("""COMPUTED_VALUE"""),"512GB SSD")</f>
        <v>512GB SSD</v>
      </c>
      <c r="J454" s="2" t="str">
        <f ca="1">IFERROR(__xludf.DUMMYFUNCTION("""COMPUTED_VALUE"""),"Intel HD Graphics 620")</f>
        <v>Intel HD Graphics 620</v>
      </c>
      <c r="K454" s="2" t="str">
        <f ca="1">IFERROR(__xludf.DUMMYFUNCTION("""COMPUTED_VALUE"""),"Windows 10")</f>
        <v>Windows 10</v>
      </c>
      <c r="L454" s="2" t="str">
        <f ca="1">IFERROR(__xludf.DUMMYFUNCTION("""COMPUTED_VALUE"""),"2.31kg")</f>
        <v>2.31kg</v>
      </c>
      <c r="M454" s="2">
        <f ca="1">IFERROR(__xludf.DUMMYFUNCTION("""COMPUTED_VALUE"""),1534)</f>
        <v>1534</v>
      </c>
    </row>
    <row r="455" spans="1:13">
      <c r="A455" s="2">
        <f ca="1">IFERROR(__xludf.DUMMYFUNCTION("""COMPUTED_VALUE"""),460)</f>
        <v>460</v>
      </c>
      <c r="B455" s="2" t="str">
        <f ca="1">IFERROR(__xludf.DUMMYFUNCTION("""COMPUTED_VALUE"""),"Lenovo")</f>
        <v>Lenovo</v>
      </c>
      <c r="C455" s="2" t="str">
        <f ca="1">IFERROR(__xludf.DUMMYFUNCTION("""COMPUTED_VALUE"""),"ThinkPad T470")</f>
        <v>ThinkPad T470</v>
      </c>
      <c r="D455" s="2" t="str">
        <f ca="1">IFERROR(__xludf.DUMMYFUNCTION("""COMPUTED_VALUE"""),"Notebook")</f>
        <v>Notebook</v>
      </c>
      <c r="E455" s="2">
        <f ca="1">IFERROR(__xludf.DUMMYFUNCTION("""COMPUTED_VALUE"""),14)</f>
        <v>14</v>
      </c>
      <c r="F455" s="2" t="str">
        <f ca="1">IFERROR(__xludf.DUMMYFUNCTION("""COMPUTED_VALUE"""),"Full HD 1920x1080")</f>
        <v>Full HD 1920x1080</v>
      </c>
      <c r="G455" s="2" t="str">
        <f ca="1">IFERROR(__xludf.DUMMYFUNCTION("""COMPUTED_VALUE"""),"Intel Core i5 7200U 2.5GHz")</f>
        <v>Intel Core i5 7200U 2.5GHz</v>
      </c>
      <c r="H455" s="2" t="str">
        <f ca="1">IFERROR(__xludf.DUMMYFUNCTION("""COMPUTED_VALUE"""),"8GB")</f>
        <v>8GB</v>
      </c>
      <c r="I455" s="2" t="str">
        <f ca="1">IFERROR(__xludf.DUMMYFUNCTION("""COMPUTED_VALUE"""),"256GB SSD")</f>
        <v>256GB SSD</v>
      </c>
      <c r="J455" s="2" t="str">
        <f ca="1">IFERROR(__xludf.DUMMYFUNCTION("""COMPUTED_VALUE"""),"Intel HD Graphics 620")</f>
        <v>Intel HD Graphics 620</v>
      </c>
      <c r="K455" s="2" t="str">
        <f ca="1">IFERROR(__xludf.DUMMYFUNCTION("""COMPUTED_VALUE"""),"Windows 10")</f>
        <v>Windows 10</v>
      </c>
      <c r="L455" s="2" t="str">
        <f ca="1">IFERROR(__xludf.DUMMYFUNCTION("""COMPUTED_VALUE"""),"1.65kg")</f>
        <v>1.65kg</v>
      </c>
      <c r="M455" s="2">
        <f ca="1">IFERROR(__xludf.DUMMYFUNCTION("""COMPUTED_VALUE"""),1345)</f>
        <v>1345</v>
      </c>
    </row>
    <row r="456" spans="1:13">
      <c r="A456" s="2">
        <f ca="1">IFERROR(__xludf.DUMMYFUNCTION("""COMPUTED_VALUE"""),461)</f>
        <v>461</v>
      </c>
      <c r="B456" s="2" t="str">
        <f ca="1">IFERROR(__xludf.DUMMYFUNCTION("""COMPUTED_VALUE"""),"Dell")</f>
        <v>Dell</v>
      </c>
      <c r="C456" s="2" t="str">
        <f ca="1">IFERROR(__xludf.DUMMYFUNCTION("""COMPUTED_VALUE"""),"Inspiron 5570")</f>
        <v>Inspiron 5570</v>
      </c>
      <c r="D456" s="2" t="str">
        <f ca="1">IFERROR(__xludf.DUMMYFUNCTION("""COMPUTED_VALUE"""),"Notebook")</f>
        <v>Notebook</v>
      </c>
      <c r="E456" s="2">
        <f ca="1">IFERROR(__xludf.DUMMYFUNCTION("""COMPUTED_VALUE"""),15.6)</f>
        <v>15.6</v>
      </c>
      <c r="F456" s="2" t="str">
        <f ca="1">IFERROR(__xludf.DUMMYFUNCTION("""COMPUTED_VALUE"""),"Full HD 1920x1080")</f>
        <v>Full HD 1920x1080</v>
      </c>
      <c r="G456" s="2" t="str">
        <f ca="1">IFERROR(__xludf.DUMMYFUNCTION("""COMPUTED_VALUE"""),"Intel Core i7 8550U 1.8GHz")</f>
        <v>Intel Core i7 8550U 1.8GHz</v>
      </c>
      <c r="H456" s="2" t="str">
        <f ca="1">IFERROR(__xludf.DUMMYFUNCTION("""COMPUTED_VALUE"""),"8GB")</f>
        <v>8GB</v>
      </c>
      <c r="I456" s="2" t="str">
        <f ca="1">IFERROR(__xludf.DUMMYFUNCTION("""COMPUTED_VALUE"""),"128GB SSD +  1TB HDD")</f>
        <v>128GB SSD +  1TB HDD</v>
      </c>
      <c r="J456" s="2" t="str">
        <f ca="1">IFERROR(__xludf.DUMMYFUNCTION("""COMPUTED_VALUE"""),"AMD Radeon 530")</f>
        <v>AMD Radeon 530</v>
      </c>
      <c r="K456" s="2" t="str">
        <f ca="1">IFERROR(__xludf.DUMMYFUNCTION("""COMPUTED_VALUE"""),"Windows 10")</f>
        <v>Windows 10</v>
      </c>
      <c r="L456" s="2" t="str">
        <f ca="1">IFERROR(__xludf.DUMMYFUNCTION("""COMPUTED_VALUE"""),"2.36kg")</f>
        <v>2.36kg</v>
      </c>
      <c r="M456" s="2">
        <f ca="1">IFERROR(__xludf.DUMMYFUNCTION("""COMPUTED_VALUE"""),979)</f>
        <v>979</v>
      </c>
    </row>
    <row r="457" spans="1:13">
      <c r="A457" s="2">
        <f ca="1">IFERROR(__xludf.DUMMYFUNCTION("""COMPUTED_VALUE"""),462)</f>
        <v>462</v>
      </c>
      <c r="B457" s="2" t="str">
        <f ca="1">IFERROR(__xludf.DUMMYFUNCTION("""COMPUTED_VALUE"""),"Dell")</f>
        <v>Dell</v>
      </c>
      <c r="C457" s="2" t="str">
        <f ca="1">IFERROR(__xludf.DUMMYFUNCTION("""COMPUTED_VALUE"""),"Inspiron 3168")</f>
        <v>Inspiron 3168</v>
      </c>
      <c r="D457" s="2" t="str">
        <f ca="1">IFERROR(__xludf.DUMMYFUNCTION("""COMPUTED_VALUE"""),"2 in 1 Convertible")</f>
        <v>2 in 1 Convertible</v>
      </c>
      <c r="E457" s="2">
        <f ca="1">IFERROR(__xludf.DUMMYFUNCTION("""COMPUTED_VALUE"""),11.6)</f>
        <v>11.6</v>
      </c>
      <c r="F457" s="2" t="str">
        <f ca="1">IFERROR(__xludf.DUMMYFUNCTION("""COMPUTED_VALUE"""),"Touchscreen 1366x768")</f>
        <v>Touchscreen 1366x768</v>
      </c>
      <c r="G457" s="2" t="str">
        <f ca="1">IFERROR(__xludf.DUMMYFUNCTION("""COMPUTED_VALUE"""),"Intel Pentium Quad Core N3710 1.6GHz")</f>
        <v>Intel Pentium Quad Core N3710 1.6GHz</v>
      </c>
      <c r="H457" s="2" t="str">
        <f ca="1">IFERROR(__xludf.DUMMYFUNCTION("""COMPUTED_VALUE"""),"4GB")</f>
        <v>4GB</v>
      </c>
      <c r="I457" s="2" t="str">
        <f ca="1">IFERROR(__xludf.DUMMYFUNCTION("""COMPUTED_VALUE"""),"500GB HDD")</f>
        <v>500GB HDD</v>
      </c>
      <c r="J457" s="2" t="str">
        <f ca="1">IFERROR(__xludf.DUMMYFUNCTION("""COMPUTED_VALUE"""),"Intel HD Graphics 405")</f>
        <v>Intel HD Graphics 405</v>
      </c>
      <c r="K457" s="2" t="str">
        <f ca="1">IFERROR(__xludf.DUMMYFUNCTION("""COMPUTED_VALUE"""),"Windows 10")</f>
        <v>Windows 10</v>
      </c>
      <c r="L457" s="2" t="str">
        <f ca="1">IFERROR(__xludf.DUMMYFUNCTION("""COMPUTED_VALUE"""),"1.47kg")</f>
        <v>1.47kg</v>
      </c>
      <c r="M457" s="2">
        <f ca="1">IFERROR(__xludf.DUMMYFUNCTION("""COMPUTED_VALUE"""),479)</f>
        <v>479</v>
      </c>
    </row>
    <row r="458" spans="1:13">
      <c r="A458" s="2">
        <f ca="1">IFERROR(__xludf.DUMMYFUNCTION("""COMPUTED_VALUE"""),463)</f>
        <v>463</v>
      </c>
      <c r="B458" s="2" t="str">
        <f ca="1">IFERROR(__xludf.DUMMYFUNCTION("""COMPUTED_VALUE"""),"Dell")</f>
        <v>Dell</v>
      </c>
      <c r="C458" s="2" t="str">
        <f ca="1">IFERROR(__xludf.DUMMYFUNCTION("""COMPUTED_VALUE"""),"Alienware 17")</f>
        <v>Alienware 17</v>
      </c>
      <c r="D458" s="2" t="str">
        <f ca="1">IFERROR(__xludf.DUMMYFUNCTION("""COMPUTED_VALUE"""),"Notebook")</f>
        <v>Notebook</v>
      </c>
      <c r="E458" s="2">
        <f ca="1">IFERROR(__xludf.DUMMYFUNCTION("""COMPUTED_VALUE"""),17.3)</f>
        <v>17.3</v>
      </c>
      <c r="F458" s="2" t="str">
        <f ca="1">IFERROR(__xludf.DUMMYFUNCTION("""COMPUTED_VALUE"""),"IPS Panel Full HD 1920x1080")</f>
        <v>IPS Panel Full HD 1920x1080</v>
      </c>
      <c r="G458" s="2" t="str">
        <f ca="1">IFERROR(__xludf.DUMMYFUNCTION("""COMPUTED_VALUE"""),"Intel Core i7 7700HQ 2.7GHz")</f>
        <v>Intel Core i7 7700HQ 2.7GHz</v>
      </c>
      <c r="H458" s="2" t="str">
        <f ca="1">IFERROR(__xludf.DUMMYFUNCTION("""COMPUTED_VALUE"""),"8GB")</f>
        <v>8GB</v>
      </c>
      <c r="I458" s="2" t="str">
        <f ca="1">IFERROR(__xludf.DUMMYFUNCTION("""COMPUTED_VALUE"""),"1TB HDD")</f>
        <v>1TB HDD</v>
      </c>
      <c r="J458" s="2" t="str">
        <f ca="1">IFERROR(__xludf.DUMMYFUNCTION("""COMPUTED_VALUE"""),"Nvidia GeForce GTX 1060")</f>
        <v>Nvidia GeForce GTX 1060</v>
      </c>
      <c r="K458" s="2" t="str">
        <f ca="1">IFERROR(__xludf.DUMMYFUNCTION("""COMPUTED_VALUE"""),"Windows 10")</f>
        <v>Windows 10</v>
      </c>
      <c r="L458" s="2" t="str">
        <f ca="1">IFERROR(__xludf.DUMMYFUNCTION("""COMPUTED_VALUE"""),"4.42kg")</f>
        <v>4.42kg</v>
      </c>
      <c r="M458" s="2">
        <f ca="1">IFERROR(__xludf.DUMMYFUNCTION("""COMPUTED_VALUE"""),2046)</f>
        <v>2046</v>
      </c>
    </row>
    <row r="459" spans="1:13">
      <c r="A459" s="2">
        <f ca="1">IFERROR(__xludf.DUMMYFUNCTION("""COMPUTED_VALUE"""),464)</f>
        <v>464</v>
      </c>
      <c r="B459" s="2" t="str">
        <f ca="1">IFERROR(__xludf.DUMMYFUNCTION("""COMPUTED_VALUE"""),"Microsoft")</f>
        <v>Microsoft</v>
      </c>
      <c r="C459" s="2" t="str">
        <f ca="1">IFERROR(__xludf.DUMMYFUNCTION("""COMPUTED_VALUE"""),"Surface Laptop")</f>
        <v>Surface Laptop</v>
      </c>
      <c r="D459" s="2" t="str">
        <f ca="1">IFERROR(__xludf.DUMMYFUNCTION("""COMPUTED_VALUE"""),"Ultrabook")</f>
        <v>Ultrabook</v>
      </c>
      <c r="E459" s="2">
        <f ca="1">IFERROR(__xludf.DUMMYFUNCTION("""COMPUTED_VALUE"""),13.5)</f>
        <v>13.5</v>
      </c>
      <c r="F459" s="2" t="str">
        <f ca="1">IFERROR(__xludf.DUMMYFUNCTION("""COMPUTED_VALUE"""),"Touchscreen 2256x1504")</f>
        <v>Touchscreen 2256x1504</v>
      </c>
      <c r="G459" s="2" t="str">
        <f ca="1">IFERROR(__xludf.DUMMYFUNCTION("""COMPUTED_VALUE"""),"Intel Core M m3-7Y30 2.2GHz")</f>
        <v>Intel Core M m3-7Y30 2.2GHz</v>
      </c>
      <c r="H459" s="2" t="str">
        <f ca="1">IFERROR(__xludf.DUMMYFUNCTION("""COMPUTED_VALUE"""),"4GB")</f>
        <v>4GB</v>
      </c>
      <c r="I459" s="2" t="str">
        <f ca="1">IFERROR(__xludf.DUMMYFUNCTION("""COMPUTED_VALUE"""),"128GB SSD")</f>
        <v>128GB SSD</v>
      </c>
      <c r="J459" s="2" t="str">
        <f ca="1">IFERROR(__xludf.DUMMYFUNCTION("""COMPUTED_VALUE"""),"Intel HD Graphics 615")</f>
        <v>Intel HD Graphics 615</v>
      </c>
      <c r="K459" s="2" t="str">
        <f ca="1">IFERROR(__xludf.DUMMYFUNCTION("""COMPUTED_VALUE"""),"Windows 10 S")</f>
        <v>Windows 10 S</v>
      </c>
      <c r="L459" s="2" t="str">
        <f ca="1">IFERROR(__xludf.DUMMYFUNCTION("""COMPUTED_VALUE"""),"1.252kg")</f>
        <v>1.252kg</v>
      </c>
      <c r="M459" s="2">
        <f ca="1">IFERROR(__xludf.DUMMYFUNCTION("""COMPUTED_VALUE"""),989)</f>
        <v>989</v>
      </c>
    </row>
    <row r="460" spans="1:13">
      <c r="A460" s="2">
        <f ca="1">IFERROR(__xludf.DUMMYFUNCTION("""COMPUTED_VALUE"""),465)</f>
        <v>465</v>
      </c>
      <c r="B460" s="2" t="str">
        <f ca="1">IFERROR(__xludf.DUMMYFUNCTION("""COMPUTED_VALUE"""),"Microsoft")</f>
        <v>Microsoft</v>
      </c>
      <c r="C460" s="2" t="str">
        <f ca="1">IFERROR(__xludf.DUMMYFUNCTION("""COMPUTED_VALUE"""),"Surface Laptop")</f>
        <v>Surface Laptop</v>
      </c>
      <c r="D460" s="2" t="str">
        <f ca="1">IFERROR(__xludf.DUMMYFUNCTION("""COMPUTED_VALUE"""),"Ultrabook")</f>
        <v>Ultrabook</v>
      </c>
      <c r="E460" s="2">
        <f ca="1">IFERROR(__xludf.DUMMYFUNCTION("""COMPUTED_VALUE"""),13.5)</f>
        <v>13.5</v>
      </c>
      <c r="F460" s="2" t="str">
        <f ca="1">IFERROR(__xludf.DUMMYFUNCTION("""COMPUTED_VALUE"""),"Touchscreen 2256x1504")</f>
        <v>Touchscreen 2256x1504</v>
      </c>
      <c r="G460" s="2" t="str">
        <f ca="1">IFERROR(__xludf.DUMMYFUNCTION("""COMPUTED_VALUE"""),"Intel Core i7 7660U 2.5GHz")</f>
        <v>Intel Core i7 7660U 2.5GHz</v>
      </c>
      <c r="H460" s="2" t="str">
        <f ca="1">IFERROR(__xludf.DUMMYFUNCTION("""COMPUTED_VALUE"""),"8GB")</f>
        <v>8GB</v>
      </c>
      <c r="I460" s="2" t="str">
        <f ca="1">IFERROR(__xludf.DUMMYFUNCTION("""COMPUTED_VALUE"""),"256GB SSD")</f>
        <v>256GB SSD</v>
      </c>
      <c r="J460" s="2" t="str">
        <f ca="1">IFERROR(__xludf.DUMMYFUNCTION("""COMPUTED_VALUE"""),"Intel Iris Plus Graphics 640")</f>
        <v>Intel Iris Plus Graphics 640</v>
      </c>
      <c r="K460" s="2" t="str">
        <f ca="1">IFERROR(__xludf.DUMMYFUNCTION("""COMPUTED_VALUE"""),"Windows 10 S")</f>
        <v>Windows 10 S</v>
      </c>
      <c r="L460" s="2" t="str">
        <f ca="1">IFERROR(__xludf.DUMMYFUNCTION("""COMPUTED_VALUE"""),"1.25kg")</f>
        <v>1.25kg</v>
      </c>
      <c r="M460" s="2">
        <f ca="1">IFERROR(__xludf.DUMMYFUNCTION("""COMPUTED_VALUE"""),1799)</f>
        <v>1799</v>
      </c>
    </row>
    <row r="461" spans="1:13">
      <c r="A461" s="2">
        <f ca="1">IFERROR(__xludf.DUMMYFUNCTION("""COMPUTED_VALUE"""),466)</f>
        <v>466</v>
      </c>
      <c r="B461" s="2" t="str">
        <f ca="1">IFERROR(__xludf.DUMMYFUNCTION("""COMPUTED_VALUE"""),"HP")</f>
        <v>HP</v>
      </c>
      <c r="C461" s="2" t="str">
        <f ca="1">IFERROR(__xludf.DUMMYFUNCTION("""COMPUTED_VALUE"""),"17-BS092ND (i3-6006U/8GB/256GB/W10)")</f>
        <v>17-BS092ND (i3-6006U/8GB/256GB/W10)</v>
      </c>
      <c r="D461" s="2" t="str">
        <f ca="1">IFERROR(__xludf.DUMMYFUNCTION("""COMPUTED_VALUE"""),"Notebook")</f>
        <v>Notebook</v>
      </c>
      <c r="E461" s="2">
        <f ca="1">IFERROR(__xludf.DUMMYFUNCTION("""COMPUTED_VALUE"""),17.3)</f>
        <v>17.3</v>
      </c>
      <c r="F461" s="2" t="str">
        <f ca="1">IFERROR(__xludf.DUMMYFUNCTION("""COMPUTED_VALUE"""),"1600x900")</f>
        <v>1600x900</v>
      </c>
      <c r="G461" s="2" t="str">
        <f ca="1">IFERROR(__xludf.DUMMYFUNCTION("""COMPUTED_VALUE"""),"Intel Core i3 6006U 2GHz")</f>
        <v>Intel Core i3 6006U 2GHz</v>
      </c>
      <c r="H461" s="2" t="str">
        <f ca="1">IFERROR(__xludf.DUMMYFUNCTION("""COMPUTED_VALUE"""),"8GB")</f>
        <v>8GB</v>
      </c>
      <c r="I461" s="2" t="str">
        <f ca="1">IFERROR(__xludf.DUMMYFUNCTION("""COMPUTED_VALUE"""),"256GB SSD")</f>
        <v>256GB SSD</v>
      </c>
      <c r="J461" s="2" t="str">
        <f ca="1">IFERROR(__xludf.DUMMYFUNCTION("""COMPUTED_VALUE"""),"Intel HD Graphics 520")</f>
        <v>Intel HD Graphics 520</v>
      </c>
      <c r="K461" s="2" t="str">
        <f ca="1">IFERROR(__xludf.DUMMYFUNCTION("""COMPUTED_VALUE"""),"Windows 10")</f>
        <v>Windows 10</v>
      </c>
      <c r="L461" s="2" t="str">
        <f ca="1">IFERROR(__xludf.DUMMYFUNCTION("""COMPUTED_VALUE"""),"2.5kg")</f>
        <v>2.5kg</v>
      </c>
      <c r="M461" s="2">
        <f ca="1">IFERROR(__xludf.DUMMYFUNCTION("""COMPUTED_VALUE"""),639.9)</f>
        <v>639.9</v>
      </c>
    </row>
    <row r="462" spans="1:13">
      <c r="A462" s="2">
        <f ca="1">IFERROR(__xludf.DUMMYFUNCTION("""COMPUTED_VALUE"""),467)</f>
        <v>467</v>
      </c>
      <c r="B462" s="2" t="str">
        <f ca="1">IFERROR(__xludf.DUMMYFUNCTION("""COMPUTED_VALUE"""),"Acer")</f>
        <v>Acer</v>
      </c>
      <c r="C462" s="2" t="str">
        <f ca="1">IFERROR(__xludf.DUMMYFUNCTION("""COMPUTED_VALUE"""),"Aspire E5-576G")</f>
        <v>Aspire E5-576G</v>
      </c>
      <c r="D462" s="2" t="str">
        <f ca="1">IFERROR(__xludf.DUMMYFUNCTION("""COMPUTED_VALUE"""),"Notebook")</f>
        <v>Notebook</v>
      </c>
      <c r="E462" s="2">
        <f ca="1">IFERROR(__xludf.DUMMYFUNCTION("""COMPUTED_VALUE"""),15.6)</f>
        <v>15.6</v>
      </c>
      <c r="F462" s="2" t="str">
        <f ca="1">IFERROR(__xludf.DUMMYFUNCTION("""COMPUTED_VALUE"""),"Full HD 1920x1080")</f>
        <v>Full HD 1920x1080</v>
      </c>
      <c r="G462" s="2" t="str">
        <f ca="1">IFERROR(__xludf.DUMMYFUNCTION("""COMPUTED_VALUE"""),"Intel Core i3 6006U 2GHz")</f>
        <v>Intel Core i3 6006U 2GHz</v>
      </c>
      <c r="H462" s="2" t="str">
        <f ca="1">IFERROR(__xludf.DUMMYFUNCTION("""COMPUTED_VALUE"""),"4GB")</f>
        <v>4GB</v>
      </c>
      <c r="I462" s="2" t="str">
        <f ca="1">IFERROR(__xludf.DUMMYFUNCTION("""COMPUTED_VALUE"""),"1TB HDD")</f>
        <v>1TB HDD</v>
      </c>
      <c r="J462" s="2" t="str">
        <f ca="1">IFERROR(__xludf.DUMMYFUNCTION("""COMPUTED_VALUE"""),"Nvidia GeForce 940MX")</f>
        <v>Nvidia GeForce 940MX</v>
      </c>
      <c r="K462" s="2" t="str">
        <f ca="1">IFERROR(__xludf.DUMMYFUNCTION("""COMPUTED_VALUE"""),"Windows 10")</f>
        <v>Windows 10</v>
      </c>
      <c r="L462" s="2" t="str">
        <f ca="1">IFERROR(__xludf.DUMMYFUNCTION("""COMPUTED_VALUE"""),"2.23kg")</f>
        <v>2.23kg</v>
      </c>
      <c r="M462" s="2">
        <f ca="1">IFERROR(__xludf.DUMMYFUNCTION("""COMPUTED_VALUE"""),544)</f>
        <v>544</v>
      </c>
    </row>
    <row r="463" spans="1:13">
      <c r="A463" s="2">
        <f ca="1">IFERROR(__xludf.DUMMYFUNCTION("""COMPUTED_VALUE"""),468)</f>
        <v>468</v>
      </c>
      <c r="B463" s="2" t="str">
        <f ca="1">IFERROR(__xludf.DUMMYFUNCTION("""COMPUTED_VALUE"""),"Acer")</f>
        <v>Acer</v>
      </c>
      <c r="C463" s="2" t="str">
        <f ca="1">IFERROR(__xludf.DUMMYFUNCTION("""COMPUTED_VALUE"""),"TravelMate B")</f>
        <v>TravelMate B</v>
      </c>
      <c r="D463" s="2" t="str">
        <f ca="1">IFERROR(__xludf.DUMMYFUNCTION("""COMPUTED_VALUE"""),"Netbook")</f>
        <v>Netbook</v>
      </c>
      <c r="E463" s="2">
        <f ca="1">IFERROR(__xludf.DUMMYFUNCTION("""COMPUTED_VALUE"""),11.6)</f>
        <v>11.6</v>
      </c>
      <c r="F463" s="2" t="str">
        <f ca="1">IFERROR(__xludf.DUMMYFUNCTION("""COMPUTED_VALUE"""),"1366x768")</f>
        <v>1366x768</v>
      </c>
      <c r="G463" s="2" t="str">
        <f ca="1">IFERROR(__xludf.DUMMYFUNCTION("""COMPUTED_VALUE"""),"Intel Celeron Dual Core N3060 1.6GHz")</f>
        <v>Intel Celeron Dual Core N3060 1.6GHz</v>
      </c>
      <c r="H463" s="2" t="str">
        <f ca="1">IFERROR(__xludf.DUMMYFUNCTION("""COMPUTED_VALUE"""),"4GB")</f>
        <v>4GB</v>
      </c>
      <c r="I463" s="2" t="str">
        <f ca="1">IFERROR(__xludf.DUMMYFUNCTION("""COMPUTED_VALUE"""),"128GB SSD")</f>
        <v>128GB SSD</v>
      </c>
      <c r="J463" s="2" t="str">
        <f ca="1">IFERROR(__xludf.DUMMYFUNCTION("""COMPUTED_VALUE"""),"Intel HD Graphics 400")</f>
        <v>Intel HD Graphics 400</v>
      </c>
      <c r="K463" s="2" t="str">
        <f ca="1">IFERROR(__xludf.DUMMYFUNCTION("""COMPUTED_VALUE"""),"Windows 10")</f>
        <v>Windows 10</v>
      </c>
      <c r="L463" s="2" t="str">
        <f ca="1">IFERROR(__xludf.DUMMYFUNCTION("""COMPUTED_VALUE"""),"1.4kg")</f>
        <v>1.4kg</v>
      </c>
      <c r="M463" s="2">
        <f ca="1">IFERROR(__xludf.DUMMYFUNCTION("""COMPUTED_VALUE"""),435)</f>
        <v>435</v>
      </c>
    </row>
    <row r="464" spans="1:13">
      <c r="A464" s="2">
        <f ca="1">IFERROR(__xludf.DUMMYFUNCTION("""COMPUTED_VALUE"""),469)</f>
        <v>469</v>
      </c>
      <c r="B464" s="2" t="str">
        <f ca="1">IFERROR(__xludf.DUMMYFUNCTION("""COMPUTED_VALUE"""),"Asus")</f>
        <v>Asus</v>
      </c>
      <c r="C464" s="2" t="str">
        <f ca="1">IFERROR(__xludf.DUMMYFUNCTION("""COMPUTED_VALUE"""),"Pro P2540UA-AB51")</f>
        <v>Pro P2540UA-AB51</v>
      </c>
      <c r="D464" s="2" t="str">
        <f ca="1">IFERROR(__xludf.DUMMYFUNCTION("""COMPUTED_VALUE"""),"Notebook")</f>
        <v>Notebook</v>
      </c>
      <c r="E464" s="2">
        <f ca="1">IFERROR(__xludf.DUMMYFUNCTION("""COMPUTED_VALUE"""),15.6)</f>
        <v>15.6</v>
      </c>
      <c r="F464" s="2" t="str">
        <f ca="1">IFERROR(__xludf.DUMMYFUNCTION("""COMPUTED_VALUE"""),"Full HD 1920x1080")</f>
        <v>Full HD 1920x1080</v>
      </c>
      <c r="G464" s="2" t="str">
        <f ca="1">IFERROR(__xludf.DUMMYFUNCTION("""COMPUTED_VALUE"""),"Intel Core i5 7200U 2.5GHz")</f>
        <v>Intel Core i5 7200U 2.5GHz</v>
      </c>
      <c r="H464" s="2" t="str">
        <f ca="1">IFERROR(__xludf.DUMMYFUNCTION("""COMPUTED_VALUE"""),"8GB")</f>
        <v>8GB</v>
      </c>
      <c r="I464" s="2" t="str">
        <f ca="1">IFERROR(__xludf.DUMMYFUNCTION("""COMPUTED_VALUE"""),"1TB HDD")</f>
        <v>1TB HDD</v>
      </c>
      <c r="J464" s="2" t="str">
        <f ca="1">IFERROR(__xludf.DUMMYFUNCTION("""COMPUTED_VALUE"""),"Intel HD Graphics 620")</f>
        <v>Intel HD Graphics 620</v>
      </c>
      <c r="K464" s="2" t="str">
        <f ca="1">IFERROR(__xludf.DUMMYFUNCTION("""COMPUTED_VALUE"""),"Windows 10")</f>
        <v>Windows 10</v>
      </c>
      <c r="L464" s="2" t="str">
        <f ca="1">IFERROR(__xludf.DUMMYFUNCTION("""COMPUTED_VALUE"""),"2.37kg")</f>
        <v>2.37kg</v>
      </c>
      <c r="M464" s="2">
        <f ca="1">IFERROR(__xludf.DUMMYFUNCTION("""COMPUTED_VALUE"""),749)</f>
        <v>749</v>
      </c>
    </row>
    <row r="465" spans="1:13">
      <c r="A465" s="2">
        <f ca="1">IFERROR(__xludf.DUMMYFUNCTION("""COMPUTED_VALUE"""),470)</f>
        <v>470</v>
      </c>
      <c r="B465" s="2" t="str">
        <f ca="1">IFERROR(__xludf.DUMMYFUNCTION("""COMPUTED_VALUE"""),"Lenovo")</f>
        <v>Lenovo</v>
      </c>
      <c r="C465" s="2" t="str">
        <f ca="1">IFERROR(__xludf.DUMMYFUNCTION("""COMPUTED_VALUE"""),"IdeaPad 510s-14IKB")</f>
        <v>IdeaPad 510s-14IKB</v>
      </c>
      <c r="D465" s="2" t="str">
        <f ca="1">IFERROR(__xludf.DUMMYFUNCTION("""COMPUTED_VALUE"""),"Notebook")</f>
        <v>Notebook</v>
      </c>
      <c r="E465" s="2">
        <f ca="1">IFERROR(__xludf.DUMMYFUNCTION("""COMPUTED_VALUE"""),14)</f>
        <v>14</v>
      </c>
      <c r="F465" s="2" t="str">
        <f ca="1">IFERROR(__xludf.DUMMYFUNCTION("""COMPUTED_VALUE"""),"IPS Panel Full HD 1920x1080")</f>
        <v>IPS Panel Full HD 1920x1080</v>
      </c>
      <c r="G465" s="2" t="str">
        <f ca="1">IFERROR(__xludf.DUMMYFUNCTION("""COMPUTED_VALUE"""),"Intel Core i7 7500U 2.7GHz")</f>
        <v>Intel Core i7 7500U 2.7GHz</v>
      </c>
      <c r="H465" s="2" t="str">
        <f ca="1">IFERROR(__xludf.DUMMYFUNCTION("""COMPUTED_VALUE"""),"8GB")</f>
        <v>8GB</v>
      </c>
      <c r="I465" s="2" t="str">
        <f ca="1">IFERROR(__xludf.DUMMYFUNCTION("""COMPUTED_VALUE"""),"512GB SSD")</f>
        <v>512GB SSD</v>
      </c>
      <c r="J465" s="2" t="str">
        <f ca="1">IFERROR(__xludf.DUMMYFUNCTION("""COMPUTED_VALUE"""),"AMD Radeon R7 M460")</f>
        <v>AMD Radeon R7 M460</v>
      </c>
      <c r="K465" s="2" t="str">
        <f ca="1">IFERROR(__xludf.DUMMYFUNCTION("""COMPUTED_VALUE"""),"No OS")</f>
        <v>No OS</v>
      </c>
      <c r="L465" s="2" t="str">
        <f ca="1">IFERROR(__xludf.DUMMYFUNCTION("""COMPUTED_VALUE"""),"1.5kg")</f>
        <v>1.5kg</v>
      </c>
      <c r="M465" s="2">
        <f ca="1">IFERROR(__xludf.DUMMYFUNCTION("""COMPUTED_VALUE"""),799)</f>
        <v>799</v>
      </c>
    </row>
    <row r="466" spans="1:13">
      <c r="A466" s="2">
        <f ca="1">IFERROR(__xludf.DUMMYFUNCTION("""COMPUTED_VALUE"""),471)</f>
        <v>471</v>
      </c>
      <c r="B466" s="2" t="str">
        <f ca="1">IFERROR(__xludf.DUMMYFUNCTION("""COMPUTED_VALUE"""),"Lenovo")</f>
        <v>Lenovo</v>
      </c>
      <c r="C466" s="2" t="str">
        <f ca="1">IFERROR(__xludf.DUMMYFUNCTION("""COMPUTED_VALUE"""),"Thinkpad P51")</f>
        <v>Thinkpad P51</v>
      </c>
      <c r="D466" s="2" t="str">
        <f ca="1">IFERROR(__xludf.DUMMYFUNCTION("""COMPUTED_VALUE"""),"Notebook")</f>
        <v>Notebook</v>
      </c>
      <c r="E466" s="2">
        <f ca="1">IFERROR(__xludf.DUMMYFUNCTION("""COMPUTED_VALUE"""),15.6)</f>
        <v>15.6</v>
      </c>
      <c r="F466" s="2" t="str">
        <f ca="1">IFERROR(__xludf.DUMMYFUNCTION("""COMPUTED_VALUE"""),"Full HD 1920x1080")</f>
        <v>Full HD 1920x1080</v>
      </c>
      <c r="G466" s="2" t="str">
        <f ca="1">IFERROR(__xludf.DUMMYFUNCTION("""COMPUTED_VALUE"""),"Intel Core i7 7820HQ 2.9GHz")</f>
        <v>Intel Core i7 7820HQ 2.9GHz</v>
      </c>
      <c r="H466" s="2" t="str">
        <f ca="1">IFERROR(__xludf.DUMMYFUNCTION("""COMPUTED_VALUE"""),"8GB")</f>
        <v>8GB</v>
      </c>
      <c r="I466" s="2" t="str">
        <f ca="1">IFERROR(__xludf.DUMMYFUNCTION("""COMPUTED_VALUE"""),"256GB SSD")</f>
        <v>256GB SSD</v>
      </c>
      <c r="J466" s="2" t="str">
        <f ca="1">IFERROR(__xludf.DUMMYFUNCTION("""COMPUTED_VALUE"""),"Nvidia Quadro M2200M")</f>
        <v>Nvidia Quadro M2200M</v>
      </c>
      <c r="K466" s="2" t="str">
        <f ca="1">IFERROR(__xludf.DUMMYFUNCTION("""COMPUTED_VALUE"""),"Windows 10")</f>
        <v>Windows 10</v>
      </c>
      <c r="L466" s="2" t="str">
        <f ca="1">IFERROR(__xludf.DUMMYFUNCTION("""COMPUTED_VALUE"""),"2.67kg")</f>
        <v>2.67kg</v>
      </c>
      <c r="M466" s="2">
        <f ca="1">IFERROR(__xludf.DUMMYFUNCTION("""COMPUTED_VALUE"""),2090)</f>
        <v>2090</v>
      </c>
    </row>
    <row r="467" spans="1:13">
      <c r="A467" s="2">
        <f ca="1">IFERROR(__xludf.DUMMYFUNCTION("""COMPUTED_VALUE"""),472)</f>
        <v>472</v>
      </c>
      <c r="B467" s="2" t="str">
        <f ca="1">IFERROR(__xludf.DUMMYFUNCTION("""COMPUTED_VALUE"""),"Asus")</f>
        <v>Asus</v>
      </c>
      <c r="C467" s="2" t="str">
        <f ca="1">IFERROR(__xludf.DUMMYFUNCTION("""COMPUTED_VALUE"""),"X541NA-PD1003Y (N4200/4GB/500GB/W10)")</f>
        <v>X541NA-PD1003Y (N4200/4GB/500GB/W10)</v>
      </c>
      <c r="D467" s="2" t="str">
        <f ca="1">IFERROR(__xludf.DUMMYFUNCTION("""COMPUTED_VALUE"""),"Notebook")</f>
        <v>Notebook</v>
      </c>
      <c r="E467" s="2">
        <f ca="1">IFERROR(__xludf.DUMMYFUNCTION("""COMPUTED_VALUE"""),15.6)</f>
        <v>15.6</v>
      </c>
      <c r="F467" s="2" t="str">
        <f ca="1">IFERROR(__xludf.DUMMYFUNCTION("""COMPUTED_VALUE"""),"1366x768")</f>
        <v>1366x768</v>
      </c>
      <c r="G467" s="2" t="str">
        <f ca="1">IFERROR(__xludf.DUMMYFUNCTION("""COMPUTED_VALUE"""),"Intel Pentium Quad Core N4200 1.1GHz")</f>
        <v>Intel Pentium Quad Core N4200 1.1GHz</v>
      </c>
      <c r="H467" s="2" t="str">
        <f ca="1">IFERROR(__xludf.DUMMYFUNCTION("""COMPUTED_VALUE"""),"4GB")</f>
        <v>4GB</v>
      </c>
      <c r="I467" s="2" t="str">
        <f ca="1">IFERROR(__xludf.DUMMYFUNCTION("""COMPUTED_VALUE"""),"500GB HDD")</f>
        <v>500GB HDD</v>
      </c>
      <c r="J467" s="2" t="str">
        <f ca="1">IFERROR(__xludf.DUMMYFUNCTION("""COMPUTED_VALUE"""),"Intel HD Graphics 500")</f>
        <v>Intel HD Graphics 500</v>
      </c>
      <c r="K467" s="2" t="str">
        <f ca="1">IFERROR(__xludf.DUMMYFUNCTION("""COMPUTED_VALUE"""),"Windows 10")</f>
        <v>Windows 10</v>
      </c>
      <c r="L467" s="2" t="str">
        <f ca="1">IFERROR(__xludf.DUMMYFUNCTION("""COMPUTED_VALUE"""),"2kg")</f>
        <v>2kg</v>
      </c>
      <c r="M467" s="2">
        <f ca="1">IFERROR(__xludf.DUMMYFUNCTION("""COMPUTED_VALUE"""),304)</f>
        <v>304</v>
      </c>
    </row>
    <row r="468" spans="1:13">
      <c r="A468" s="2">
        <f ca="1">IFERROR(__xludf.DUMMYFUNCTION("""COMPUTED_VALUE"""),473)</f>
        <v>473</v>
      </c>
      <c r="B468" s="2" t="str">
        <f ca="1">IFERROR(__xludf.DUMMYFUNCTION("""COMPUTED_VALUE"""),"Acer")</f>
        <v>Acer</v>
      </c>
      <c r="C468" s="2" t="str">
        <f ca="1">IFERROR(__xludf.DUMMYFUNCTION("""COMPUTED_VALUE"""),"Aspire 5")</f>
        <v>Aspire 5</v>
      </c>
      <c r="D468" s="2" t="str">
        <f ca="1">IFERROR(__xludf.DUMMYFUNCTION("""COMPUTED_VALUE"""),"Notebook")</f>
        <v>Notebook</v>
      </c>
      <c r="E468" s="2">
        <f ca="1">IFERROR(__xludf.DUMMYFUNCTION("""COMPUTED_VALUE"""),15.6)</f>
        <v>15.6</v>
      </c>
      <c r="F468" s="2" t="str">
        <f ca="1">IFERROR(__xludf.DUMMYFUNCTION("""COMPUTED_VALUE"""),"1366x768")</f>
        <v>1366x768</v>
      </c>
      <c r="G468" s="2" t="str">
        <f ca="1">IFERROR(__xludf.DUMMYFUNCTION("""COMPUTED_VALUE"""),"Intel Core i3 6006U 2GHz")</f>
        <v>Intel Core i3 6006U 2GHz</v>
      </c>
      <c r="H468" s="2" t="str">
        <f ca="1">IFERROR(__xludf.DUMMYFUNCTION("""COMPUTED_VALUE"""),"4GB")</f>
        <v>4GB</v>
      </c>
      <c r="I468" s="2" t="str">
        <f ca="1">IFERROR(__xludf.DUMMYFUNCTION("""COMPUTED_VALUE"""),"500GB HDD")</f>
        <v>500GB HDD</v>
      </c>
      <c r="J468" s="2" t="str">
        <f ca="1">IFERROR(__xludf.DUMMYFUNCTION("""COMPUTED_VALUE"""),"Nvidia GeForce GTX 940MX")</f>
        <v>Nvidia GeForce GTX 940MX</v>
      </c>
      <c r="K468" s="2" t="str">
        <f ca="1">IFERROR(__xludf.DUMMYFUNCTION("""COMPUTED_VALUE"""),"Windows 10")</f>
        <v>Windows 10</v>
      </c>
      <c r="L468" s="2" t="str">
        <f ca="1">IFERROR(__xludf.DUMMYFUNCTION("""COMPUTED_VALUE"""),"2.2kg")</f>
        <v>2.2kg</v>
      </c>
      <c r="M468" s="2">
        <f ca="1">IFERROR(__xludf.DUMMYFUNCTION("""COMPUTED_VALUE"""),469)</f>
        <v>469</v>
      </c>
    </row>
    <row r="469" spans="1:13">
      <c r="A469" s="2">
        <f ca="1">IFERROR(__xludf.DUMMYFUNCTION("""COMPUTED_VALUE"""),474)</f>
        <v>474</v>
      </c>
      <c r="B469" s="2" t="str">
        <f ca="1">IFERROR(__xludf.DUMMYFUNCTION("""COMPUTED_VALUE"""),"Dell")</f>
        <v>Dell</v>
      </c>
      <c r="C469" s="2" t="str">
        <f ca="1">IFERROR(__xludf.DUMMYFUNCTION("""COMPUTED_VALUE"""),"Inspiron 5570")</f>
        <v>Inspiron 5570</v>
      </c>
      <c r="D469" s="2" t="str">
        <f ca="1">IFERROR(__xludf.DUMMYFUNCTION("""COMPUTED_VALUE"""),"Notebook")</f>
        <v>Notebook</v>
      </c>
      <c r="E469" s="2">
        <f ca="1">IFERROR(__xludf.DUMMYFUNCTION("""COMPUTED_VALUE"""),15.6)</f>
        <v>15.6</v>
      </c>
      <c r="F469" s="2" t="str">
        <f ca="1">IFERROR(__xludf.DUMMYFUNCTION("""COMPUTED_VALUE"""),"Full HD 1920x1080")</f>
        <v>Full HD 1920x1080</v>
      </c>
      <c r="G469" s="2" t="str">
        <f ca="1">IFERROR(__xludf.DUMMYFUNCTION("""COMPUTED_VALUE"""),"Intel Core i5 8250U 1.6GHz")</f>
        <v>Intel Core i5 8250U 1.6GHz</v>
      </c>
      <c r="H469" s="2" t="str">
        <f ca="1">IFERROR(__xludf.DUMMYFUNCTION("""COMPUTED_VALUE"""),"8GB")</f>
        <v>8GB</v>
      </c>
      <c r="I469" s="2" t="str">
        <f ca="1">IFERROR(__xludf.DUMMYFUNCTION("""COMPUTED_VALUE"""),"2TB HDD")</f>
        <v>2TB HDD</v>
      </c>
      <c r="J469" s="2" t="str">
        <f ca="1">IFERROR(__xludf.DUMMYFUNCTION("""COMPUTED_VALUE"""),"AMD Radeon 530")</f>
        <v>AMD Radeon 530</v>
      </c>
      <c r="K469" s="2" t="str">
        <f ca="1">IFERROR(__xludf.DUMMYFUNCTION("""COMPUTED_VALUE"""),"Windows 10")</f>
        <v>Windows 10</v>
      </c>
      <c r="L469" s="2" t="str">
        <f ca="1">IFERROR(__xludf.DUMMYFUNCTION("""COMPUTED_VALUE"""),"2.02kg")</f>
        <v>2.02kg</v>
      </c>
      <c r="M469" s="2">
        <f ca="1">IFERROR(__xludf.DUMMYFUNCTION("""COMPUTED_VALUE"""),759)</f>
        <v>759</v>
      </c>
    </row>
    <row r="470" spans="1:13">
      <c r="A470" s="2">
        <f ca="1">IFERROR(__xludf.DUMMYFUNCTION("""COMPUTED_VALUE"""),475)</f>
        <v>475</v>
      </c>
      <c r="B470" s="2" t="str">
        <f ca="1">IFERROR(__xludf.DUMMYFUNCTION("""COMPUTED_VALUE"""),"HP")</f>
        <v>HP</v>
      </c>
      <c r="C470" s="2" t="str">
        <f ca="1">IFERROR(__xludf.DUMMYFUNCTION("""COMPUTED_VALUE"""),"Omen 17-an006nv")</f>
        <v>Omen 17-an006nv</v>
      </c>
      <c r="D470" s="2" t="str">
        <f ca="1">IFERROR(__xludf.DUMMYFUNCTION("""COMPUTED_VALUE"""),"Gaming")</f>
        <v>Gaming</v>
      </c>
      <c r="E470" s="2">
        <f ca="1">IFERROR(__xludf.DUMMYFUNCTION("""COMPUTED_VALUE"""),17.3)</f>
        <v>17.3</v>
      </c>
      <c r="F470" s="2" t="str">
        <f ca="1">IFERROR(__xludf.DUMMYFUNCTION("""COMPUTED_VALUE"""),"IPS Panel Full HD 1920x1080")</f>
        <v>IPS Panel Full HD 1920x1080</v>
      </c>
      <c r="G470" s="2" t="str">
        <f ca="1">IFERROR(__xludf.DUMMYFUNCTION("""COMPUTED_VALUE"""),"Intel Core i7 7700HQ 2.8GHz")</f>
        <v>Intel Core i7 7700HQ 2.8GHz</v>
      </c>
      <c r="H470" s="2" t="str">
        <f ca="1">IFERROR(__xludf.DUMMYFUNCTION("""COMPUTED_VALUE"""),"12GB")</f>
        <v>12GB</v>
      </c>
      <c r="I470" s="2" t="str">
        <f ca="1">IFERROR(__xludf.DUMMYFUNCTION("""COMPUTED_VALUE"""),"1TB HDD")</f>
        <v>1TB HDD</v>
      </c>
      <c r="J470" s="2" t="str">
        <f ca="1">IFERROR(__xludf.DUMMYFUNCTION("""COMPUTED_VALUE"""),"Nvidia GeForce GTX 1060")</f>
        <v>Nvidia GeForce GTX 1060</v>
      </c>
      <c r="K470" s="2" t="str">
        <f ca="1">IFERROR(__xludf.DUMMYFUNCTION("""COMPUTED_VALUE"""),"Windows 10")</f>
        <v>Windows 10</v>
      </c>
      <c r="L470" s="2" t="str">
        <f ca="1">IFERROR(__xludf.DUMMYFUNCTION("""COMPUTED_VALUE"""),"3.78kg")</f>
        <v>3.78kg</v>
      </c>
      <c r="M470" s="2">
        <f ca="1">IFERROR(__xludf.DUMMYFUNCTION("""COMPUTED_VALUE"""),1699)</f>
        <v>1699</v>
      </c>
    </row>
    <row r="471" spans="1:13">
      <c r="A471" s="2">
        <f ca="1">IFERROR(__xludf.DUMMYFUNCTION("""COMPUTED_VALUE"""),476)</f>
        <v>476</v>
      </c>
      <c r="B471" s="2" t="str">
        <f ca="1">IFERROR(__xludf.DUMMYFUNCTION("""COMPUTED_VALUE"""),"Lenovo")</f>
        <v>Lenovo</v>
      </c>
      <c r="C471" s="2" t="str">
        <f ca="1">IFERROR(__xludf.DUMMYFUNCTION("""COMPUTED_VALUE"""),"Thinkpad T460s")</f>
        <v>Thinkpad T460s</v>
      </c>
      <c r="D471" s="2" t="str">
        <f ca="1">IFERROR(__xludf.DUMMYFUNCTION("""COMPUTED_VALUE"""),"Ultrabook")</f>
        <v>Ultrabook</v>
      </c>
      <c r="E471" s="2">
        <f ca="1">IFERROR(__xludf.DUMMYFUNCTION("""COMPUTED_VALUE"""),14)</f>
        <v>14</v>
      </c>
      <c r="F471" s="2" t="str">
        <f ca="1">IFERROR(__xludf.DUMMYFUNCTION("""COMPUTED_VALUE"""),"IPS Panel Quad HD+ 2560x1440")</f>
        <v>IPS Panel Quad HD+ 2560x1440</v>
      </c>
      <c r="G471" s="2" t="str">
        <f ca="1">IFERROR(__xludf.DUMMYFUNCTION("""COMPUTED_VALUE"""),"Intel Core i7 6600U 2.6GHz")</f>
        <v>Intel Core i7 6600U 2.6GHz</v>
      </c>
      <c r="H471" s="2" t="str">
        <f ca="1">IFERROR(__xludf.DUMMYFUNCTION("""COMPUTED_VALUE"""),"12GB")</f>
        <v>12GB</v>
      </c>
      <c r="I471" s="2" t="str">
        <f ca="1">IFERROR(__xludf.DUMMYFUNCTION("""COMPUTED_VALUE"""),"256GB SSD")</f>
        <v>256GB SSD</v>
      </c>
      <c r="J471" s="2" t="str">
        <f ca="1">IFERROR(__xludf.DUMMYFUNCTION("""COMPUTED_VALUE"""),"Intel HD Graphics 520")</f>
        <v>Intel HD Graphics 520</v>
      </c>
      <c r="K471" s="2" t="str">
        <f ca="1">IFERROR(__xludf.DUMMYFUNCTION("""COMPUTED_VALUE"""),"Windows 10")</f>
        <v>Windows 10</v>
      </c>
      <c r="L471" s="2" t="str">
        <f ca="1">IFERROR(__xludf.DUMMYFUNCTION("""COMPUTED_VALUE"""),"1.4kg")</f>
        <v>1.4kg</v>
      </c>
      <c r="M471" s="2">
        <f ca="1">IFERROR(__xludf.DUMMYFUNCTION("""COMPUTED_VALUE"""),1858)</f>
        <v>1858</v>
      </c>
    </row>
    <row r="472" spans="1:13">
      <c r="A472" s="2">
        <f ca="1">IFERROR(__xludf.DUMMYFUNCTION("""COMPUTED_VALUE"""),477)</f>
        <v>477</v>
      </c>
      <c r="B472" s="2" t="str">
        <f ca="1">IFERROR(__xludf.DUMMYFUNCTION("""COMPUTED_VALUE"""),"HP")</f>
        <v>HP</v>
      </c>
      <c r="C472" s="2" t="str">
        <f ca="1">IFERROR(__xludf.DUMMYFUNCTION("""COMPUTED_VALUE"""),"Spectre x360")</f>
        <v>Spectre x360</v>
      </c>
      <c r="D472" s="2" t="str">
        <f ca="1">IFERROR(__xludf.DUMMYFUNCTION("""COMPUTED_VALUE"""),"2 in 1 Convertible")</f>
        <v>2 in 1 Convertible</v>
      </c>
      <c r="E472" s="2">
        <f ca="1">IFERROR(__xludf.DUMMYFUNCTION("""COMPUTED_VALUE"""),13.3)</f>
        <v>13.3</v>
      </c>
      <c r="F472" s="2" t="str">
        <f ca="1">IFERROR(__xludf.DUMMYFUNCTION("""COMPUTED_VALUE"""),"IPS Panel 4K Ultra HD / Touchscreen 3840x2160")</f>
        <v>IPS Panel 4K Ultra HD / Touchscreen 3840x2160</v>
      </c>
      <c r="G472" s="2" t="str">
        <f ca="1">IFERROR(__xludf.DUMMYFUNCTION("""COMPUTED_VALUE"""),"Intel Core i7 8550U 1.8GHz")</f>
        <v>Intel Core i7 8550U 1.8GHz</v>
      </c>
      <c r="H472" s="2" t="str">
        <f ca="1">IFERROR(__xludf.DUMMYFUNCTION("""COMPUTED_VALUE"""),"8GB")</f>
        <v>8GB</v>
      </c>
      <c r="I472" s="2" t="str">
        <f ca="1">IFERROR(__xludf.DUMMYFUNCTION("""COMPUTED_VALUE"""),"512GB SSD")</f>
        <v>512GB SSD</v>
      </c>
      <c r="J472" s="2" t="str">
        <f ca="1">IFERROR(__xludf.DUMMYFUNCTION("""COMPUTED_VALUE"""),"Intel UHD Graphics 620")</f>
        <v>Intel UHD Graphics 620</v>
      </c>
      <c r="K472" s="2" t="str">
        <f ca="1">IFERROR(__xludf.DUMMYFUNCTION("""COMPUTED_VALUE"""),"Windows 10")</f>
        <v>Windows 10</v>
      </c>
      <c r="L472" s="2" t="str">
        <f ca="1">IFERROR(__xludf.DUMMYFUNCTION("""COMPUTED_VALUE"""),"1.29kg")</f>
        <v>1.29kg</v>
      </c>
      <c r="M472" s="2">
        <f ca="1">IFERROR(__xludf.DUMMYFUNCTION("""COMPUTED_VALUE"""),1999)</f>
        <v>1999</v>
      </c>
    </row>
    <row r="473" spans="1:13">
      <c r="A473" s="2">
        <f ca="1">IFERROR(__xludf.DUMMYFUNCTION("""COMPUTED_VALUE"""),478)</f>
        <v>478</v>
      </c>
      <c r="B473" s="2" t="str">
        <f ca="1">IFERROR(__xludf.DUMMYFUNCTION("""COMPUTED_VALUE"""),"HP")</f>
        <v>HP</v>
      </c>
      <c r="C473" s="2" t="str">
        <f ca="1">IFERROR(__xludf.DUMMYFUNCTION("""COMPUTED_VALUE"""),"ZBook 15u")</f>
        <v>ZBook 15u</v>
      </c>
      <c r="D473" s="2" t="str">
        <f ca="1">IFERROR(__xludf.DUMMYFUNCTION("""COMPUTED_VALUE"""),"Notebook")</f>
        <v>Notebook</v>
      </c>
      <c r="E473" s="2">
        <f ca="1">IFERROR(__xludf.DUMMYFUNCTION("""COMPUTED_VALUE"""),15.6)</f>
        <v>15.6</v>
      </c>
      <c r="F473" s="2" t="str">
        <f ca="1">IFERROR(__xludf.DUMMYFUNCTION("""COMPUTED_VALUE"""),"Full HD 1920x1080")</f>
        <v>Full HD 1920x1080</v>
      </c>
      <c r="G473" s="2" t="str">
        <f ca="1">IFERROR(__xludf.DUMMYFUNCTION("""COMPUTED_VALUE"""),"Intel Core i5 7200U 2.5GHz")</f>
        <v>Intel Core i5 7200U 2.5GHz</v>
      </c>
      <c r="H473" s="2" t="str">
        <f ca="1">IFERROR(__xludf.DUMMYFUNCTION("""COMPUTED_VALUE"""),"8GB")</f>
        <v>8GB</v>
      </c>
      <c r="I473" s="2" t="str">
        <f ca="1">IFERROR(__xludf.DUMMYFUNCTION("""COMPUTED_VALUE"""),"500GB HDD")</f>
        <v>500GB HDD</v>
      </c>
      <c r="J473" s="2" t="str">
        <f ca="1">IFERROR(__xludf.DUMMYFUNCTION("""COMPUTED_VALUE"""),"AMD FirePro W4190M ")</f>
        <v xml:space="preserve">AMD FirePro W4190M </v>
      </c>
      <c r="K473" s="2" t="str">
        <f ca="1">IFERROR(__xludf.DUMMYFUNCTION("""COMPUTED_VALUE"""),"Windows 10")</f>
        <v>Windows 10</v>
      </c>
      <c r="L473" s="2" t="str">
        <f ca="1">IFERROR(__xludf.DUMMYFUNCTION("""COMPUTED_VALUE"""),"1.9kg")</f>
        <v>1.9kg</v>
      </c>
      <c r="M473" s="2">
        <f ca="1">IFERROR(__xludf.DUMMYFUNCTION("""COMPUTED_VALUE"""),1154)</f>
        <v>1154</v>
      </c>
    </row>
    <row r="474" spans="1:13">
      <c r="A474" s="2">
        <f ca="1">IFERROR(__xludf.DUMMYFUNCTION("""COMPUTED_VALUE"""),479)</f>
        <v>479</v>
      </c>
      <c r="B474" s="2" t="str">
        <f ca="1">IFERROR(__xludf.DUMMYFUNCTION("""COMPUTED_VALUE"""),"Google")</f>
        <v>Google</v>
      </c>
      <c r="C474" s="2" t="str">
        <f ca="1">IFERROR(__xludf.DUMMYFUNCTION("""COMPUTED_VALUE"""),"Pixelbook (Core")</f>
        <v>Pixelbook (Core</v>
      </c>
      <c r="D474" s="2" t="str">
        <f ca="1">IFERROR(__xludf.DUMMYFUNCTION("""COMPUTED_VALUE"""),"Ultrabook")</f>
        <v>Ultrabook</v>
      </c>
      <c r="E474" s="2">
        <f ca="1">IFERROR(__xludf.DUMMYFUNCTION("""COMPUTED_VALUE"""),12.3)</f>
        <v>12.3</v>
      </c>
      <c r="F474" s="2" t="str">
        <f ca="1">IFERROR(__xludf.DUMMYFUNCTION("""COMPUTED_VALUE"""),"Touchscreen 2400x1600")</f>
        <v>Touchscreen 2400x1600</v>
      </c>
      <c r="G474" s="2" t="str">
        <f ca="1">IFERROR(__xludf.DUMMYFUNCTION("""COMPUTED_VALUE"""),"Intel Core i5 7Y57 1.2GHz")</f>
        <v>Intel Core i5 7Y57 1.2GHz</v>
      </c>
      <c r="H474" s="2" t="str">
        <f ca="1">IFERROR(__xludf.DUMMYFUNCTION("""COMPUTED_VALUE"""),"8GB")</f>
        <v>8GB</v>
      </c>
      <c r="I474" s="2" t="str">
        <f ca="1">IFERROR(__xludf.DUMMYFUNCTION("""COMPUTED_VALUE"""),"128GB SSD")</f>
        <v>128GB SSD</v>
      </c>
      <c r="J474" s="2" t="str">
        <f ca="1">IFERROR(__xludf.DUMMYFUNCTION("""COMPUTED_VALUE"""),"Intel HD Graphics 615")</f>
        <v>Intel HD Graphics 615</v>
      </c>
      <c r="K474" s="2" t="str">
        <f ca="1">IFERROR(__xludf.DUMMYFUNCTION("""COMPUTED_VALUE"""),"Chrome OS")</f>
        <v>Chrome OS</v>
      </c>
      <c r="L474" s="2" t="str">
        <f ca="1">IFERROR(__xludf.DUMMYFUNCTION("""COMPUTED_VALUE"""),"1.1kg")</f>
        <v>1.1kg</v>
      </c>
      <c r="M474" s="2">
        <f ca="1">IFERROR(__xludf.DUMMYFUNCTION("""COMPUTED_VALUE"""),1275)</f>
        <v>1275</v>
      </c>
    </row>
    <row r="475" spans="1:13">
      <c r="A475" s="2">
        <f ca="1">IFERROR(__xludf.DUMMYFUNCTION("""COMPUTED_VALUE"""),480)</f>
        <v>480</v>
      </c>
      <c r="B475" s="2" t="str">
        <f ca="1">IFERROR(__xludf.DUMMYFUNCTION("""COMPUTED_VALUE"""),"Dell")</f>
        <v>Dell</v>
      </c>
      <c r="C475" s="2" t="str">
        <f ca="1">IFERROR(__xludf.DUMMYFUNCTION("""COMPUTED_VALUE"""),"Latitude 7390")</f>
        <v>Latitude 7390</v>
      </c>
      <c r="D475" s="2" t="str">
        <f ca="1">IFERROR(__xludf.DUMMYFUNCTION("""COMPUTED_VALUE"""),"Ultrabook")</f>
        <v>Ultrabook</v>
      </c>
      <c r="E475" s="2">
        <f ca="1">IFERROR(__xludf.DUMMYFUNCTION("""COMPUTED_VALUE"""),13.3)</f>
        <v>13.3</v>
      </c>
      <c r="F475" s="2" t="str">
        <f ca="1">IFERROR(__xludf.DUMMYFUNCTION("""COMPUTED_VALUE"""),"Full HD / Touchscreen 1920x1080")</f>
        <v>Full HD / Touchscreen 1920x1080</v>
      </c>
      <c r="G475" s="2" t="str">
        <f ca="1">IFERROR(__xludf.DUMMYFUNCTION("""COMPUTED_VALUE"""),"Intel Core i5 8250U 1.6GHz")</f>
        <v>Intel Core i5 8250U 1.6GHz</v>
      </c>
      <c r="H475" s="2" t="str">
        <f ca="1">IFERROR(__xludf.DUMMYFUNCTION("""COMPUTED_VALUE"""),"8GB")</f>
        <v>8GB</v>
      </c>
      <c r="I475" s="2" t="str">
        <f ca="1">IFERROR(__xludf.DUMMYFUNCTION("""COMPUTED_VALUE"""),"256GB SSD")</f>
        <v>256GB SSD</v>
      </c>
      <c r="J475" s="2" t="str">
        <f ca="1">IFERROR(__xludf.DUMMYFUNCTION("""COMPUTED_VALUE"""),"Intel UHD Graphics 620")</f>
        <v>Intel UHD Graphics 620</v>
      </c>
      <c r="K475" s="2" t="str">
        <f ca="1">IFERROR(__xludf.DUMMYFUNCTION("""COMPUTED_VALUE"""),"Windows 10")</f>
        <v>Windows 10</v>
      </c>
      <c r="L475" s="2" t="str">
        <f ca="1">IFERROR(__xludf.DUMMYFUNCTION("""COMPUTED_VALUE"""),"1.42kg")</f>
        <v>1.42kg</v>
      </c>
      <c r="M475" s="2">
        <f ca="1">IFERROR(__xludf.DUMMYFUNCTION("""COMPUTED_VALUE"""),1841.85)</f>
        <v>1841.85</v>
      </c>
    </row>
    <row r="476" spans="1:13">
      <c r="A476" s="2">
        <f ca="1">IFERROR(__xludf.DUMMYFUNCTION("""COMPUTED_VALUE"""),481)</f>
        <v>481</v>
      </c>
      <c r="B476" s="2" t="str">
        <f ca="1">IFERROR(__xludf.DUMMYFUNCTION("""COMPUTED_VALUE"""),"Asus")</f>
        <v>Asus</v>
      </c>
      <c r="C476" s="2" t="str">
        <f ca="1">IFERROR(__xludf.DUMMYFUNCTION("""COMPUTED_VALUE"""),"ZenBook Pro")</f>
        <v>ZenBook Pro</v>
      </c>
      <c r="D476" s="2" t="str">
        <f ca="1">IFERROR(__xludf.DUMMYFUNCTION("""COMPUTED_VALUE"""),"Notebook")</f>
        <v>Notebook</v>
      </c>
      <c r="E476" s="2">
        <f ca="1">IFERROR(__xludf.DUMMYFUNCTION("""COMPUTED_VALUE"""),15.6)</f>
        <v>15.6</v>
      </c>
      <c r="F476" s="2" t="str">
        <f ca="1">IFERROR(__xludf.DUMMYFUNCTION("""COMPUTED_VALUE"""),"IPS Panel 4K Ultra HD 3840x2160")</f>
        <v>IPS Panel 4K Ultra HD 3840x2160</v>
      </c>
      <c r="G476" s="2" t="str">
        <f ca="1">IFERROR(__xludf.DUMMYFUNCTION("""COMPUTED_VALUE"""),"Intel Core i7 6700HQ 2.6GHz")</f>
        <v>Intel Core i7 6700HQ 2.6GHz</v>
      </c>
      <c r="H476" s="2" t="str">
        <f ca="1">IFERROR(__xludf.DUMMYFUNCTION("""COMPUTED_VALUE"""),"12GB")</f>
        <v>12GB</v>
      </c>
      <c r="I476" s="2" t="str">
        <f ca="1">IFERROR(__xludf.DUMMYFUNCTION("""COMPUTED_VALUE"""),"128GB SSD +  1TB HDD")</f>
        <v>128GB SSD +  1TB HDD</v>
      </c>
      <c r="J476" s="2" t="str">
        <f ca="1">IFERROR(__xludf.DUMMYFUNCTION("""COMPUTED_VALUE"""),"Intel HD Graphics 530")</f>
        <v>Intel HD Graphics 530</v>
      </c>
      <c r="K476" s="2" t="str">
        <f ca="1">IFERROR(__xludf.DUMMYFUNCTION("""COMPUTED_VALUE"""),"Windows 10")</f>
        <v>Windows 10</v>
      </c>
      <c r="L476" s="2" t="str">
        <f ca="1">IFERROR(__xludf.DUMMYFUNCTION("""COMPUTED_VALUE"""),"2.06kg")</f>
        <v>2.06kg</v>
      </c>
      <c r="M476" s="2">
        <f ca="1">IFERROR(__xludf.DUMMYFUNCTION("""COMPUTED_VALUE"""),1299)</f>
        <v>1299</v>
      </c>
    </row>
    <row r="477" spans="1:13">
      <c r="A477" s="2">
        <f ca="1">IFERROR(__xludf.DUMMYFUNCTION("""COMPUTED_VALUE"""),482)</f>
        <v>482</v>
      </c>
      <c r="B477" s="2" t="str">
        <f ca="1">IFERROR(__xludf.DUMMYFUNCTION("""COMPUTED_VALUE"""),"Dell")</f>
        <v>Dell</v>
      </c>
      <c r="C477" s="2" t="str">
        <f ca="1">IFERROR(__xludf.DUMMYFUNCTION("""COMPUTED_VALUE"""),"Latitude E5470")</f>
        <v>Latitude E5470</v>
      </c>
      <c r="D477" s="2" t="str">
        <f ca="1">IFERROR(__xludf.DUMMYFUNCTION("""COMPUTED_VALUE"""),"Notebook")</f>
        <v>Notebook</v>
      </c>
      <c r="E477" s="2">
        <f ca="1">IFERROR(__xludf.DUMMYFUNCTION("""COMPUTED_VALUE"""),14)</f>
        <v>14</v>
      </c>
      <c r="F477" s="2" t="str">
        <f ca="1">IFERROR(__xludf.DUMMYFUNCTION("""COMPUTED_VALUE"""),"1366x768")</f>
        <v>1366x768</v>
      </c>
      <c r="G477" s="2" t="str">
        <f ca="1">IFERROR(__xludf.DUMMYFUNCTION("""COMPUTED_VALUE"""),"Intel Core i3 6100U 2.3GHz")</f>
        <v>Intel Core i3 6100U 2.3GHz</v>
      </c>
      <c r="H477" s="2" t="str">
        <f ca="1">IFERROR(__xludf.DUMMYFUNCTION("""COMPUTED_VALUE"""),"8GB")</f>
        <v>8GB</v>
      </c>
      <c r="I477" s="2" t="str">
        <f ca="1">IFERROR(__xludf.DUMMYFUNCTION("""COMPUTED_VALUE"""),"128GB SSD")</f>
        <v>128GB SSD</v>
      </c>
      <c r="J477" s="2" t="str">
        <f ca="1">IFERROR(__xludf.DUMMYFUNCTION("""COMPUTED_VALUE"""),"Intel HD Graphics 520")</f>
        <v>Intel HD Graphics 520</v>
      </c>
      <c r="K477" s="2" t="str">
        <f ca="1">IFERROR(__xludf.DUMMYFUNCTION("""COMPUTED_VALUE"""),"Windows 10")</f>
        <v>Windows 10</v>
      </c>
      <c r="L477" s="2" t="str">
        <f ca="1">IFERROR(__xludf.DUMMYFUNCTION("""COMPUTED_VALUE"""),"1.79kg")</f>
        <v>1.79kg</v>
      </c>
      <c r="M477" s="2">
        <f ca="1">IFERROR(__xludf.DUMMYFUNCTION("""COMPUTED_VALUE"""),740)</f>
        <v>740</v>
      </c>
    </row>
    <row r="478" spans="1:13">
      <c r="A478" s="2">
        <f ca="1">IFERROR(__xludf.DUMMYFUNCTION("""COMPUTED_VALUE"""),483)</f>
        <v>483</v>
      </c>
      <c r="B478" s="2" t="str">
        <f ca="1">IFERROR(__xludf.DUMMYFUNCTION("""COMPUTED_VALUE"""),"Dell")</f>
        <v>Dell</v>
      </c>
      <c r="C478" s="2" t="str">
        <f ca="1">IFERROR(__xludf.DUMMYFUNCTION("""COMPUTED_VALUE"""),"Precision M5520")</f>
        <v>Precision M5520</v>
      </c>
      <c r="D478" s="2" t="str">
        <f ca="1">IFERROR(__xludf.DUMMYFUNCTION("""COMPUTED_VALUE"""),"Workstation")</f>
        <v>Workstation</v>
      </c>
      <c r="E478" s="2">
        <f ca="1">IFERROR(__xludf.DUMMYFUNCTION("""COMPUTED_VALUE"""),15.6)</f>
        <v>15.6</v>
      </c>
      <c r="F478" s="2" t="str">
        <f ca="1">IFERROR(__xludf.DUMMYFUNCTION("""COMPUTED_VALUE"""),"Full HD 1920x1080")</f>
        <v>Full HD 1920x1080</v>
      </c>
      <c r="G478" s="2" t="str">
        <f ca="1">IFERROR(__xludf.DUMMYFUNCTION("""COMPUTED_VALUE"""),"Intel Core i7 7700HQ 2.8GHz")</f>
        <v>Intel Core i7 7700HQ 2.8GHz</v>
      </c>
      <c r="H478" s="2" t="str">
        <f ca="1">IFERROR(__xludf.DUMMYFUNCTION("""COMPUTED_VALUE"""),"8GB")</f>
        <v>8GB</v>
      </c>
      <c r="I478" s="2" t="str">
        <f ca="1">IFERROR(__xludf.DUMMYFUNCTION("""COMPUTED_VALUE"""),"256GB SSD")</f>
        <v>256GB SSD</v>
      </c>
      <c r="J478" s="2" t="str">
        <f ca="1">IFERROR(__xludf.DUMMYFUNCTION("""COMPUTED_VALUE"""),"Nvidia Quadro M1200")</f>
        <v>Nvidia Quadro M1200</v>
      </c>
      <c r="K478" s="2" t="str">
        <f ca="1">IFERROR(__xludf.DUMMYFUNCTION("""COMPUTED_VALUE"""),"Windows 10")</f>
        <v>Windows 10</v>
      </c>
      <c r="L478" s="2" t="str">
        <f ca="1">IFERROR(__xludf.DUMMYFUNCTION("""COMPUTED_VALUE"""),"1.78kg")</f>
        <v>1.78kg</v>
      </c>
      <c r="M478" s="2">
        <f ca="1">IFERROR(__xludf.DUMMYFUNCTION("""COMPUTED_VALUE"""),2408)</f>
        <v>2408</v>
      </c>
    </row>
    <row r="479" spans="1:13">
      <c r="A479" s="2">
        <f ca="1">IFERROR(__xludf.DUMMYFUNCTION("""COMPUTED_VALUE"""),484)</f>
        <v>484</v>
      </c>
      <c r="B479" s="2" t="str">
        <f ca="1">IFERROR(__xludf.DUMMYFUNCTION("""COMPUTED_VALUE"""),"Lenovo")</f>
        <v>Lenovo</v>
      </c>
      <c r="C479" s="2" t="str">
        <f ca="1">IFERROR(__xludf.DUMMYFUNCTION("""COMPUTED_VALUE"""),"Thinkpad T470")</f>
        <v>Thinkpad T470</v>
      </c>
      <c r="D479" s="2" t="str">
        <f ca="1">IFERROR(__xludf.DUMMYFUNCTION("""COMPUTED_VALUE"""),"Notebook")</f>
        <v>Notebook</v>
      </c>
      <c r="E479" s="2">
        <f ca="1">IFERROR(__xludf.DUMMYFUNCTION("""COMPUTED_VALUE"""),14)</f>
        <v>14</v>
      </c>
      <c r="F479" s="2" t="str">
        <f ca="1">IFERROR(__xludf.DUMMYFUNCTION("""COMPUTED_VALUE"""),"Full HD 1920x1080")</f>
        <v>Full HD 1920x1080</v>
      </c>
      <c r="G479" s="2" t="str">
        <f ca="1">IFERROR(__xludf.DUMMYFUNCTION("""COMPUTED_VALUE"""),"Intel Core i5 7200U 2.5GHz")</f>
        <v>Intel Core i5 7200U 2.5GHz</v>
      </c>
      <c r="H479" s="2" t="str">
        <f ca="1">IFERROR(__xludf.DUMMYFUNCTION("""COMPUTED_VALUE"""),"8GB")</f>
        <v>8GB</v>
      </c>
      <c r="I479" s="2" t="str">
        <f ca="1">IFERROR(__xludf.DUMMYFUNCTION("""COMPUTED_VALUE"""),"180GB SSD")</f>
        <v>180GB SSD</v>
      </c>
      <c r="J479" s="2" t="str">
        <f ca="1">IFERROR(__xludf.DUMMYFUNCTION("""COMPUTED_VALUE"""),"Intel HD Graphics 620")</f>
        <v>Intel HD Graphics 620</v>
      </c>
      <c r="K479" s="2" t="str">
        <f ca="1">IFERROR(__xludf.DUMMYFUNCTION("""COMPUTED_VALUE"""),"Windows 10")</f>
        <v>Windows 10</v>
      </c>
      <c r="L479" s="2" t="str">
        <f ca="1">IFERROR(__xludf.DUMMYFUNCTION("""COMPUTED_VALUE"""),"1.7kg")</f>
        <v>1.7kg</v>
      </c>
      <c r="M479" s="2">
        <f ca="1">IFERROR(__xludf.DUMMYFUNCTION("""COMPUTED_VALUE"""),1364)</f>
        <v>1364</v>
      </c>
    </row>
    <row r="480" spans="1:13">
      <c r="A480" s="2">
        <f ca="1">IFERROR(__xludf.DUMMYFUNCTION("""COMPUTED_VALUE"""),485)</f>
        <v>485</v>
      </c>
      <c r="B480" s="2" t="str">
        <f ca="1">IFERROR(__xludf.DUMMYFUNCTION("""COMPUTED_VALUE"""),"Dell")</f>
        <v>Dell</v>
      </c>
      <c r="C480" s="2" t="str">
        <f ca="1">IFERROR(__xludf.DUMMYFUNCTION("""COMPUTED_VALUE"""),"Inspiron 3576")</f>
        <v>Inspiron 3576</v>
      </c>
      <c r="D480" s="2" t="str">
        <f ca="1">IFERROR(__xludf.DUMMYFUNCTION("""COMPUTED_VALUE"""),"Notebook")</f>
        <v>Notebook</v>
      </c>
      <c r="E480" s="2">
        <f ca="1">IFERROR(__xludf.DUMMYFUNCTION("""COMPUTED_VALUE"""),15.6)</f>
        <v>15.6</v>
      </c>
      <c r="F480" s="2" t="str">
        <f ca="1">IFERROR(__xludf.DUMMYFUNCTION("""COMPUTED_VALUE"""),"Full HD 1920x1080")</f>
        <v>Full HD 1920x1080</v>
      </c>
      <c r="G480" s="2" t="str">
        <f ca="1">IFERROR(__xludf.DUMMYFUNCTION("""COMPUTED_VALUE"""),"Intel Core i5 8250U 1.6GHz")</f>
        <v>Intel Core i5 8250U 1.6GHz</v>
      </c>
      <c r="H480" s="2" t="str">
        <f ca="1">IFERROR(__xludf.DUMMYFUNCTION("""COMPUTED_VALUE"""),"8GB")</f>
        <v>8GB</v>
      </c>
      <c r="I480" s="2" t="str">
        <f ca="1">IFERROR(__xludf.DUMMYFUNCTION("""COMPUTED_VALUE"""),"1TB HDD")</f>
        <v>1TB HDD</v>
      </c>
      <c r="J480" s="2" t="str">
        <f ca="1">IFERROR(__xludf.DUMMYFUNCTION("""COMPUTED_VALUE"""),"AMD Radeon 520")</f>
        <v>AMD Radeon 520</v>
      </c>
      <c r="K480" s="2" t="str">
        <f ca="1">IFERROR(__xludf.DUMMYFUNCTION("""COMPUTED_VALUE"""),"Windows 10")</f>
        <v>Windows 10</v>
      </c>
      <c r="L480" s="2" t="str">
        <f ca="1">IFERROR(__xludf.DUMMYFUNCTION("""COMPUTED_VALUE"""),"2.2kg")</f>
        <v>2.2kg</v>
      </c>
      <c r="M480" s="2">
        <f ca="1">IFERROR(__xludf.DUMMYFUNCTION("""COMPUTED_VALUE"""),675)</f>
        <v>675</v>
      </c>
    </row>
    <row r="481" spans="1:13">
      <c r="A481" s="2">
        <f ca="1">IFERROR(__xludf.DUMMYFUNCTION("""COMPUTED_VALUE"""),486)</f>
        <v>486</v>
      </c>
      <c r="B481" s="2" t="str">
        <f ca="1">IFERROR(__xludf.DUMMYFUNCTION("""COMPUTED_VALUE"""),"Toshiba")</f>
        <v>Toshiba</v>
      </c>
      <c r="C481" s="2" t="str">
        <f ca="1">IFERROR(__xludf.DUMMYFUNCTION("""COMPUTED_VALUE"""),"Portege X30-D-10J")</f>
        <v>Portege X30-D-10J</v>
      </c>
      <c r="D481" s="2" t="str">
        <f ca="1">IFERROR(__xludf.DUMMYFUNCTION("""COMPUTED_VALUE"""),"Notebook")</f>
        <v>Notebook</v>
      </c>
      <c r="E481" s="2">
        <f ca="1">IFERROR(__xludf.DUMMYFUNCTION("""COMPUTED_VALUE"""),13.3)</f>
        <v>13.3</v>
      </c>
      <c r="F481" s="2" t="str">
        <f ca="1">IFERROR(__xludf.DUMMYFUNCTION("""COMPUTED_VALUE"""),"IPS Panel Full HD 1920x1080")</f>
        <v>IPS Panel Full HD 1920x1080</v>
      </c>
      <c r="G481" s="2" t="str">
        <f ca="1">IFERROR(__xludf.DUMMYFUNCTION("""COMPUTED_VALUE"""),"Intel Core i5 7200U 2.5GHz")</f>
        <v>Intel Core i5 7200U 2.5GHz</v>
      </c>
      <c r="H481" s="2" t="str">
        <f ca="1">IFERROR(__xludf.DUMMYFUNCTION("""COMPUTED_VALUE"""),"8GB")</f>
        <v>8GB</v>
      </c>
      <c r="I481" s="2" t="str">
        <f ca="1">IFERROR(__xludf.DUMMYFUNCTION("""COMPUTED_VALUE"""),"256GB SSD")</f>
        <v>256GB SSD</v>
      </c>
      <c r="J481" s="2" t="str">
        <f ca="1">IFERROR(__xludf.DUMMYFUNCTION("""COMPUTED_VALUE"""),"Intel HD Graphics 620")</f>
        <v>Intel HD Graphics 620</v>
      </c>
      <c r="K481" s="2" t="str">
        <f ca="1">IFERROR(__xludf.DUMMYFUNCTION("""COMPUTED_VALUE"""),"Windows 10")</f>
        <v>Windows 10</v>
      </c>
      <c r="L481" s="2" t="str">
        <f ca="1">IFERROR(__xludf.DUMMYFUNCTION("""COMPUTED_VALUE"""),"1.05kg")</f>
        <v>1.05kg</v>
      </c>
      <c r="M481" s="2">
        <f ca="1">IFERROR(__xludf.DUMMYFUNCTION("""COMPUTED_VALUE"""),1672)</f>
        <v>1672</v>
      </c>
    </row>
    <row r="482" spans="1:13">
      <c r="A482" s="2">
        <f ca="1">IFERROR(__xludf.DUMMYFUNCTION("""COMPUTED_VALUE"""),487)</f>
        <v>487</v>
      </c>
      <c r="B482" s="2" t="str">
        <f ca="1">IFERROR(__xludf.DUMMYFUNCTION("""COMPUTED_VALUE"""),"Dell")</f>
        <v>Dell</v>
      </c>
      <c r="C482" s="2" t="str">
        <f ca="1">IFERROR(__xludf.DUMMYFUNCTION("""COMPUTED_VALUE"""),"Inspiron 7570")</f>
        <v>Inspiron 7570</v>
      </c>
      <c r="D482" s="2" t="str">
        <f ca="1">IFERROR(__xludf.DUMMYFUNCTION("""COMPUTED_VALUE"""),"Notebook")</f>
        <v>Notebook</v>
      </c>
      <c r="E482" s="2">
        <f ca="1">IFERROR(__xludf.DUMMYFUNCTION("""COMPUTED_VALUE"""),15.6)</f>
        <v>15.6</v>
      </c>
      <c r="F482" s="2" t="str">
        <f ca="1">IFERROR(__xludf.DUMMYFUNCTION("""COMPUTED_VALUE"""),"IPS Panel Full HD 1920x1080")</f>
        <v>IPS Panel Full HD 1920x1080</v>
      </c>
      <c r="G482" s="2" t="str">
        <f ca="1">IFERROR(__xludf.DUMMYFUNCTION("""COMPUTED_VALUE"""),"Intel Core i7 8550U 1.8GHz")</f>
        <v>Intel Core i7 8550U 1.8GHz</v>
      </c>
      <c r="H482" s="2" t="str">
        <f ca="1">IFERROR(__xludf.DUMMYFUNCTION("""COMPUTED_VALUE"""),"8GB")</f>
        <v>8GB</v>
      </c>
      <c r="I482" s="2" t="str">
        <f ca="1">IFERROR(__xludf.DUMMYFUNCTION("""COMPUTED_VALUE"""),"512GB SSD")</f>
        <v>512GB SSD</v>
      </c>
      <c r="J482" s="2" t="str">
        <f ca="1">IFERROR(__xludf.DUMMYFUNCTION("""COMPUTED_VALUE"""),"Nvidia GeForce 940MX")</f>
        <v>Nvidia GeForce 940MX</v>
      </c>
      <c r="K482" s="2" t="str">
        <f ca="1">IFERROR(__xludf.DUMMYFUNCTION("""COMPUTED_VALUE"""),"Windows 10")</f>
        <v>Windows 10</v>
      </c>
      <c r="L482" s="2" t="str">
        <f ca="1">IFERROR(__xludf.DUMMYFUNCTION("""COMPUTED_VALUE"""),"2.16kg")</f>
        <v>2.16kg</v>
      </c>
      <c r="M482" s="2">
        <f ca="1">IFERROR(__xludf.DUMMYFUNCTION("""COMPUTED_VALUE"""),1262)</f>
        <v>1262</v>
      </c>
    </row>
    <row r="483" spans="1:13">
      <c r="A483" s="2">
        <f ca="1">IFERROR(__xludf.DUMMYFUNCTION("""COMPUTED_VALUE"""),488)</f>
        <v>488</v>
      </c>
      <c r="B483" s="2" t="str">
        <f ca="1">IFERROR(__xludf.DUMMYFUNCTION("""COMPUTED_VALUE"""),"Dell")</f>
        <v>Dell</v>
      </c>
      <c r="C483" s="2" t="str">
        <f ca="1">IFERROR(__xludf.DUMMYFUNCTION("""COMPUTED_VALUE"""),"Vostro 3568")</f>
        <v>Vostro 3568</v>
      </c>
      <c r="D483" s="2" t="str">
        <f ca="1">IFERROR(__xludf.DUMMYFUNCTION("""COMPUTED_VALUE"""),"Notebook")</f>
        <v>Notebook</v>
      </c>
      <c r="E483" s="2">
        <f ca="1">IFERROR(__xludf.DUMMYFUNCTION("""COMPUTED_VALUE"""),15.6)</f>
        <v>15.6</v>
      </c>
      <c r="F483" s="2" t="str">
        <f ca="1">IFERROR(__xludf.DUMMYFUNCTION("""COMPUTED_VALUE"""),"1366x768")</f>
        <v>1366x768</v>
      </c>
      <c r="G483" s="2" t="str">
        <f ca="1">IFERROR(__xludf.DUMMYFUNCTION("""COMPUTED_VALUE"""),"Intel Core i3 7100U 2.4GHz")</f>
        <v>Intel Core i3 7100U 2.4GHz</v>
      </c>
      <c r="H483" s="2" t="str">
        <f ca="1">IFERROR(__xludf.DUMMYFUNCTION("""COMPUTED_VALUE"""),"4GB")</f>
        <v>4GB</v>
      </c>
      <c r="I483" s="2" t="str">
        <f ca="1">IFERROR(__xludf.DUMMYFUNCTION("""COMPUTED_VALUE"""),"1TB HDD")</f>
        <v>1TB HDD</v>
      </c>
      <c r="J483" s="2" t="str">
        <f ca="1">IFERROR(__xludf.DUMMYFUNCTION("""COMPUTED_VALUE"""),"Intel HD Graphics 620")</f>
        <v>Intel HD Graphics 620</v>
      </c>
      <c r="K483" s="2" t="str">
        <f ca="1">IFERROR(__xludf.DUMMYFUNCTION("""COMPUTED_VALUE"""),"Windows 10")</f>
        <v>Windows 10</v>
      </c>
      <c r="L483" s="2" t="str">
        <f ca="1">IFERROR(__xludf.DUMMYFUNCTION("""COMPUTED_VALUE"""),"2.18kg")</f>
        <v>2.18kg</v>
      </c>
      <c r="M483" s="2">
        <f ca="1">IFERROR(__xludf.DUMMYFUNCTION("""COMPUTED_VALUE"""),586.6)</f>
        <v>586.6</v>
      </c>
    </row>
    <row r="484" spans="1:13">
      <c r="A484" s="2">
        <f ca="1">IFERROR(__xludf.DUMMYFUNCTION("""COMPUTED_VALUE"""),489)</f>
        <v>489</v>
      </c>
      <c r="B484" s="2" t="str">
        <f ca="1">IFERROR(__xludf.DUMMYFUNCTION("""COMPUTED_VALUE"""),"HP")</f>
        <v>HP</v>
      </c>
      <c r="C484" s="2" t="str">
        <f ca="1">IFERROR(__xludf.DUMMYFUNCTION("""COMPUTED_VALUE"""),"ProBook 430")</f>
        <v>ProBook 430</v>
      </c>
      <c r="D484" s="2" t="str">
        <f ca="1">IFERROR(__xludf.DUMMYFUNCTION("""COMPUTED_VALUE"""),"Notebook")</f>
        <v>Notebook</v>
      </c>
      <c r="E484" s="2">
        <f ca="1">IFERROR(__xludf.DUMMYFUNCTION("""COMPUTED_VALUE"""),13.3)</f>
        <v>13.3</v>
      </c>
      <c r="F484" s="2" t="str">
        <f ca="1">IFERROR(__xludf.DUMMYFUNCTION("""COMPUTED_VALUE"""),"IPS Panel Full HD 1920x1080")</f>
        <v>IPS Panel Full HD 1920x1080</v>
      </c>
      <c r="G484" s="2" t="str">
        <f ca="1">IFERROR(__xludf.DUMMYFUNCTION("""COMPUTED_VALUE"""),"Intel Core i5 8250U 1.6GHz")</f>
        <v>Intel Core i5 8250U 1.6GHz</v>
      </c>
      <c r="H484" s="2" t="str">
        <f ca="1">IFERROR(__xludf.DUMMYFUNCTION("""COMPUTED_VALUE"""),"4GB")</f>
        <v>4GB</v>
      </c>
      <c r="I484" s="2" t="str">
        <f ca="1">IFERROR(__xludf.DUMMYFUNCTION("""COMPUTED_VALUE"""),"128GB SSD")</f>
        <v>128GB SSD</v>
      </c>
      <c r="J484" s="2" t="str">
        <f ca="1">IFERROR(__xludf.DUMMYFUNCTION("""COMPUTED_VALUE"""),"Intel UHD Graphics 620")</f>
        <v>Intel UHD Graphics 620</v>
      </c>
      <c r="K484" s="2" t="str">
        <f ca="1">IFERROR(__xludf.DUMMYFUNCTION("""COMPUTED_VALUE"""),"Windows 10")</f>
        <v>Windows 10</v>
      </c>
      <c r="L484" s="2" t="str">
        <f ca="1">IFERROR(__xludf.DUMMYFUNCTION("""COMPUTED_VALUE"""),"1.49kg")</f>
        <v>1.49kg</v>
      </c>
      <c r="M484" s="2">
        <f ca="1">IFERROR(__xludf.DUMMYFUNCTION("""COMPUTED_VALUE"""),726)</f>
        <v>726</v>
      </c>
    </row>
    <row r="485" spans="1:13">
      <c r="A485" s="2">
        <f ca="1">IFERROR(__xludf.DUMMYFUNCTION("""COMPUTED_VALUE"""),490)</f>
        <v>490</v>
      </c>
      <c r="B485" s="2" t="str">
        <f ca="1">IFERROR(__xludf.DUMMYFUNCTION("""COMPUTED_VALUE"""),"Chuwi")</f>
        <v>Chuwi</v>
      </c>
      <c r="C485" s="2" t="str">
        <f ca="1">IFERROR(__xludf.DUMMYFUNCTION("""COMPUTED_VALUE"""),"Lapbook 15,6")</f>
        <v>Lapbook 15,6</v>
      </c>
      <c r="D485" s="2" t="str">
        <f ca="1">IFERROR(__xludf.DUMMYFUNCTION("""COMPUTED_VALUE"""),"Notebook")</f>
        <v>Notebook</v>
      </c>
      <c r="E485" s="2">
        <f ca="1">IFERROR(__xludf.DUMMYFUNCTION("""COMPUTED_VALUE"""),15.6)</f>
        <v>15.6</v>
      </c>
      <c r="F485" s="2" t="str">
        <f ca="1">IFERROR(__xludf.DUMMYFUNCTION("""COMPUTED_VALUE"""),"Full HD 1920x1080")</f>
        <v>Full HD 1920x1080</v>
      </c>
      <c r="G485" s="2" t="str">
        <f ca="1">IFERROR(__xludf.DUMMYFUNCTION("""COMPUTED_VALUE"""),"Intel Atom x5-Z8350 1.44GHz")</f>
        <v>Intel Atom x5-Z8350 1.44GHz</v>
      </c>
      <c r="H485" s="2" t="str">
        <f ca="1">IFERROR(__xludf.DUMMYFUNCTION("""COMPUTED_VALUE"""),"4GB")</f>
        <v>4GB</v>
      </c>
      <c r="I485" s="2" t="str">
        <f ca="1">IFERROR(__xludf.DUMMYFUNCTION("""COMPUTED_VALUE"""),"64GB Flash Storage")</f>
        <v>64GB Flash Storage</v>
      </c>
      <c r="J485" s="2" t="str">
        <f ca="1">IFERROR(__xludf.DUMMYFUNCTION("""COMPUTED_VALUE"""),"Intel HD Graphics")</f>
        <v>Intel HD Graphics</v>
      </c>
      <c r="K485" s="2" t="str">
        <f ca="1">IFERROR(__xludf.DUMMYFUNCTION("""COMPUTED_VALUE"""),"Windows 10")</f>
        <v>Windows 10</v>
      </c>
      <c r="L485" s="2" t="str">
        <f ca="1">IFERROR(__xludf.DUMMYFUNCTION("""COMPUTED_VALUE"""),"1.89kg")</f>
        <v>1.89kg</v>
      </c>
      <c r="M485" s="2">
        <f ca="1">IFERROR(__xludf.DUMMYFUNCTION("""COMPUTED_VALUE"""),248.9)</f>
        <v>248.9</v>
      </c>
    </row>
    <row r="486" spans="1:13">
      <c r="A486" s="2">
        <f ca="1">IFERROR(__xludf.DUMMYFUNCTION("""COMPUTED_VALUE"""),491)</f>
        <v>491</v>
      </c>
      <c r="B486" s="2" t="str">
        <f ca="1">IFERROR(__xludf.DUMMYFUNCTION("""COMPUTED_VALUE"""),"Lenovo")</f>
        <v>Lenovo</v>
      </c>
      <c r="C486" s="2" t="str">
        <f ca="1">IFERROR(__xludf.DUMMYFUNCTION("""COMPUTED_VALUE"""),"ThinkPad E570")</f>
        <v>ThinkPad E570</v>
      </c>
      <c r="D486" s="2" t="str">
        <f ca="1">IFERROR(__xludf.DUMMYFUNCTION("""COMPUTED_VALUE"""),"Notebook")</f>
        <v>Notebook</v>
      </c>
      <c r="E486" s="2">
        <f ca="1">IFERROR(__xludf.DUMMYFUNCTION("""COMPUTED_VALUE"""),15.6)</f>
        <v>15.6</v>
      </c>
      <c r="F486" s="2" t="str">
        <f ca="1">IFERROR(__xludf.DUMMYFUNCTION("""COMPUTED_VALUE"""),"1366x768")</f>
        <v>1366x768</v>
      </c>
      <c r="G486" s="2" t="str">
        <f ca="1">IFERROR(__xludf.DUMMYFUNCTION("""COMPUTED_VALUE"""),"Intel Core i3 6006U 2.0GHz")</f>
        <v>Intel Core i3 6006U 2.0GHz</v>
      </c>
      <c r="H486" s="2" t="str">
        <f ca="1">IFERROR(__xludf.DUMMYFUNCTION("""COMPUTED_VALUE"""),"4GB")</f>
        <v>4GB</v>
      </c>
      <c r="I486" s="2" t="str">
        <f ca="1">IFERROR(__xludf.DUMMYFUNCTION("""COMPUTED_VALUE"""),"128GB SSD")</f>
        <v>128GB SSD</v>
      </c>
      <c r="J486" s="2" t="str">
        <f ca="1">IFERROR(__xludf.DUMMYFUNCTION("""COMPUTED_VALUE"""),"Intel HD Graphics 520")</f>
        <v>Intel HD Graphics 520</v>
      </c>
      <c r="K486" s="2" t="str">
        <f ca="1">IFERROR(__xludf.DUMMYFUNCTION("""COMPUTED_VALUE"""),"Windows 10")</f>
        <v>Windows 10</v>
      </c>
      <c r="L486" s="2" t="str">
        <f ca="1">IFERROR(__xludf.DUMMYFUNCTION("""COMPUTED_VALUE"""),"2.3kg")</f>
        <v>2.3kg</v>
      </c>
      <c r="M486" s="2">
        <f ca="1">IFERROR(__xludf.DUMMYFUNCTION("""COMPUTED_VALUE"""),565)</f>
        <v>565</v>
      </c>
    </row>
    <row r="487" spans="1:13">
      <c r="A487" s="2">
        <f ca="1">IFERROR(__xludf.DUMMYFUNCTION("""COMPUTED_VALUE"""),492)</f>
        <v>492</v>
      </c>
      <c r="B487" s="2" t="str">
        <f ca="1">IFERROR(__xludf.DUMMYFUNCTION("""COMPUTED_VALUE"""),"Lenovo")</f>
        <v>Lenovo</v>
      </c>
      <c r="C487" s="2" t="str">
        <f ca="1">IFERROR(__xludf.DUMMYFUNCTION("""COMPUTED_VALUE"""),"ThinkPad E480")</f>
        <v>ThinkPad E480</v>
      </c>
      <c r="D487" s="2" t="str">
        <f ca="1">IFERROR(__xludf.DUMMYFUNCTION("""COMPUTED_VALUE"""),"Notebook")</f>
        <v>Notebook</v>
      </c>
      <c r="E487" s="2">
        <f ca="1">IFERROR(__xludf.DUMMYFUNCTION("""COMPUTED_VALUE"""),14)</f>
        <v>14</v>
      </c>
      <c r="F487" s="2" t="str">
        <f ca="1">IFERROR(__xludf.DUMMYFUNCTION("""COMPUTED_VALUE"""),"IPS Panel Full HD 1920x1080")</f>
        <v>IPS Panel Full HD 1920x1080</v>
      </c>
      <c r="G487" s="2" t="str">
        <f ca="1">IFERROR(__xludf.DUMMYFUNCTION("""COMPUTED_VALUE"""),"Intel Core i5 8250U 1.6GHz")</f>
        <v>Intel Core i5 8250U 1.6GHz</v>
      </c>
      <c r="H487" s="2" t="str">
        <f ca="1">IFERROR(__xludf.DUMMYFUNCTION("""COMPUTED_VALUE"""),"8GB")</f>
        <v>8GB</v>
      </c>
      <c r="I487" s="2" t="str">
        <f ca="1">IFERROR(__xludf.DUMMYFUNCTION("""COMPUTED_VALUE"""),"256GB SSD")</f>
        <v>256GB SSD</v>
      </c>
      <c r="J487" s="2" t="str">
        <f ca="1">IFERROR(__xludf.DUMMYFUNCTION("""COMPUTED_VALUE"""),"Intel UHD Graphics 620")</f>
        <v>Intel UHD Graphics 620</v>
      </c>
      <c r="K487" s="2" t="str">
        <f ca="1">IFERROR(__xludf.DUMMYFUNCTION("""COMPUTED_VALUE"""),"Windows 10")</f>
        <v>Windows 10</v>
      </c>
      <c r="L487" s="2" t="str">
        <f ca="1">IFERROR(__xludf.DUMMYFUNCTION("""COMPUTED_VALUE"""),"1.75kg")</f>
        <v>1.75kg</v>
      </c>
      <c r="M487" s="2">
        <f ca="1">IFERROR(__xludf.DUMMYFUNCTION("""COMPUTED_VALUE"""),1049)</f>
        <v>1049</v>
      </c>
    </row>
    <row r="488" spans="1:13">
      <c r="A488" s="2">
        <f ca="1">IFERROR(__xludf.DUMMYFUNCTION("""COMPUTED_VALUE"""),493)</f>
        <v>493</v>
      </c>
      <c r="B488" s="2" t="str">
        <f ca="1">IFERROR(__xludf.DUMMYFUNCTION("""COMPUTED_VALUE"""),"Dell")</f>
        <v>Dell</v>
      </c>
      <c r="C488" s="2" t="str">
        <f ca="1">IFERROR(__xludf.DUMMYFUNCTION("""COMPUTED_VALUE"""),"Precision 3520")</f>
        <v>Precision 3520</v>
      </c>
      <c r="D488" s="2" t="str">
        <f ca="1">IFERROR(__xludf.DUMMYFUNCTION("""COMPUTED_VALUE"""),"Workstation")</f>
        <v>Workstation</v>
      </c>
      <c r="E488" s="2">
        <f ca="1">IFERROR(__xludf.DUMMYFUNCTION("""COMPUTED_VALUE"""),15.6)</f>
        <v>15.6</v>
      </c>
      <c r="F488" s="2" t="str">
        <f ca="1">IFERROR(__xludf.DUMMYFUNCTION("""COMPUTED_VALUE"""),"IPS Panel Full HD 1920x1080")</f>
        <v>IPS Panel Full HD 1920x1080</v>
      </c>
      <c r="G488" s="2" t="str">
        <f ca="1">IFERROR(__xludf.DUMMYFUNCTION("""COMPUTED_VALUE"""),"Intel Core i7 6820HQ 2.7GHz")</f>
        <v>Intel Core i7 6820HQ 2.7GHz</v>
      </c>
      <c r="H488" s="2" t="str">
        <f ca="1">IFERROR(__xludf.DUMMYFUNCTION("""COMPUTED_VALUE"""),"16GB")</f>
        <v>16GB</v>
      </c>
      <c r="I488" s="2" t="str">
        <f ca="1">IFERROR(__xludf.DUMMYFUNCTION("""COMPUTED_VALUE"""),"512GB SSD")</f>
        <v>512GB SSD</v>
      </c>
      <c r="J488" s="2" t="str">
        <f ca="1">IFERROR(__xludf.DUMMYFUNCTION("""COMPUTED_VALUE"""),"Nvidia Quadro M620")</f>
        <v>Nvidia Quadro M620</v>
      </c>
      <c r="K488" s="2" t="str">
        <f ca="1">IFERROR(__xludf.DUMMYFUNCTION("""COMPUTED_VALUE"""),"Windows 10")</f>
        <v>Windows 10</v>
      </c>
      <c r="L488" s="2" t="str">
        <f ca="1">IFERROR(__xludf.DUMMYFUNCTION("""COMPUTED_VALUE"""),"2.17kg")</f>
        <v>2.17kg</v>
      </c>
      <c r="M488" s="2">
        <f ca="1">IFERROR(__xludf.DUMMYFUNCTION("""COMPUTED_VALUE"""),2338)</f>
        <v>2338</v>
      </c>
    </row>
    <row r="489" spans="1:13">
      <c r="A489" s="2">
        <f ca="1">IFERROR(__xludf.DUMMYFUNCTION("""COMPUTED_VALUE"""),494)</f>
        <v>494</v>
      </c>
      <c r="B489" s="2" t="str">
        <f ca="1">IFERROR(__xludf.DUMMYFUNCTION("""COMPUTED_VALUE"""),"Dell")</f>
        <v>Dell</v>
      </c>
      <c r="C489" s="2" t="str">
        <f ca="1">IFERROR(__xludf.DUMMYFUNCTION("""COMPUTED_VALUE"""),"XPS 15")</f>
        <v>XPS 15</v>
      </c>
      <c r="D489" s="2" t="str">
        <f ca="1">IFERROR(__xludf.DUMMYFUNCTION("""COMPUTED_VALUE"""),"Notebook")</f>
        <v>Notebook</v>
      </c>
      <c r="E489" s="2">
        <f ca="1">IFERROR(__xludf.DUMMYFUNCTION("""COMPUTED_VALUE"""),15.6)</f>
        <v>15.6</v>
      </c>
      <c r="F489" s="2" t="str">
        <f ca="1">IFERROR(__xludf.DUMMYFUNCTION("""COMPUTED_VALUE"""),"Full HD 1920x1080")</f>
        <v>Full HD 1920x1080</v>
      </c>
      <c r="G489" s="2" t="str">
        <f ca="1">IFERROR(__xludf.DUMMYFUNCTION("""COMPUTED_VALUE"""),"Intel Core i7 7700HQ 2.8GHz")</f>
        <v>Intel Core i7 7700HQ 2.8GHz</v>
      </c>
      <c r="H489" s="2" t="str">
        <f ca="1">IFERROR(__xludf.DUMMYFUNCTION("""COMPUTED_VALUE"""),"16GB")</f>
        <v>16GB</v>
      </c>
      <c r="I489" s="2" t="str">
        <f ca="1">IFERROR(__xludf.DUMMYFUNCTION("""COMPUTED_VALUE"""),"512GB SSD")</f>
        <v>512GB SSD</v>
      </c>
      <c r="J489" s="2" t="str">
        <f ca="1">IFERROR(__xludf.DUMMYFUNCTION("""COMPUTED_VALUE"""),"Nvidia GeForce GTX 1050")</f>
        <v>Nvidia GeForce GTX 1050</v>
      </c>
      <c r="K489" s="2" t="str">
        <f ca="1">IFERROR(__xludf.DUMMYFUNCTION("""COMPUTED_VALUE"""),"Windows 10")</f>
        <v>Windows 10</v>
      </c>
      <c r="L489" s="2" t="str">
        <f ca="1">IFERROR(__xludf.DUMMYFUNCTION("""COMPUTED_VALUE"""),"2.06kg")</f>
        <v>2.06kg</v>
      </c>
      <c r="M489" s="2">
        <f ca="1">IFERROR(__xludf.DUMMYFUNCTION("""COMPUTED_VALUE"""),1899)</f>
        <v>1899</v>
      </c>
    </row>
    <row r="490" spans="1:13">
      <c r="A490" s="2">
        <f ca="1">IFERROR(__xludf.DUMMYFUNCTION("""COMPUTED_VALUE"""),495)</f>
        <v>495</v>
      </c>
      <c r="B490" s="2" t="str">
        <f ca="1">IFERROR(__xludf.DUMMYFUNCTION("""COMPUTED_VALUE"""),"Lenovo")</f>
        <v>Lenovo</v>
      </c>
      <c r="C490" s="2" t="str">
        <f ca="1">IFERROR(__xludf.DUMMYFUNCTION("""COMPUTED_VALUE"""),"Thinkpad X270")</f>
        <v>Thinkpad X270</v>
      </c>
      <c r="D490" s="2" t="str">
        <f ca="1">IFERROR(__xludf.DUMMYFUNCTION("""COMPUTED_VALUE"""),"Ultrabook")</f>
        <v>Ultrabook</v>
      </c>
      <c r="E490" s="2">
        <f ca="1">IFERROR(__xludf.DUMMYFUNCTION("""COMPUTED_VALUE"""),12.5)</f>
        <v>12.5</v>
      </c>
      <c r="F490" s="2" t="str">
        <f ca="1">IFERROR(__xludf.DUMMYFUNCTION("""COMPUTED_VALUE"""),"IPS Panel Full HD 1920x1080")</f>
        <v>IPS Panel Full HD 1920x1080</v>
      </c>
      <c r="G490" s="2" t="str">
        <f ca="1">IFERROR(__xludf.DUMMYFUNCTION("""COMPUTED_VALUE"""),"Intel Core i7 7500U 2.7GHz")</f>
        <v>Intel Core i7 7500U 2.7GHz</v>
      </c>
      <c r="H490" s="2" t="str">
        <f ca="1">IFERROR(__xludf.DUMMYFUNCTION("""COMPUTED_VALUE"""),"16GB")</f>
        <v>16GB</v>
      </c>
      <c r="I490" s="2" t="str">
        <f ca="1">IFERROR(__xludf.DUMMYFUNCTION("""COMPUTED_VALUE"""),"512GB SSD")</f>
        <v>512GB SSD</v>
      </c>
      <c r="J490" s="2" t="str">
        <f ca="1">IFERROR(__xludf.DUMMYFUNCTION("""COMPUTED_VALUE"""),"Intel HD Graphics 620")</f>
        <v>Intel HD Graphics 620</v>
      </c>
      <c r="K490" s="2" t="str">
        <f ca="1">IFERROR(__xludf.DUMMYFUNCTION("""COMPUTED_VALUE"""),"Windows 10")</f>
        <v>Windows 10</v>
      </c>
      <c r="L490" s="2" t="str">
        <f ca="1">IFERROR(__xludf.DUMMYFUNCTION("""COMPUTED_VALUE"""),"1.36kg")</f>
        <v>1.36kg</v>
      </c>
      <c r="M490" s="2">
        <f ca="1">IFERROR(__xludf.DUMMYFUNCTION("""COMPUTED_VALUE"""),1798)</f>
        <v>1798</v>
      </c>
    </row>
    <row r="491" spans="1:13">
      <c r="A491" s="2">
        <f ca="1">IFERROR(__xludf.DUMMYFUNCTION("""COMPUTED_VALUE"""),496)</f>
        <v>496</v>
      </c>
      <c r="B491" s="2" t="str">
        <f ca="1">IFERROR(__xludf.DUMMYFUNCTION("""COMPUTED_VALUE"""),"Asus")</f>
        <v>Asus</v>
      </c>
      <c r="C491" s="2" t="str">
        <f ca="1">IFERROR(__xludf.DUMMYFUNCTION("""COMPUTED_VALUE"""),"Zenbook UX390UA")</f>
        <v>Zenbook UX390UA</v>
      </c>
      <c r="D491" s="2" t="str">
        <f ca="1">IFERROR(__xludf.DUMMYFUNCTION("""COMPUTED_VALUE"""),"Ultrabook")</f>
        <v>Ultrabook</v>
      </c>
      <c r="E491" s="2">
        <f ca="1">IFERROR(__xludf.DUMMYFUNCTION("""COMPUTED_VALUE"""),12.5)</f>
        <v>12.5</v>
      </c>
      <c r="F491" s="2" t="str">
        <f ca="1">IFERROR(__xludf.DUMMYFUNCTION("""COMPUTED_VALUE"""),"Full HD 1920x1080")</f>
        <v>Full HD 1920x1080</v>
      </c>
      <c r="G491" s="2" t="str">
        <f ca="1">IFERROR(__xludf.DUMMYFUNCTION("""COMPUTED_VALUE"""),"Intel Core i7 7500U 2.7GHz")</f>
        <v>Intel Core i7 7500U 2.7GHz</v>
      </c>
      <c r="H491" s="2" t="str">
        <f ca="1">IFERROR(__xludf.DUMMYFUNCTION("""COMPUTED_VALUE"""),"16GB")</f>
        <v>16GB</v>
      </c>
      <c r="I491" s="2" t="str">
        <f ca="1">IFERROR(__xludf.DUMMYFUNCTION("""COMPUTED_VALUE"""),"512GB SSD")</f>
        <v>512GB SSD</v>
      </c>
      <c r="J491" s="2" t="str">
        <f ca="1">IFERROR(__xludf.DUMMYFUNCTION("""COMPUTED_VALUE"""),"Intel HD Graphics 620")</f>
        <v>Intel HD Graphics 620</v>
      </c>
      <c r="K491" s="2" t="str">
        <f ca="1">IFERROR(__xludf.DUMMYFUNCTION("""COMPUTED_VALUE"""),"Windows 10")</f>
        <v>Windows 10</v>
      </c>
      <c r="L491" s="2" t="str">
        <f ca="1">IFERROR(__xludf.DUMMYFUNCTION("""COMPUTED_VALUE"""),"0.91kg")</f>
        <v>0.91kg</v>
      </c>
      <c r="M491" s="2">
        <f ca="1">IFERROR(__xludf.DUMMYFUNCTION("""COMPUTED_VALUE"""),1950)</f>
        <v>1950</v>
      </c>
    </row>
    <row r="492" spans="1:13">
      <c r="A492" s="2">
        <f ca="1">IFERROR(__xludf.DUMMYFUNCTION("""COMPUTED_VALUE"""),497)</f>
        <v>497</v>
      </c>
      <c r="B492" s="2" t="str">
        <f ca="1">IFERROR(__xludf.DUMMYFUNCTION("""COMPUTED_VALUE"""),"Lenovo")</f>
        <v>Lenovo</v>
      </c>
      <c r="C492" s="2" t="str">
        <f ca="1">IFERROR(__xludf.DUMMYFUNCTION("""COMPUTED_VALUE"""),"Thinkpad E570")</f>
        <v>Thinkpad E570</v>
      </c>
      <c r="D492" s="2" t="str">
        <f ca="1">IFERROR(__xludf.DUMMYFUNCTION("""COMPUTED_VALUE"""),"Notebook")</f>
        <v>Notebook</v>
      </c>
      <c r="E492" s="2">
        <f ca="1">IFERROR(__xludf.DUMMYFUNCTION("""COMPUTED_VALUE"""),15.6)</f>
        <v>15.6</v>
      </c>
      <c r="F492" s="2" t="str">
        <f ca="1">IFERROR(__xludf.DUMMYFUNCTION("""COMPUTED_VALUE"""),"IPS Panel Full HD 1920x1080")</f>
        <v>IPS Panel Full HD 1920x1080</v>
      </c>
      <c r="G492" s="2" t="str">
        <f ca="1">IFERROR(__xludf.DUMMYFUNCTION("""COMPUTED_VALUE"""),"Intel Core i5 7200U 2.5GHz")</f>
        <v>Intel Core i5 7200U 2.5GHz</v>
      </c>
      <c r="H492" s="2" t="str">
        <f ca="1">IFERROR(__xludf.DUMMYFUNCTION("""COMPUTED_VALUE"""),"8GB")</f>
        <v>8GB</v>
      </c>
      <c r="I492" s="2" t="str">
        <f ca="1">IFERROR(__xludf.DUMMYFUNCTION("""COMPUTED_VALUE"""),"256GB SSD")</f>
        <v>256GB SSD</v>
      </c>
      <c r="J492" s="2" t="str">
        <f ca="1">IFERROR(__xludf.DUMMYFUNCTION("""COMPUTED_VALUE"""),"Nvidia GeForce 940MX")</f>
        <v>Nvidia GeForce 940MX</v>
      </c>
      <c r="K492" s="2" t="str">
        <f ca="1">IFERROR(__xludf.DUMMYFUNCTION("""COMPUTED_VALUE"""),"Windows 10")</f>
        <v>Windows 10</v>
      </c>
      <c r="L492" s="2" t="str">
        <f ca="1">IFERROR(__xludf.DUMMYFUNCTION("""COMPUTED_VALUE"""),"2.3kg")</f>
        <v>2.3kg</v>
      </c>
      <c r="M492" s="2">
        <f ca="1">IFERROR(__xludf.DUMMYFUNCTION("""COMPUTED_VALUE"""),1011.99)</f>
        <v>1011.99</v>
      </c>
    </row>
    <row r="493" spans="1:13">
      <c r="A493" s="2">
        <f ca="1">IFERROR(__xludf.DUMMYFUNCTION("""COMPUTED_VALUE"""),498)</f>
        <v>498</v>
      </c>
      <c r="B493" s="2" t="str">
        <f ca="1">IFERROR(__xludf.DUMMYFUNCTION("""COMPUTED_VALUE"""),"Toshiba")</f>
        <v>Toshiba</v>
      </c>
      <c r="C493" s="2" t="str">
        <f ca="1">IFERROR(__xludf.DUMMYFUNCTION("""COMPUTED_VALUE"""),"Portege X30-D-10L")</f>
        <v>Portege X30-D-10L</v>
      </c>
      <c r="D493" s="2" t="str">
        <f ca="1">IFERROR(__xludf.DUMMYFUNCTION("""COMPUTED_VALUE"""),"Ultrabook")</f>
        <v>Ultrabook</v>
      </c>
      <c r="E493" s="2">
        <f ca="1">IFERROR(__xludf.DUMMYFUNCTION("""COMPUTED_VALUE"""),13.3)</f>
        <v>13.3</v>
      </c>
      <c r="F493" s="2" t="str">
        <f ca="1">IFERROR(__xludf.DUMMYFUNCTION("""COMPUTED_VALUE"""),"Full HD / Touchscreen 1920x1080")</f>
        <v>Full HD / Touchscreen 1920x1080</v>
      </c>
      <c r="G493" s="2" t="str">
        <f ca="1">IFERROR(__xludf.DUMMYFUNCTION("""COMPUTED_VALUE"""),"Intel Core i7 7500U 2.7GHz")</f>
        <v>Intel Core i7 7500U 2.7GHz</v>
      </c>
      <c r="H493" s="2" t="str">
        <f ca="1">IFERROR(__xludf.DUMMYFUNCTION("""COMPUTED_VALUE"""),"32GB")</f>
        <v>32GB</v>
      </c>
      <c r="I493" s="2" t="str">
        <f ca="1">IFERROR(__xludf.DUMMYFUNCTION("""COMPUTED_VALUE"""),"512GB SSD")</f>
        <v>512GB SSD</v>
      </c>
      <c r="J493" s="2" t="str">
        <f ca="1">IFERROR(__xludf.DUMMYFUNCTION("""COMPUTED_VALUE"""),"Intel HD Graphics 620")</f>
        <v>Intel HD Graphics 620</v>
      </c>
      <c r="K493" s="2" t="str">
        <f ca="1">IFERROR(__xludf.DUMMYFUNCTION("""COMPUTED_VALUE"""),"Windows 10")</f>
        <v>Windows 10</v>
      </c>
      <c r="L493" s="2" t="str">
        <f ca="1">IFERROR(__xludf.DUMMYFUNCTION("""COMPUTED_VALUE"""),"1.05kg")</f>
        <v>1.05kg</v>
      </c>
      <c r="M493" s="2">
        <f ca="1">IFERROR(__xludf.DUMMYFUNCTION("""COMPUTED_VALUE"""),2799)</f>
        <v>2799</v>
      </c>
    </row>
    <row r="494" spans="1:13">
      <c r="A494" s="2">
        <f ca="1">IFERROR(__xludf.DUMMYFUNCTION("""COMPUTED_VALUE"""),499)</f>
        <v>499</v>
      </c>
      <c r="B494" s="2" t="str">
        <f ca="1">IFERROR(__xludf.DUMMYFUNCTION("""COMPUTED_VALUE"""),"Asus")</f>
        <v>Asus</v>
      </c>
      <c r="C494" s="2" t="str">
        <f ca="1">IFERROR(__xludf.DUMMYFUNCTION("""COMPUTED_VALUE"""),"VivoBook Pro")</f>
        <v>VivoBook Pro</v>
      </c>
      <c r="D494" s="2" t="str">
        <f ca="1">IFERROR(__xludf.DUMMYFUNCTION("""COMPUTED_VALUE"""),"Gaming")</f>
        <v>Gaming</v>
      </c>
      <c r="E494" s="2">
        <f ca="1">IFERROR(__xludf.DUMMYFUNCTION("""COMPUTED_VALUE"""),15.6)</f>
        <v>15.6</v>
      </c>
      <c r="F494" s="2" t="str">
        <f ca="1">IFERROR(__xludf.DUMMYFUNCTION("""COMPUTED_VALUE"""),"Full HD 1920x1080")</f>
        <v>Full HD 1920x1080</v>
      </c>
      <c r="G494" s="2" t="str">
        <f ca="1">IFERROR(__xludf.DUMMYFUNCTION("""COMPUTED_VALUE"""),"Intel Core i7 7700HQ 2.8GHz")</f>
        <v>Intel Core i7 7700HQ 2.8GHz</v>
      </c>
      <c r="H494" s="2" t="str">
        <f ca="1">IFERROR(__xludf.DUMMYFUNCTION("""COMPUTED_VALUE"""),"8GB")</f>
        <v>8GB</v>
      </c>
      <c r="I494" s="2" t="str">
        <f ca="1">IFERROR(__xludf.DUMMYFUNCTION("""COMPUTED_VALUE"""),"128GB SSD +  1TB HDD")</f>
        <v>128GB SSD +  1TB HDD</v>
      </c>
      <c r="J494" s="2" t="str">
        <f ca="1">IFERROR(__xludf.DUMMYFUNCTION("""COMPUTED_VALUE"""),"Nvidia GeForce GTX 1050")</f>
        <v>Nvidia GeForce GTX 1050</v>
      </c>
      <c r="K494" s="2" t="str">
        <f ca="1">IFERROR(__xludf.DUMMYFUNCTION("""COMPUTED_VALUE"""),"Windows 10")</f>
        <v>Windows 10</v>
      </c>
      <c r="L494" s="2" t="str">
        <f ca="1">IFERROR(__xludf.DUMMYFUNCTION("""COMPUTED_VALUE"""),"1.99kg")</f>
        <v>1.99kg</v>
      </c>
      <c r="M494" s="2">
        <f ca="1">IFERROR(__xludf.DUMMYFUNCTION("""COMPUTED_VALUE"""),1350)</f>
        <v>1350</v>
      </c>
    </row>
    <row r="495" spans="1:13">
      <c r="A495" s="2">
        <f ca="1">IFERROR(__xludf.DUMMYFUNCTION("""COMPUTED_VALUE"""),500)</f>
        <v>500</v>
      </c>
      <c r="B495" s="2" t="str">
        <f ca="1">IFERROR(__xludf.DUMMYFUNCTION("""COMPUTED_VALUE"""),"Acer")</f>
        <v>Acer</v>
      </c>
      <c r="C495" s="2" t="str">
        <f ca="1">IFERROR(__xludf.DUMMYFUNCTION("""COMPUTED_VALUE"""),"Aspire 5")</f>
        <v>Aspire 5</v>
      </c>
      <c r="D495" s="2" t="str">
        <f ca="1">IFERROR(__xludf.DUMMYFUNCTION("""COMPUTED_VALUE"""),"Notebook")</f>
        <v>Notebook</v>
      </c>
      <c r="E495" s="2">
        <f ca="1">IFERROR(__xludf.DUMMYFUNCTION("""COMPUTED_VALUE"""),15.6)</f>
        <v>15.6</v>
      </c>
      <c r="F495" s="2" t="str">
        <f ca="1">IFERROR(__xludf.DUMMYFUNCTION("""COMPUTED_VALUE"""),"1366x768")</f>
        <v>1366x768</v>
      </c>
      <c r="G495" s="2" t="str">
        <f ca="1">IFERROR(__xludf.DUMMYFUNCTION("""COMPUTED_VALUE"""),"AMD A10-Series 9620P 2.5GHz")</f>
        <v>AMD A10-Series 9620P 2.5GHz</v>
      </c>
      <c r="H495" s="2" t="str">
        <f ca="1">IFERROR(__xludf.DUMMYFUNCTION("""COMPUTED_VALUE"""),"8GB")</f>
        <v>8GB</v>
      </c>
      <c r="I495" s="2" t="str">
        <f ca="1">IFERROR(__xludf.DUMMYFUNCTION("""COMPUTED_VALUE"""),"1TB HDD")</f>
        <v>1TB HDD</v>
      </c>
      <c r="J495" s="2" t="str">
        <f ca="1">IFERROR(__xludf.DUMMYFUNCTION("""COMPUTED_VALUE"""),"AMD Radeon RX 540")</f>
        <v>AMD Radeon RX 540</v>
      </c>
      <c r="K495" s="2" t="str">
        <f ca="1">IFERROR(__xludf.DUMMYFUNCTION("""COMPUTED_VALUE"""),"Windows 10")</f>
        <v>Windows 10</v>
      </c>
      <c r="L495" s="2" t="str">
        <f ca="1">IFERROR(__xludf.DUMMYFUNCTION("""COMPUTED_VALUE"""),"2.2kg")</f>
        <v>2.2kg</v>
      </c>
      <c r="M495" s="2">
        <f ca="1">IFERROR(__xludf.DUMMYFUNCTION("""COMPUTED_VALUE"""),579)</f>
        <v>579</v>
      </c>
    </row>
    <row r="496" spans="1:13">
      <c r="A496" s="2">
        <f ca="1">IFERROR(__xludf.DUMMYFUNCTION("""COMPUTED_VALUE"""),501)</f>
        <v>501</v>
      </c>
      <c r="B496" s="2" t="str">
        <f ca="1">IFERROR(__xludf.DUMMYFUNCTION("""COMPUTED_VALUE"""),"Asus")</f>
        <v>Asus</v>
      </c>
      <c r="C496" s="2" t="str">
        <f ca="1">IFERROR(__xludf.DUMMYFUNCTION("""COMPUTED_VALUE"""),"Rog G752VL-UH71T")</f>
        <v>Rog G752VL-UH71T</v>
      </c>
      <c r="D496" s="2" t="str">
        <f ca="1">IFERROR(__xludf.DUMMYFUNCTION("""COMPUTED_VALUE"""),"Gaming")</f>
        <v>Gaming</v>
      </c>
      <c r="E496" s="2">
        <f ca="1">IFERROR(__xludf.DUMMYFUNCTION("""COMPUTED_VALUE"""),17.3)</f>
        <v>17.3</v>
      </c>
      <c r="F496" s="2" t="str">
        <f ca="1">IFERROR(__xludf.DUMMYFUNCTION("""COMPUTED_VALUE"""),"IPS Panel Full HD / Touchscreen 1920x1080")</f>
        <v>IPS Panel Full HD / Touchscreen 1920x1080</v>
      </c>
      <c r="G496" s="2" t="str">
        <f ca="1">IFERROR(__xludf.DUMMYFUNCTION("""COMPUTED_VALUE"""),"Intel Core i7 6700HQ 2.6GHz")</f>
        <v>Intel Core i7 6700HQ 2.6GHz</v>
      </c>
      <c r="H496" s="2" t="str">
        <f ca="1">IFERROR(__xludf.DUMMYFUNCTION("""COMPUTED_VALUE"""),"24GB")</f>
        <v>24GB</v>
      </c>
      <c r="I496" s="2" t="str">
        <f ca="1">IFERROR(__xludf.DUMMYFUNCTION("""COMPUTED_VALUE"""),"256GB SSD +  1TB HDD")</f>
        <v>256GB SSD +  1TB HDD</v>
      </c>
      <c r="J496" s="2" t="str">
        <f ca="1">IFERROR(__xludf.DUMMYFUNCTION("""COMPUTED_VALUE"""),"Nvidia GeForce GTX 965M")</f>
        <v>Nvidia GeForce GTX 965M</v>
      </c>
      <c r="K496" s="2" t="str">
        <f ca="1">IFERROR(__xludf.DUMMYFUNCTION("""COMPUTED_VALUE"""),"Windows 10")</f>
        <v>Windows 10</v>
      </c>
      <c r="L496" s="2" t="str">
        <f ca="1">IFERROR(__xludf.DUMMYFUNCTION("""COMPUTED_VALUE"""),"4.33kg")</f>
        <v>4.33kg</v>
      </c>
      <c r="M496" s="2">
        <f ca="1">IFERROR(__xludf.DUMMYFUNCTION("""COMPUTED_VALUE"""),1269)</f>
        <v>1269</v>
      </c>
    </row>
    <row r="497" spans="1:13">
      <c r="A497" s="2">
        <f ca="1">IFERROR(__xludf.DUMMYFUNCTION("""COMPUTED_VALUE"""),502)</f>
        <v>502</v>
      </c>
      <c r="B497" s="2" t="str">
        <f ca="1">IFERROR(__xludf.DUMMYFUNCTION("""COMPUTED_VALUE"""),"Lenovo")</f>
        <v>Lenovo</v>
      </c>
      <c r="C497" s="2" t="str">
        <f ca="1">IFERROR(__xludf.DUMMYFUNCTION("""COMPUTED_VALUE"""),"Thinkpad X260")</f>
        <v>Thinkpad X260</v>
      </c>
      <c r="D497" s="2" t="str">
        <f ca="1">IFERROR(__xludf.DUMMYFUNCTION("""COMPUTED_VALUE"""),"Ultrabook")</f>
        <v>Ultrabook</v>
      </c>
      <c r="E497" s="2">
        <f ca="1">IFERROR(__xludf.DUMMYFUNCTION("""COMPUTED_VALUE"""),12.5)</f>
        <v>12.5</v>
      </c>
      <c r="F497" s="2" t="str">
        <f ca="1">IFERROR(__xludf.DUMMYFUNCTION("""COMPUTED_VALUE"""),"IPS Panel 1366x768")</f>
        <v>IPS Panel 1366x768</v>
      </c>
      <c r="G497" s="2" t="str">
        <f ca="1">IFERROR(__xludf.DUMMYFUNCTION("""COMPUTED_VALUE"""),"Intel Core i5 6200U 2.3GHz")</f>
        <v>Intel Core i5 6200U 2.3GHz</v>
      </c>
      <c r="H497" s="2" t="str">
        <f ca="1">IFERROR(__xludf.DUMMYFUNCTION("""COMPUTED_VALUE"""),"8GB")</f>
        <v>8GB</v>
      </c>
      <c r="I497" s="2" t="str">
        <f ca="1">IFERROR(__xludf.DUMMYFUNCTION("""COMPUTED_VALUE"""),"180GB SSD")</f>
        <v>180GB SSD</v>
      </c>
      <c r="J497" s="2" t="str">
        <f ca="1">IFERROR(__xludf.DUMMYFUNCTION("""COMPUTED_VALUE"""),"Intel HD Graphics 520")</f>
        <v>Intel HD Graphics 520</v>
      </c>
      <c r="K497" s="2" t="str">
        <f ca="1">IFERROR(__xludf.DUMMYFUNCTION("""COMPUTED_VALUE"""),"Windows 10")</f>
        <v>Windows 10</v>
      </c>
      <c r="L497" s="2" t="str">
        <f ca="1">IFERROR(__xludf.DUMMYFUNCTION("""COMPUTED_VALUE"""),"1.3kg")</f>
        <v>1.3kg</v>
      </c>
      <c r="M497" s="2">
        <f ca="1">IFERROR(__xludf.DUMMYFUNCTION("""COMPUTED_VALUE"""),1099)</f>
        <v>1099</v>
      </c>
    </row>
    <row r="498" spans="1:13">
      <c r="A498" s="2">
        <f ca="1">IFERROR(__xludf.DUMMYFUNCTION("""COMPUTED_VALUE"""),503)</f>
        <v>503</v>
      </c>
      <c r="B498" s="2" t="str">
        <f ca="1">IFERROR(__xludf.DUMMYFUNCTION("""COMPUTED_VALUE"""),"Lenovo")</f>
        <v>Lenovo</v>
      </c>
      <c r="C498" s="2" t="str">
        <f ca="1">IFERROR(__xludf.DUMMYFUNCTION("""COMPUTED_VALUE"""),"Ideapad 520-15IKBR")</f>
        <v>Ideapad 520-15IKBR</v>
      </c>
      <c r="D498" s="2" t="str">
        <f ca="1">IFERROR(__xludf.DUMMYFUNCTION("""COMPUTED_VALUE"""),"Notebook")</f>
        <v>Notebook</v>
      </c>
      <c r="E498" s="2">
        <f ca="1">IFERROR(__xludf.DUMMYFUNCTION("""COMPUTED_VALUE"""),15.6)</f>
        <v>15.6</v>
      </c>
      <c r="F498" s="2" t="str">
        <f ca="1">IFERROR(__xludf.DUMMYFUNCTION("""COMPUTED_VALUE"""),"Full HD 1920x1080")</f>
        <v>Full HD 1920x1080</v>
      </c>
      <c r="G498" s="2" t="str">
        <f ca="1">IFERROR(__xludf.DUMMYFUNCTION("""COMPUTED_VALUE"""),"Intel Core i7 8550U 1.8GHz")</f>
        <v>Intel Core i7 8550U 1.8GHz</v>
      </c>
      <c r="H498" s="2" t="str">
        <f ca="1">IFERROR(__xludf.DUMMYFUNCTION("""COMPUTED_VALUE"""),"8GB")</f>
        <v>8GB</v>
      </c>
      <c r="I498" s="2" t="str">
        <f ca="1">IFERROR(__xludf.DUMMYFUNCTION("""COMPUTED_VALUE"""),"256GB SSD")</f>
        <v>256GB SSD</v>
      </c>
      <c r="J498" s="2" t="str">
        <f ca="1">IFERROR(__xludf.DUMMYFUNCTION("""COMPUTED_VALUE"""),"Intel UHD Graphics 620")</f>
        <v>Intel UHD Graphics 620</v>
      </c>
      <c r="K498" s="2" t="str">
        <f ca="1">IFERROR(__xludf.DUMMYFUNCTION("""COMPUTED_VALUE"""),"Windows 10")</f>
        <v>Windows 10</v>
      </c>
      <c r="L498" s="2" t="str">
        <f ca="1">IFERROR(__xludf.DUMMYFUNCTION("""COMPUTED_VALUE"""),"2.17kg")</f>
        <v>2.17kg</v>
      </c>
      <c r="M498" s="2">
        <f ca="1">IFERROR(__xludf.DUMMYFUNCTION("""COMPUTED_VALUE"""),898.9)</f>
        <v>898.9</v>
      </c>
    </row>
    <row r="499" spans="1:13">
      <c r="A499" s="2">
        <f ca="1">IFERROR(__xludf.DUMMYFUNCTION("""COMPUTED_VALUE"""),504)</f>
        <v>504</v>
      </c>
      <c r="B499" s="2" t="str">
        <f ca="1">IFERROR(__xludf.DUMMYFUNCTION("""COMPUTED_VALUE"""),"HP")</f>
        <v>HP</v>
      </c>
      <c r="C499" s="2" t="str">
        <f ca="1">IFERROR(__xludf.DUMMYFUNCTION("""COMPUTED_VALUE"""),"EliteBook 840")</f>
        <v>EliteBook 840</v>
      </c>
      <c r="D499" s="2" t="str">
        <f ca="1">IFERROR(__xludf.DUMMYFUNCTION("""COMPUTED_VALUE"""),"Notebook")</f>
        <v>Notebook</v>
      </c>
      <c r="E499" s="2">
        <f ca="1">IFERROR(__xludf.DUMMYFUNCTION("""COMPUTED_VALUE"""),14)</f>
        <v>14</v>
      </c>
      <c r="F499" s="2" t="str">
        <f ca="1">IFERROR(__xludf.DUMMYFUNCTION("""COMPUTED_VALUE"""),"Full HD 1920x1080")</f>
        <v>Full HD 1920x1080</v>
      </c>
      <c r="G499" s="2" t="str">
        <f ca="1">IFERROR(__xludf.DUMMYFUNCTION("""COMPUTED_VALUE"""),"Intel Core i7 7600U 2.8GHz")</f>
        <v>Intel Core i7 7600U 2.8GHz</v>
      </c>
      <c r="H499" s="2" t="str">
        <f ca="1">IFERROR(__xludf.DUMMYFUNCTION("""COMPUTED_VALUE"""),"8GB")</f>
        <v>8GB</v>
      </c>
      <c r="I499" s="2" t="str">
        <f ca="1">IFERROR(__xludf.DUMMYFUNCTION("""COMPUTED_VALUE"""),"1TB SSD")</f>
        <v>1TB SSD</v>
      </c>
      <c r="J499" s="2" t="str">
        <f ca="1">IFERROR(__xludf.DUMMYFUNCTION("""COMPUTED_VALUE"""),"Intel HD Graphics 620")</f>
        <v>Intel HD Graphics 620</v>
      </c>
      <c r="K499" s="2" t="str">
        <f ca="1">IFERROR(__xludf.DUMMYFUNCTION("""COMPUTED_VALUE"""),"Windows 10")</f>
        <v>Windows 10</v>
      </c>
      <c r="L499" s="2" t="str">
        <f ca="1">IFERROR(__xludf.DUMMYFUNCTION("""COMPUTED_VALUE"""),"1.48kg")</f>
        <v>1.48kg</v>
      </c>
      <c r="M499" s="2">
        <f ca="1">IFERROR(__xludf.DUMMYFUNCTION("""COMPUTED_VALUE"""),1749)</f>
        <v>1749</v>
      </c>
    </row>
    <row r="500" spans="1:13">
      <c r="A500" s="2">
        <f ca="1">IFERROR(__xludf.DUMMYFUNCTION("""COMPUTED_VALUE"""),505)</f>
        <v>505</v>
      </c>
      <c r="B500" s="2" t="str">
        <f ca="1">IFERROR(__xludf.DUMMYFUNCTION("""COMPUTED_VALUE"""),"Lenovo")</f>
        <v>Lenovo</v>
      </c>
      <c r="C500" s="2" t="str">
        <f ca="1">IFERROR(__xludf.DUMMYFUNCTION("""COMPUTED_VALUE"""),"ThinkPad 13")</f>
        <v>ThinkPad 13</v>
      </c>
      <c r="D500" s="2" t="str">
        <f ca="1">IFERROR(__xludf.DUMMYFUNCTION("""COMPUTED_VALUE"""),"Notebook")</f>
        <v>Notebook</v>
      </c>
      <c r="E500" s="2">
        <f ca="1">IFERROR(__xludf.DUMMYFUNCTION("""COMPUTED_VALUE"""),13.3)</f>
        <v>13.3</v>
      </c>
      <c r="F500" s="2" t="str">
        <f ca="1">IFERROR(__xludf.DUMMYFUNCTION("""COMPUTED_VALUE"""),"IPS Panel Full HD 1920x1080")</f>
        <v>IPS Panel Full HD 1920x1080</v>
      </c>
      <c r="G500" s="2" t="str">
        <f ca="1">IFERROR(__xludf.DUMMYFUNCTION("""COMPUTED_VALUE"""),"Intel Core i3 7100U 2.4GHz")</f>
        <v>Intel Core i3 7100U 2.4GHz</v>
      </c>
      <c r="H500" s="2" t="str">
        <f ca="1">IFERROR(__xludf.DUMMYFUNCTION("""COMPUTED_VALUE"""),"8GB")</f>
        <v>8GB</v>
      </c>
      <c r="I500" s="2" t="str">
        <f ca="1">IFERROR(__xludf.DUMMYFUNCTION("""COMPUTED_VALUE"""),"256GB SSD")</f>
        <v>256GB SSD</v>
      </c>
      <c r="J500" s="2" t="str">
        <f ca="1">IFERROR(__xludf.DUMMYFUNCTION("""COMPUTED_VALUE"""),"Intel HD Graphics 620")</f>
        <v>Intel HD Graphics 620</v>
      </c>
      <c r="K500" s="2" t="str">
        <f ca="1">IFERROR(__xludf.DUMMYFUNCTION("""COMPUTED_VALUE"""),"Windows 10")</f>
        <v>Windows 10</v>
      </c>
      <c r="L500" s="2" t="str">
        <f ca="1">IFERROR(__xludf.DUMMYFUNCTION("""COMPUTED_VALUE"""),"1.4kg")</f>
        <v>1.4kg</v>
      </c>
      <c r="M500" s="2">
        <f ca="1">IFERROR(__xludf.DUMMYFUNCTION("""COMPUTED_VALUE"""),949)</f>
        <v>949</v>
      </c>
    </row>
    <row r="501" spans="1:13">
      <c r="A501" s="2">
        <f ca="1">IFERROR(__xludf.DUMMYFUNCTION("""COMPUTED_VALUE"""),506)</f>
        <v>506</v>
      </c>
      <c r="B501" s="2" t="str">
        <f ca="1">IFERROR(__xludf.DUMMYFUNCTION("""COMPUTED_VALUE"""),"Lenovo")</f>
        <v>Lenovo</v>
      </c>
      <c r="C501" s="2" t="str">
        <f ca="1">IFERROR(__xludf.DUMMYFUNCTION("""COMPUTED_VALUE"""),"ThinkPad L570")</f>
        <v>ThinkPad L570</v>
      </c>
      <c r="D501" s="2" t="str">
        <f ca="1">IFERROR(__xludf.DUMMYFUNCTION("""COMPUTED_VALUE"""),"Notebook")</f>
        <v>Notebook</v>
      </c>
      <c r="E501" s="2">
        <f ca="1">IFERROR(__xludf.DUMMYFUNCTION("""COMPUTED_VALUE"""),15.6)</f>
        <v>15.6</v>
      </c>
      <c r="F501" s="2" t="str">
        <f ca="1">IFERROR(__xludf.DUMMYFUNCTION("""COMPUTED_VALUE"""),"IPS Panel Full HD 1920x1080")</f>
        <v>IPS Panel Full HD 1920x1080</v>
      </c>
      <c r="G501" s="2" t="str">
        <f ca="1">IFERROR(__xludf.DUMMYFUNCTION("""COMPUTED_VALUE"""),"Intel Core i5 7200U 2.5GHz")</f>
        <v>Intel Core i5 7200U 2.5GHz</v>
      </c>
      <c r="H501" s="2" t="str">
        <f ca="1">IFERROR(__xludf.DUMMYFUNCTION("""COMPUTED_VALUE"""),"8GB")</f>
        <v>8GB</v>
      </c>
      <c r="I501" s="2" t="str">
        <f ca="1">IFERROR(__xludf.DUMMYFUNCTION("""COMPUTED_VALUE"""),"256GB SSD")</f>
        <v>256GB SSD</v>
      </c>
      <c r="J501" s="2" t="str">
        <f ca="1">IFERROR(__xludf.DUMMYFUNCTION("""COMPUTED_VALUE"""),"Intel HD Graphics 620")</f>
        <v>Intel HD Graphics 620</v>
      </c>
      <c r="K501" s="2" t="str">
        <f ca="1">IFERROR(__xludf.DUMMYFUNCTION("""COMPUTED_VALUE"""),"Windows 10")</f>
        <v>Windows 10</v>
      </c>
      <c r="L501" s="2" t="str">
        <f ca="1">IFERROR(__xludf.DUMMYFUNCTION("""COMPUTED_VALUE"""),"2.3kg")</f>
        <v>2.3kg</v>
      </c>
      <c r="M501" s="2">
        <f ca="1">IFERROR(__xludf.DUMMYFUNCTION("""COMPUTED_VALUE"""),911)</f>
        <v>911</v>
      </c>
    </row>
    <row r="502" spans="1:13">
      <c r="A502" s="2">
        <f ca="1">IFERROR(__xludf.DUMMYFUNCTION("""COMPUTED_VALUE"""),507)</f>
        <v>507</v>
      </c>
      <c r="B502" s="2" t="str">
        <f ca="1">IFERROR(__xludf.DUMMYFUNCTION("""COMPUTED_VALUE"""),"Asus")</f>
        <v>Asus</v>
      </c>
      <c r="C502" s="2" t="str">
        <f ca="1">IFERROR(__xludf.DUMMYFUNCTION("""COMPUTED_VALUE"""),"VivoBook E201NA")</f>
        <v>VivoBook E201NA</v>
      </c>
      <c r="D502" s="2" t="str">
        <f ca="1">IFERROR(__xludf.DUMMYFUNCTION("""COMPUTED_VALUE"""),"Netbook")</f>
        <v>Netbook</v>
      </c>
      <c r="E502" s="2">
        <f ca="1">IFERROR(__xludf.DUMMYFUNCTION("""COMPUTED_VALUE"""),11.6)</f>
        <v>11.6</v>
      </c>
      <c r="F502" s="2" t="str">
        <f ca="1">IFERROR(__xludf.DUMMYFUNCTION("""COMPUTED_VALUE"""),"1366x768")</f>
        <v>1366x768</v>
      </c>
      <c r="G502" s="2" t="str">
        <f ca="1">IFERROR(__xludf.DUMMYFUNCTION("""COMPUTED_VALUE"""),"Intel Celeron Dual Core N3350 1.1GHz")</f>
        <v>Intel Celeron Dual Core N3350 1.1GHz</v>
      </c>
      <c r="H502" s="2" t="str">
        <f ca="1">IFERROR(__xludf.DUMMYFUNCTION("""COMPUTED_VALUE"""),"4GB")</f>
        <v>4GB</v>
      </c>
      <c r="I502" s="2" t="str">
        <f ca="1">IFERROR(__xludf.DUMMYFUNCTION("""COMPUTED_VALUE"""),"64GB Flash Storage")</f>
        <v>64GB Flash Storage</v>
      </c>
      <c r="J502" s="2" t="str">
        <f ca="1">IFERROR(__xludf.DUMMYFUNCTION("""COMPUTED_VALUE"""),"Intel HD Graphics 500")</f>
        <v>Intel HD Graphics 500</v>
      </c>
      <c r="K502" s="2" t="str">
        <f ca="1">IFERROR(__xludf.DUMMYFUNCTION("""COMPUTED_VALUE"""),"Windows 10 S")</f>
        <v>Windows 10 S</v>
      </c>
      <c r="L502" s="2" t="str">
        <f ca="1">IFERROR(__xludf.DUMMYFUNCTION("""COMPUTED_VALUE"""),"1.2kg")</f>
        <v>1.2kg</v>
      </c>
      <c r="M502" s="2">
        <f ca="1">IFERROR(__xludf.DUMMYFUNCTION("""COMPUTED_VALUE"""),340)</f>
        <v>340</v>
      </c>
    </row>
    <row r="503" spans="1:13">
      <c r="A503" s="2">
        <f ca="1">IFERROR(__xludf.DUMMYFUNCTION("""COMPUTED_VALUE"""),508)</f>
        <v>508</v>
      </c>
      <c r="B503" s="2" t="str">
        <f ca="1">IFERROR(__xludf.DUMMYFUNCTION("""COMPUTED_VALUE"""),"HP")</f>
        <v>HP</v>
      </c>
      <c r="C503" s="2" t="str">
        <f ca="1">IFERROR(__xludf.DUMMYFUNCTION("""COMPUTED_VALUE"""),"15-BS026nv (i5-7200U/8GB/256GB/Radeon")</f>
        <v>15-BS026nv (i5-7200U/8GB/256GB/Radeon</v>
      </c>
      <c r="D503" s="2" t="str">
        <f ca="1">IFERROR(__xludf.DUMMYFUNCTION("""COMPUTED_VALUE"""),"Notebook")</f>
        <v>Notebook</v>
      </c>
      <c r="E503" s="2">
        <f ca="1">IFERROR(__xludf.DUMMYFUNCTION("""COMPUTED_VALUE"""),15.6)</f>
        <v>15.6</v>
      </c>
      <c r="F503" s="2" t="str">
        <f ca="1">IFERROR(__xludf.DUMMYFUNCTION("""COMPUTED_VALUE"""),"1366x768")</f>
        <v>1366x768</v>
      </c>
      <c r="G503" s="2" t="str">
        <f ca="1">IFERROR(__xludf.DUMMYFUNCTION("""COMPUTED_VALUE"""),"Intel Core i5 7200U 2.5GHz")</f>
        <v>Intel Core i5 7200U 2.5GHz</v>
      </c>
      <c r="H503" s="2" t="str">
        <f ca="1">IFERROR(__xludf.DUMMYFUNCTION("""COMPUTED_VALUE"""),"8GB")</f>
        <v>8GB</v>
      </c>
      <c r="I503" s="2" t="str">
        <f ca="1">IFERROR(__xludf.DUMMYFUNCTION("""COMPUTED_VALUE"""),"256GB SSD")</f>
        <v>256GB SSD</v>
      </c>
      <c r="J503" s="2" t="str">
        <f ca="1">IFERROR(__xludf.DUMMYFUNCTION("""COMPUTED_VALUE"""),"AMD Radeon 520")</f>
        <v>AMD Radeon 520</v>
      </c>
      <c r="K503" s="2" t="str">
        <f ca="1">IFERROR(__xludf.DUMMYFUNCTION("""COMPUTED_VALUE"""),"Windows 10")</f>
        <v>Windows 10</v>
      </c>
      <c r="L503" s="2" t="str">
        <f ca="1">IFERROR(__xludf.DUMMYFUNCTION("""COMPUTED_VALUE"""),"1.91kg")</f>
        <v>1.91kg</v>
      </c>
      <c r="M503" s="2">
        <f ca="1">IFERROR(__xludf.DUMMYFUNCTION("""COMPUTED_VALUE"""),618.99)</f>
        <v>618.99</v>
      </c>
    </row>
    <row r="504" spans="1:13">
      <c r="A504" s="2">
        <f ca="1">IFERROR(__xludf.DUMMYFUNCTION("""COMPUTED_VALUE"""),509)</f>
        <v>509</v>
      </c>
      <c r="B504" s="2" t="str">
        <f ca="1">IFERROR(__xludf.DUMMYFUNCTION("""COMPUTED_VALUE"""),"Lenovo")</f>
        <v>Lenovo</v>
      </c>
      <c r="C504" s="2" t="str">
        <f ca="1">IFERROR(__xludf.DUMMYFUNCTION("""COMPUTED_VALUE"""),"Yoga 920-13IKB")</f>
        <v>Yoga 920-13IKB</v>
      </c>
      <c r="D504" s="2" t="str">
        <f ca="1">IFERROR(__xludf.DUMMYFUNCTION("""COMPUTED_VALUE"""),"2 in 1 Convertible")</f>
        <v>2 in 1 Convertible</v>
      </c>
      <c r="E504" s="2">
        <f ca="1">IFERROR(__xludf.DUMMYFUNCTION("""COMPUTED_VALUE"""),13.9)</f>
        <v>13.9</v>
      </c>
      <c r="F504" s="2" t="str">
        <f ca="1">IFERROR(__xludf.DUMMYFUNCTION("""COMPUTED_VALUE"""),"IPS Panel Full HD / Touchscreen 1920x1080")</f>
        <v>IPS Panel Full HD / Touchscreen 1920x1080</v>
      </c>
      <c r="G504" s="2" t="str">
        <f ca="1">IFERROR(__xludf.DUMMYFUNCTION("""COMPUTED_VALUE"""),"Intel Core i5 8250U 1.6GHz")</f>
        <v>Intel Core i5 8250U 1.6GHz</v>
      </c>
      <c r="H504" s="2" t="str">
        <f ca="1">IFERROR(__xludf.DUMMYFUNCTION("""COMPUTED_VALUE"""),"8GB")</f>
        <v>8GB</v>
      </c>
      <c r="I504" s="2" t="str">
        <f ca="1">IFERROR(__xludf.DUMMYFUNCTION("""COMPUTED_VALUE"""),"256GB SSD")</f>
        <v>256GB SSD</v>
      </c>
      <c r="J504" s="2" t="str">
        <f ca="1">IFERROR(__xludf.DUMMYFUNCTION("""COMPUTED_VALUE"""),"Intel UHD Graphics 620")</f>
        <v>Intel UHD Graphics 620</v>
      </c>
      <c r="K504" s="2" t="str">
        <f ca="1">IFERROR(__xludf.DUMMYFUNCTION("""COMPUTED_VALUE"""),"Windows 10")</f>
        <v>Windows 10</v>
      </c>
      <c r="L504" s="2" t="str">
        <f ca="1">IFERROR(__xludf.DUMMYFUNCTION("""COMPUTED_VALUE"""),"1.4kg")</f>
        <v>1.4kg</v>
      </c>
      <c r="M504" s="2">
        <f ca="1">IFERROR(__xludf.DUMMYFUNCTION("""COMPUTED_VALUE"""),1599)</f>
        <v>1599</v>
      </c>
    </row>
    <row r="505" spans="1:13">
      <c r="A505" s="2">
        <f ca="1">IFERROR(__xludf.DUMMYFUNCTION("""COMPUTED_VALUE"""),510)</f>
        <v>510</v>
      </c>
      <c r="B505" s="2" t="str">
        <f ca="1">IFERROR(__xludf.DUMMYFUNCTION("""COMPUTED_VALUE"""),"Lenovo")</f>
        <v>Lenovo</v>
      </c>
      <c r="C505" s="2" t="str">
        <f ca="1">IFERROR(__xludf.DUMMYFUNCTION("""COMPUTED_VALUE"""),"IdeaPad 320-14IAP")</f>
        <v>IdeaPad 320-14IAP</v>
      </c>
      <c r="D505" s="2" t="str">
        <f ca="1">IFERROR(__xludf.DUMMYFUNCTION("""COMPUTED_VALUE"""),"Notebook")</f>
        <v>Notebook</v>
      </c>
      <c r="E505" s="2">
        <f ca="1">IFERROR(__xludf.DUMMYFUNCTION("""COMPUTED_VALUE"""),14)</f>
        <v>14</v>
      </c>
      <c r="F505" s="2" t="str">
        <f ca="1">IFERROR(__xludf.DUMMYFUNCTION("""COMPUTED_VALUE"""),"1366x768")</f>
        <v>1366x768</v>
      </c>
      <c r="G505" s="2" t="str">
        <f ca="1">IFERROR(__xludf.DUMMYFUNCTION("""COMPUTED_VALUE"""),"Intel Celeron Dual Core N3350 1.1GHz")</f>
        <v>Intel Celeron Dual Core N3350 1.1GHz</v>
      </c>
      <c r="H505" s="2" t="str">
        <f ca="1">IFERROR(__xludf.DUMMYFUNCTION("""COMPUTED_VALUE"""),"4GB")</f>
        <v>4GB</v>
      </c>
      <c r="I505" s="2" t="str">
        <f ca="1">IFERROR(__xludf.DUMMYFUNCTION("""COMPUTED_VALUE"""),"500GB HDD")</f>
        <v>500GB HDD</v>
      </c>
      <c r="J505" s="2" t="str">
        <f ca="1">IFERROR(__xludf.DUMMYFUNCTION("""COMPUTED_VALUE"""),"Intel HD Graphics 500")</f>
        <v>Intel HD Graphics 500</v>
      </c>
      <c r="K505" s="2" t="str">
        <f ca="1">IFERROR(__xludf.DUMMYFUNCTION("""COMPUTED_VALUE"""),"Windows 10")</f>
        <v>Windows 10</v>
      </c>
      <c r="L505" s="2" t="str">
        <f ca="1">IFERROR(__xludf.DUMMYFUNCTION("""COMPUTED_VALUE"""),"2.1kg")</f>
        <v>2.1kg</v>
      </c>
      <c r="M505" s="2">
        <f ca="1">IFERROR(__xludf.DUMMYFUNCTION("""COMPUTED_VALUE"""),299)</f>
        <v>299</v>
      </c>
    </row>
    <row r="506" spans="1:13">
      <c r="A506" s="2">
        <f ca="1">IFERROR(__xludf.DUMMYFUNCTION("""COMPUTED_VALUE"""),511)</f>
        <v>511</v>
      </c>
      <c r="B506" s="2" t="str">
        <f ca="1">IFERROR(__xludf.DUMMYFUNCTION("""COMPUTED_VALUE"""),"Lenovo")</f>
        <v>Lenovo</v>
      </c>
      <c r="C506" s="2" t="str">
        <f ca="1">IFERROR(__xludf.DUMMYFUNCTION("""COMPUTED_VALUE"""),"Chromebook N23")</f>
        <v>Chromebook N23</v>
      </c>
      <c r="D506" s="2" t="str">
        <f ca="1">IFERROR(__xludf.DUMMYFUNCTION("""COMPUTED_VALUE"""),"Netbook")</f>
        <v>Netbook</v>
      </c>
      <c r="E506" s="2">
        <f ca="1">IFERROR(__xludf.DUMMYFUNCTION("""COMPUTED_VALUE"""),11.6)</f>
        <v>11.6</v>
      </c>
      <c r="F506" s="2" t="str">
        <f ca="1">IFERROR(__xludf.DUMMYFUNCTION("""COMPUTED_VALUE"""),"1366x768")</f>
        <v>1366x768</v>
      </c>
      <c r="G506" s="2" t="str">
        <f ca="1">IFERROR(__xludf.DUMMYFUNCTION("""COMPUTED_VALUE"""),"Intel Celeron Dual Core N3060 1.6GHz")</f>
        <v>Intel Celeron Dual Core N3060 1.6GHz</v>
      </c>
      <c r="H506" s="2" t="str">
        <f ca="1">IFERROR(__xludf.DUMMYFUNCTION("""COMPUTED_VALUE"""),"4GB")</f>
        <v>4GB</v>
      </c>
      <c r="I506" s="2" t="str">
        <f ca="1">IFERROR(__xludf.DUMMYFUNCTION("""COMPUTED_VALUE"""),"16GB SSD")</f>
        <v>16GB SSD</v>
      </c>
      <c r="J506" s="2" t="str">
        <f ca="1">IFERROR(__xludf.DUMMYFUNCTION("""COMPUTED_VALUE"""),"Intel HD Graphics 400")</f>
        <v>Intel HD Graphics 400</v>
      </c>
      <c r="K506" s="2" t="str">
        <f ca="1">IFERROR(__xludf.DUMMYFUNCTION("""COMPUTED_VALUE"""),"Chrome OS")</f>
        <v>Chrome OS</v>
      </c>
      <c r="L506" s="2" t="str">
        <f ca="1">IFERROR(__xludf.DUMMYFUNCTION("""COMPUTED_VALUE"""),"1.25kg")</f>
        <v>1.25kg</v>
      </c>
      <c r="M506" s="2">
        <f ca="1">IFERROR(__xludf.DUMMYFUNCTION("""COMPUTED_VALUE"""),265)</f>
        <v>265</v>
      </c>
    </row>
    <row r="507" spans="1:13">
      <c r="A507" s="2">
        <f ca="1">IFERROR(__xludf.DUMMYFUNCTION("""COMPUTED_VALUE"""),512)</f>
        <v>512</v>
      </c>
      <c r="B507" s="2" t="str">
        <f ca="1">IFERROR(__xludf.DUMMYFUNCTION("""COMPUTED_VALUE"""),"Lenovo")</f>
        <v>Lenovo</v>
      </c>
      <c r="C507" s="2" t="str">
        <f ca="1">IFERROR(__xludf.DUMMYFUNCTION("""COMPUTED_VALUE"""),"ThinkPad 13")</f>
        <v>ThinkPad 13</v>
      </c>
      <c r="D507" s="2" t="str">
        <f ca="1">IFERROR(__xludf.DUMMYFUNCTION("""COMPUTED_VALUE"""),"Notebook")</f>
        <v>Notebook</v>
      </c>
      <c r="E507" s="2">
        <f ca="1">IFERROR(__xludf.DUMMYFUNCTION("""COMPUTED_VALUE"""),13.3)</f>
        <v>13.3</v>
      </c>
      <c r="F507" s="2" t="str">
        <f ca="1">IFERROR(__xludf.DUMMYFUNCTION("""COMPUTED_VALUE"""),"Full HD 1920x1080")</f>
        <v>Full HD 1920x1080</v>
      </c>
      <c r="G507" s="2" t="str">
        <f ca="1">IFERROR(__xludf.DUMMYFUNCTION("""COMPUTED_VALUE"""),"Intel Core i5 7200U 2.5GHz")</f>
        <v>Intel Core i5 7200U 2.5GHz</v>
      </c>
      <c r="H507" s="2" t="str">
        <f ca="1">IFERROR(__xludf.DUMMYFUNCTION("""COMPUTED_VALUE"""),"8GB")</f>
        <v>8GB</v>
      </c>
      <c r="I507" s="2" t="str">
        <f ca="1">IFERROR(__xludf.DUMMYFUNCTION("""COMPUTED_VALUE"""),"256GB SSD")</f>
        <v>256GB SSD</v>
      </c>
      <c r="J507" s="2" t="str">
        <f ca="1">IFERROR(__xludf.DUMMYFUNCTION("""COMPUTED_VALUE"""),"Intel HD Graphics 620")</f>
        <v>Intel HD Graphics 620</v>
      </c>
      <c r="K507" s="2" t="str">
        <f ca="1">IFERROR(__xludf.DUMMYFUNCTION("""COMPUTED_VALUE"""),"Windows 10")</f>
        <v>Windows 10</v>
      </c>
      <c r="L507" s="2" t="str">
        <f ca="1">IFERROR(__xludf.DUMMYFUNCTION("""COMPUTED_VALUE"""),"1.44kg")</f>
        <v>1.44kg</v>
      </c>
      <c r="M507" s="2">
        <f ca="1">IFERROR(__xludf.DUMMYFUNCTION("""COMPUTED_VALUE"""),949)</f>
        <v>949</v>
      </c>
    </row>
    <row r="508" spans="1:13">
      <c r="A508" s="2">
        <f ca="1">IFERROR(__xludf.DUMMYFUNCTION("""COMPUTED_VALUE"""),513)</f>
        <v>513</v>
      </c>
      <c r="B508" s="2" t="str">
        <f ca="1">IFERROR(__xludf.DUMMYFUNCTION("""COMPUTED_VALUE"""),"Asus")</f>
        <v>Asus</v>
      </c>
      <c r="C508" s="2" t="str">
        <f ca="1">IFERROR(__xludf.DUMMYFUNCTION("""COMPUTED_VALUE"""),"ZenBook UX510UX-CN211T")</f>
        <v>ZenBook UX510UX-CN211T</v>
      </c>
      <c r="D508" s="2" t="str">
        <f ca="1">IFERROR(__xludf.DUMMYFUNCTION("""COMPUTED_VALUE"""),"Notebook")</f>
        <v>Notebook</v>
      </c>
      <c r="E508" s="2">
        <f ca="1">IFERROR(__xludf.DUMMYFUNCTION("""COMPUTED_VALUE"""),15.6)</f>
        <v>15.6</v>
      </c>
      <c r="F508" s="2" t="str">
        <f ca="1">IFERROR(__xludf.DUMMYFUNCTION("""COMPUTED_VALUE"""),"Full HD 1920x1080")</f>
        <v>Full HD 1920x1080</v>
      </c>
      <c r="G508" s="2" t="str">
        <f ca="1">IFERROR(__xludf.DUMMYFUNCTION("""COMPUTED_VALUE"""),"Intel Core i7 7500U 2.7GHz")</f>
        <v>Intel Core i7 7500U 2.7GHz</v>
      </c>
      <c r="H508" s="2" t="str">
        <f ca="1">IFERROR(__xludf.DUMMYFUNCTION("""COMPUTED_VALUE"""),"8GB")</f>
        <v>8GB</v>
      </c>
      <c r="I508" s="2" t="str">
        <f ca="1">IFERROR(__xludf.DUMMYFUNCTION("""COMPUTED_VALUE"""),"256GB SSD +  1TB HDD")</f>
        <v>256GB SSD +  1TB HDD</v>
      </c>
      <c r="J508" s="2" t="str">
        <f ca="1">IFERROR(__xludf.DUMMYFUNCTION("""COMPUTED_VALUE"""),"Intel HD Graphics 620")</f>
        <v>Intel HD Graphics 620</v>
      </c>
      <c r="K508" s="2" t="str">
        <f ca="1">IFERROR(__xludf.DUMMYFUNCTION("""COMPUTED_VALUE"""),"Windows 10")</f>
        <v>Windows 10</v>
      </c>
      <c r="L508" s="2" t="str">
        <f ca="1">IFERROR(__xludf.DUMMYFUNCTION("""COMPUTED_VALUE"""),"2kg")</f>
        <v>2kg</v>
      </c>
      <c r="M508" s="2">
        <f ca="1">IFERROR(__xludf.DUMMYFUNCTION("""COMPUTED_VALUE"""),1224)</f>
        <v>1224</v>
      </c>
    </row>
    <row r="509" spans="1:13">
      <c r="A509" s="2">
        <f ca="1">IFERROR(__xludf.DUMMYFUNCTION("""COMPUTED_VALUE"""),514)</f>
        <v>514</v>
      </c>
      <c r="B509" s="2" t="str">
        <f ca="1">IFERROR(__xludf.DUMMYFUNCTION("""COMPUTED_VALUE"""),"Acer")</f>
        <v>Acer</v>
      </c>
      <c r="C509" s="2" t="str">
        <f ca="1">IFERROR(__xludf.DUMMYFUNCTION("""COMPUTED_VALUE"""),"Aspire A515-51G-59QF")</f>
        <v>Aspire A515-51G-59QF</v>
      </c>
      <c r="D509" s="2" t="str">
        <f ca="1">IFERROR(__xludf.DUMMYFUNCTION("""COMPUTED_VALUE"""),"Notebook")</f>
        <v>Notebook</v>
      </c>
      <c r="E509" s="2">
        <f ca="1">IFERROR(__xludf.DUMMYFUNCTION("""COMPUTED_VALUE"""),15.6)</f>
        <v>15.6</v>
      </c>
      <c r="F509" s="2" t="str">
        <f ca="1">IFERROR(__xludf.DUMMYFUNCTION("""COMPUTED_VALUE"""),"IPS Panel Full HD 1920x1080")</f>
        <v>IPS Panel Full HD 1920x1080</v>
      </c>
      <c r="G509" s="2" t="str">
        <f ca="1">IFERROR(__xludf.DUMMYFUNCTION("""COMPUTED_VALUE"""),"Intel Core i5 8250U 1.6GHz")</f>
        <v>Intel Core i5 8250U 1.6GHz</v>
      </c>
      <c r="H509" s="2" t="str">
        <f ca="1">IFERROR(__xludf.DUMMYFUNCTION("""COMPUTED_VALUE"""),"4GB")</f>
        <v>4GB</v>
      </c>
      <c r="I509" s="2" t="str">
        <f ca="1">IFERROR(__xludf.DUMMYFUNCTION("""COMPUTED_VALUE"""),"1TB HDD")</f>
        <v>1TB HDD</v>
      </c>
      <c r="J509" s="2" t="str">
        <f ca="1">IFERROR(__xludf.DUMMYFUNCTION("""COMPUTED_VALUE"""),"Nvidia GeForce MX150")</f>
        <v>Nvidia GeForce MX150</v>
      </c>
      <c r="K509" s="2" t="str">
        <f ca="1">IFERROR(__xludf.DUMMYFUNCTION("""COMPUTED_VALUE"""),"Windows 10")</f>
        <v>Windows 10</v>
      </c>
      <c r="L509" s="2" t="str">
        <f ca="1">IFERROR(__xludf.DUMMYFUNCTION("""COMPUTED_VALUE"""),"2.2kg")</f>
        <v>2.2kg</v>
      </c>
      <c r="M509" s="2">
        <f ca="1">IFERROR(__xludf.DUMMYFUNCTION("""COMPUTED_VALUE"""),613)</f>
        <v>613</v>
      </c>
    </row>
    <row r="510" spans="1:13">
      <c r="A510" s="2">
        <f ca="1">IFERROR(__xludf.DUMMYFUNCTION("""COMPUTED_VALUE"""),515)</f>
        <v>515</v>
      </c>
      <c r="B510" s="2" t="str">
        <f ca="1">IFERROR(__xludf.DUMMYFUNCTION("""COMPUTED_VALUE"""),"HP")</f>
        <v>HP</v>
      </c>
      <c r="C510" s="2" t="str">
        <f ca="1">IFERROR(__xludf.DUMMYFUNCTION("""COMPUTED_VALUE"""),"Envy 13-AB002nv")</f>
        <v>Envy 13-AB002nv</v>
      </c>
      <c r="D510" s="2" t="str">
        <f ca="1">IFERROR(__xludf.DUMMYFUNCTION("""COMPUTED_VALUE"""),"Ultrabook")</f>
        <v>Ultrabook</v>
      </c>
      <c r="E510" s="2">
        <f ca="1">IFERROR(__xludf.DUMMYFUNCTION("""COMPUTED_VALUE"""),13.3)</f>
        <v>13.3</v>
      </c>
      <c r="F510" s="2" t="str">
        <f ca="1">IFERROR(__xludf.DUMMYFUNCTION("""COMPUTED_VALUE"""),"IPS Panel Full HD 1920x1080")</f>
        <v>IPS Panel Full HD 1920x1080</v>
      </c>
      <c r="G510" s="2" t="str">
        <f ca="1">IFERROR(__xludf.DUMMYFUNCTION("""COMPUTED_VALUE"""),"Intel Core i7 7500U 2.7GHz")</f>
        <v>Intel Core i7 7500U 2.7GHz</v>
      </c>
      <c r="H510" s="2" t="str">
        <f ca="1">IFERROR(__xludf.DUMMYFUNCTION("""COMPUTED_VALUE"""),"8GB")</f>
        <v>8GB</v>
      </c>
      <c r="I510" s="2" t="str">
        <f ca="1">IFERROR(__xludf.DUMMYFUNCTION("""COMPUTED_VALUE"""),"512GB SSD")</f>
        <v>512GB SSD</v>
      </c>
      <c r="J510" s="2" t="str">
        <f ca="1">IFERROR(__xludf.DUMMYFUNCTION("""COMPUTED_VALUE"""),"Intel HD Graphics 620")</f>
        <v>Intel HD Graphics 620</v>
      </c>
      <c r="K510" s="2" t="str">
        <f ca="1">IFERROR(__xludf.DUMMYFUNCTION("""COMPUTED_VALUE"""),"Windows 10")</f>
        <v>Windows 10</v>
      </c>
      <c r="L510" s="2" t="str">
        <f ca="1">IFERROR(__xludf.DUMMYFUNCTION("""COMPUTED_VALUE"""),"1.34kg")</f>
        <v>1.34kg</v>
      </c>
      <c r="M510" s="2">
        <f ca="1">IFERROR(__xludf.DUMMYFUNCTION("""COMPUTED_VALUE"""),1323)</f>
        <v>1323</v>
      </c>
    </row>
    <row r="511" spans="1:13">
      <c r="A511" s="2">
        <f ca="1">IFERROR(__xludf.DUMMYFUNCTION("""COMPUTED_VALUE"""),516)</f>
        <v>516</v>
      </c>
      <c r="B511" s="2" t="str">
        <f ca="1">IFERROR(__xludf.DUMMYFUNCTION("""COMPUTED_VALUE"""),"Lenovo")</f>
        <v>Lenovo</v>
      </c>
      <c r="C511" s="2" t="str">
        <f ca="1">IFERROR(__xludf.DUMMYFUNCTION("""COMPUTED_VALUE"""),"Legion Y520-15IKBN")</f>
        <v>Legion Y520-15IKBN</v>
      </c>
      <c r="D511" s="2" t="str">
        <f ca="1">IFERROR(__xludf.DUMMYFUNCTION("""COMPUTED_VALUE"""),"Gaming")</f>
        <v>Gaming</v>
      </c>
      <c r="E511" s="2">
        <f ca="1">IFERROR(__xludf.DUMMYFUNCTION("""COMPUTED_VALUE"""),15.6)</f>
        <v>15.6</v>
      </c>
      <c r="F511" s="2" t="str">
        <f ca="1">IFERROR(__xludf.DUMMYFUNCTION("""COMPUTED_VALUE"""),"IPS Panel Full HD 1920x1080")</f>
        <v>IPS Panel Full HD 1920x1080</v>
      </c>
      <c r="G511" s="2" t="str">
        <f ca="1">IFERROR(__xludf.DUMMYFUNCTION("""COMPUTED_VALUE"""),"Intel Core i7 7700HQ 2.8GHz")</f>
        <v>Intel Core i7 7700HQ 2.8GHz</v>
      </c>
      <c r="H511" s="2" t="str">
        <f ca="1">IFERROR(__xludf.DUMMYFUNCTION("""COMPUTED_VALUE"""),"8GB")</f>
        <v>8GB</v>
      </c>
      <c r="I511" s="2" t="str">
        <f ca="1">IFERROR(__xludf.DUMMYFUNCTION("""COMPUTED_VALUE"""),"256GB SSD +  1TB HDD")</f>
        <v>256GB SSD +  1TB HDD</v>
      </c>
      <c r="J511" s="2" t="str">
        <f ca="1">IFERROR(__xludf.DUMMYFUNCTION("""COMPUTED_VALUE"""),"Nvidia GeForce GTX 1060")</f>
        <v>Nvidia GeForce GTX 1060</v>
      </c>
      <c r="K511" s="2" t="str">
        <f ca="1">IFERROR(__xludf.DUMMYFUNCTION("""COMPUTED_VALUE"""),"No OS")</f>
        <v>No OS</v>
      </c>
      <c r="L511" s="2" t="str">
        <f ca="1">IFERROR(__xludf.DUMMYFUNCTION("""COMPUTED_VALUE"""),"2.4kg")</f>
        <v>2.4kg</v>
      </c>
      <c r="M511" s="2">
        <f ca="1">IFERROR(__xludf.DUMMYFUNCTION("""COMPUTED_VALUE"""),1149)</f>
        <v>1149</v>
      </c>
    </row>
    <row r="512" spans="1:13">
      <c r="A512" s="2">
        <f ca="1">IFERROR(__xludf.DUMMYFUNCTION("""COMPUTED_VALUE"""),517)</f>
        <v>517</v>
      </c>
      <c r="B512" s="2" t="str">
        <f ca="1">IFERROR(__xludf.DUMMYFUNCTION("""COMPUTED_VALUE"""),"Dell")</f>
        <v>Dell</v>
      </c>
      <c r="C512" s="2" t="str">
        <f ca="1">IFERROR(__xludf.DUMMYFUNCTION("""COMPUTED_VALUE"""),"XPS 13")</f>
        <v>XPS 13</v>
      </c>
      <c r="D512" s="2" t="str">
        <f ca="1">IFERROR(__xludf.DUMMYFUNCTION("""COMPUTED_VALUE"""),"Ultrabook")</f>
        <v>Ultrabook</v>
      </c>
      <c r="E512" s="2">
        <f ca="1">IFERROR(__xludf.DUMMYFUNCTION("""COMPUTED_VALUE"""),13.3)</f>
        <v>13.3</v>
      </c>
      <c r="F512" s="2" t="str">
        <f ca="1">IFERROR(__xludf.DUMMYFUNCTION("""COMPUTED_VALUE"""),"IPS Panel Full HD / Touchscreen 1920x1080")</f>
        <v>IPS Panel Full HD / Touchscreen 1920x1080</v>
      </c>
      <c r="G512" s="2" t="str">
        <f ca="1">IFERROR(__xludf.DUMMYFUNCTION("""COMPUTED_VALUE"""),"Intel Core i5 7200U 2.5GHz")</f>
        <v>Intel Core i5 7200U 2.5GHz</v>
      </c>
      <c r="H512" s="2" t="str">
        <f ca="1">IFERROR(__xludf.DUMMYFUNCTION("""COMPUTED_VALUE"""),"8GB")</f>
        <v>8GB</v>
      </c>
      <c r="I512" s="2" t="str">
        <f ca="1">IFERROR(__xludf.DUMMYFUNCTION("""COMPUTED_VALUE"""),"128GB SSD")</f>
        <v>128GB SSD</v>
      </c>
      <c r="J512" s="2" t="str">
        <f ca="1">IFERROR(__xludf.DUMMYFUNCTION("""COMPUTED_VALUE"""),"Intel HD Graphics 620")</f>
        <v>Intel HD Graphics 620</v>
      </c>
      <c r="K512" s="2" t="str">
        <f ca="1">IFERROR(__xludf.DUMMYFUNCTION("""COMPUTED_VALUE"""),"Windows 10")</f>
        <v>Windows 10</v>
      </c>
      <c r="L512" s="2" t="str">
        <f ca="1">IFERROR(__xludf.DUMMYFUNCTION("""COMPUTED_VALUE"""),"1.29kg")</f>
        <v>1.29kg</v>
      </c>
      <c r="M512" s="2">
        <f ca="1">IFERROR(__xludf.DUMMYFUNCTION("""COMPUTED_VALUE"""),899)</f>
        <v>899</v>
      </c>
    </row>
    <row r="513" spans="1:13">
      <c r="A513" s="2">
        <f ca="1">IFERROR(__xludf.DUMMYFUNCTION("""COMPUTED_VALUE"""),518)</f>
        <v>518</v>
      </c>
      <c r="B513" s="2" t="str">
        <f ca="1">IFERROR(__xludf.DUMMYFUNCTION("""COMPUTED_VALUE"""),"Acer")</f>
        <v>Acer</v>
      </c>
      <c r="C513" s="2" t="str">
        <f ca="1">IFERROR(__xludf.DUMMYFUNCTION("""COMPUTED_VALUE"""),"Aspire A515-51G")</f>
        <v>Aspire A515-51G</v>
      </c>
      <c r="D513" s="2" t="str">
        <f ca="1">IFERROR(__xludf.DUMMYFUNCTION("""COMPUTED_VALUE"""),"Notebook")</f>
        <v>Notebook</v>
      </c>
      <c r="E513" s="2">
        <f ca="1">IFERROR(__xludf.DUMMYFUNCTION("""COMPUTED_VALUE"""),15.6)</f>
        <v>15.6</v>
      </c>
      <c r="F513" s="2" t="str">
        <f ca="1">IFERROR(__xludf.DUMMYFUNCTION("""COMPUTED_VALUE"""),"Full HD 1920x1080")</f>
        <v>Full HD 1920x1080</v>
      </c>
      <c r="G513" s="2" t="str">
        <f ca="1">IFERROR(__xludf.DUMMYFUNCTION("""COMPUTED_VALUE"""),"Intel Core i7 7500U 2.7GHz")</f>
        <v>Intel Core i7 7500U 2.7GHz</v>
      </c>
      <c r="H513" s="2" t="str">
        <f ca="1">IFERROR(__xludf.DUMMYFUNCTION("""COMPUTED_VALUE"""),"4GB")</f>
        <v>4GB</v>
      </c>
      <c r="I513" s="2" t="str">
        <f ca="1">IFERROR(__xludf.DUMMYFUNCTION("""COMPUTED_VALUE"""),"500GB HDD")</f>
        <v>500GB HDD</v>
      </c>
      <c r="J513" s="2" t="str">
        <f ca="1">IFERROR(__xludf.DUMMYFUNCTION("""COMPUTED_VALUE"""),"Nvidia GeForce 940MX")</f>
        <v>Nvidia GeForce 940MX</v>
      </c>
      <c r="K513" s="2" t="str">
        <f ca="1">IFERROR(__xludf.DUMMYFUNCTION("""COMPUTED_VALUE"""),"Windows 10")</f>
        <v>Windows 10</v>
      </c>
      <c r="L513" s="2" t="str">
        <f ca="1">IFERROR(__xludf.DUMMYFUNCTION("""COMPUTED_VALUE"""),"2.2kg")</f>
        <v>2.2kg</v>
      </c>
      <c r="M513" s="2">
        <f ca="1">IFERROR(__xludf.DUMMYFUNCTION("""COMPUTED_VALUE"""),639)</f>
        <v>639</v>
      </c>
    </row>
    <row r="514" spans="1:13">
      <c r="A514" s="2">
        <f ca="1">IFERROR(__xludf.DUMMYFUNCTION("""COMPUTED_VALUE"""),519)</f>
        <v>519</v>
      </c>
      <c r="B514" s="2" t="str">
        <f ca="1">IFERROR(__xludf.DUMMYFUNCTION("""COMPUTED_VALUE"""),"Dell")</f>
        <v>Dell</v>
      </c>
      <c r="C514" s="2" t="str">
        <f ca="1">IFERROR(__xludf.DUMMYFUNCTION("""COMPUTED_VALUE"""),"Vostro 5568")</f>
        <v>Vostro 5568</v>
      </c>
      <c r="D514" s="2" t="str">
        <f ca="1">IFERROR(__xludf.DUMMYFUNCTION("""COMPUTED_VALUE"""),"Notebook")</f>
        <v>Notebook</v>
      </c>
      <c r="E514" s="2">
        <f ca="1">IFERROR(__xludf.DUMMYFUNCTION("""COMPUTED_VALUE"""),15.6)</f>
        <v>15.6</v>
      </c>
      <c r="F514" s="2" t="str">
        <f ca="1">IFERROR(__xludf.DUMMYFUNCTION("""COMPUTED_VALUE"""),"Full HD 1920x1080")</f>
        <v>Full HD 1920x1080</v>
      </c>
      <c r="G514" s="2" t="str">
        <f ca="1">IFERROR(__xludf.DUMMYFUNCTION("""COMPUTED_VALUE"""),"Intel Core i5 7200U 2.5GHz")</f>
        <v>Intel Core i5 7200U 2.5GHz</v>
      </c>
      <c r="H514" s="2" t="str">
        <f ca="1">IFERROR(__xludf.DUMMYFUNCTION("""COMPUTED_VALUE"""),"8GB")</f>
        <v>8GB</v>
      </c>
      <c r="I514" s="2" t="str">
        <f ca="1">IFERROR(__xludf.DUMMYFUNCTION("""COMPUTED_VALUE"""),"1TB HDD")</f>
        <v>1TB HDD</v>
      </c>
      <c r="J514" s="2" t="str">
        <f ca="1">IFERROR(__xludf.DUMMYFUNCTION("""COMPUTED_VALUE"""),"Intel HD Graphics 620")</f>
        <v>Intel HD Graphics 620</v>
      </c>
      <c r="K514" s="2" t="str">
        <f ca="1">IFERROR(__xludf.DUMMYFUNCTION("""COMPUTED_VALUE"""),"Windows 10")</f>
        <v>Windows 10</v>
      </c>
      <c r="L514" s="2" t="str">
        <f ca="1">IFERROR(__xludf.DUMMYFUNCTION("""COMPUTED_VALUE"""),"2.18kg")</f>
        <v>2.18kg</v>
      </c>
      <c r="M514" s="2">
        <f ca="1">IFERROR(__xludf.DUMMYFUNCTION("""COMPUTED_VALUE"""),836)</f>
        <v>836</v>
      </c>
    </row>
    <row r="515" spans="1:13">
      <c r="A515" s="2">
        <f ca="1">IFERROR(__xludf.DUMMYFUNCTION("""COMPUTED_VALUE"""),520)</f>
        <v>520</v>
      </c>
      <c r="B515" s="2" t="str">
        <f ca="1">IFERROR(__xludf.DUMMYFUNCTION("""COMPUTED_VALUE"""),"Dell")</f>
        <v>Dell</v>
      </c>
      <c r="C515" s="2" t="str">
        <f ca="1">IFERROR(__xludf.DUMMYFUNCTION("""COMPUTED_VALUE"""),"Inspiron 5570")</f>
        <v>Inspiron 5570</v>
      </c>
      <c r="D515" s="2" t="str">
        <f ca="1">IFERROR(__xludf.DUMMYFUNCTION("""COMPUTED_VALUE"""),"Notebook")</f>
        <v>Notebook</v>
      </c>
      <c r="E515" s="2">
        <f ca="1">IFERROR(__xludf.DUMMYFUNCTION("""COMPUTED_VALUE"""),15.6)</f>
        <v>15.6</v>
      </c>
      <c r="F515" s="2" t="str">
        <f ca="1">IFERROR(__xludf.DUMMYFUNCTION("""COMPUTED_VALUE"""),"Full HD 1920x1080")</f>
        <v>Full HD 1920x1080</v>
      </c>
      <c r="G515" s="2" t="str">
        <f ca="1">IFERROR(__xludf.DUMMYFUNCTION("""COMPUTED_VALUE"""),"Intel Core i7 8550U 1.8GHz")</f>
        <v>Intel Core i7 8550U 1.8GHz</v>
      </c>
      <c r="H515" s="2" t="str">
        <f ca="1">IFERROR(__xludf.DUMMYFUNCTION("""COMPUTED_VALUE"""),"16GB")</f>
        <v>16GB</v>
      </c>
      <c r="I515" s="2" t="str">
        <f ca="1">IFERROR(__xludf.DUMMYFUNCTION("""COMPUTED_VALUE"""),"256GB SSD +  2TB HDD")</f>
        <v>256GB SSD +  2TB HDD</v>
      </c>
      <c r="J515" s="2" t="str">
        <f ca="1">IFERROR(__xludf.DUMMYFUNCTION("""COMPUTED_VALUE"""),"AMD Radeon 530")</f>
        <v>AMD Radeon 530</v>
      </c>
      <c r="K515" s="2" t="str">
        <f ca="1">IFERROR(__xludf.DUMMYFUNCTION("""COMPUTED_VALUE"""),"Windows 10")</f>
        <v>Windows 10</v>
      </c>
      <c r="L515" s="2" t="str">
        <f ca="1">IFERROR(__xludf.DUMMYFUNCTION("""COMPUTED_VALUE"""),"2.2kg")</f>
        <v>2.2kg</v>
      </c>
      <c r="M515" s="2">
        <f ca="1">IFERROR(__xludf.DUMMYFUNCTION("""COMPUTED_VALUE"""),1219.24)</f>
        <v>1219.24</v>
      </c>
    </row>
    <row r="516" spans="1:13">
      <c r="A516" s="2">
        <f ca="1">IFERROR(__xludf.DUMMYFUNCTION("""COMPUTED_VALUE"""),521)</f>
        <v>521</v>
      </c>
      <c r="B516" s="2" t="str">
        <f ca="1">IFERROR(__xludf.DUMMYFUNCTION("""COMPUTED_VALUE"""),"Xiaomi")</f>
        <v>Xiaomi</v>
      </c>
      <c r="C516" s="2" t="str">
        <f ca="1">IFERROR(__xludf.DUMMYFUNCTION("""COMPUTED_VALUE"""),"Mi Notebook")</f>
        <v>Mi Notebook</v>
      </c>
      <c r="D516" s="2" t="str">
        <f ca="1">IFERROR(__xludf.DUMMYFUNCTION("""COMPUTED_VALUE"""),"Notebook")</f>
        <v>Notebook</v>
      </c>
      <c r="E516" s="2">
        <f ca="1">IFERROR(__xludf.DUMMYFUNCTION("""COMPUTED_VALUE"""),15.6)</f>
        <v>15.6</v>
      </c>
      <c r="F516" s="2" t="str">
        <f ca="1">IFERROR(__xludf.DUMMYFUNCTION("""COMPUTED_VALUE"""),"IPS Panel Full HD 1920x1080")</f>
        <v>IPS Panel Full HD 1920x1080</v>
      </c>
      <c r="G516" s="2" t="str">
        <f ca="1">IFERROR(__xludf.DUMMYFUNCTION("""COMPUTED_VALUE"""),"Intel Core i7 8550U 1.8GHz")</f>
        <v>Intel Core i7 8550U 1.8GHz</v>
      </c>
      <c r="H516" s="2" t="str">
        <f ca="1">IFERROR(__xludf.DUMMYFUNCTION("""COMPUTED_VALUE"""),"16GB")</f>
        <v>16GB</v>
      </c>
      <c r="I516" s="2" t="str">
        <f ca="1">IFERROR(__xludf.DUMMYFUNCTION("""COMPUTED_VALUE"""),"256GB SSD")</f>
        <v>256GB SSD</v>
      </c>
      <c r="J516" s="2" t="str">
        <f ca="1">IFERROR(__xludf.DUMMYFUNCTION("""COMPUTED_VALUE"""),"Nvidia GeForce MX150")</f>
        <v>Nvidia GeForce MX150</v>
      </c>
      <c r="K516" s="2" t="str">
        <f ca="1">IFERROR(__xludf.DUMMYFUNCTION("""COMPUTED_VALUE"""),"No OS")</f>
        <v>No OS</v>
      </c>
      <c r="L516" s="2" t="str">
        <f ca="1">IFERROR(__xludf.DUMMYFUNCTION("""COMPUTED_VALUE"""),"1.95kg")</f>
        <v>1.95kg</v>
      </c>
      <c r="M516" s="2">
        <f ca="1">IFERROR(__xludf.DUMMYFUNCTION("""COMPUTED_VALUE"""),1399.95)</f>
        <v>1399.95</v>
      </c>
    </row>
    <row r="517" spans="1:13">
      <c r="A517" s="2">
        <f ca="1">IFERROR(__xludf.DUMMYFUNCTION("""COMPUTED_VALUE"""),522)</f>
        <v>522</v>
      </c>
      <c r="B517" s="2" t="str">
        <f ca="1">IFERROR(__xludf.DUMMYFUNCTION("""COMPUTED_VALUE"""),"Asus")</f>
        <v>Asus</v>
      </c>
      <c r="C517" s="2" t="str">
        <f ca="1">IFERROR(__xludf.DUMMYFUNCTION("""COMPUTED_VALUE"""),"VivoBook E12")</f>
        <v>VivoBook E12</v>
      </c>
      <c r="D517" s="2" t="str">
        <f ca="1">IFERROR(__xludf.DUMMYFUNCTION("""COMPUTED_VALUE"""),"Netbook")</f>
        <v>Netbook</v>
      </c>
      <c r="E517" s="2">
        <f ca="1">IFERROR(__xludf.DUMMYFUNCTION("""COMPUTED_VALUE"""),11.6)</f>
        <v>11.6</v>
      </c>
      <c r="F517" s="2" t="str">
        <f ca="1">IFERROR(__xludf.DUMMYFUNCTION("""COMPUTED_VALUE"""),"1366x768")</f>
        <v>1366x768</v>
      </c>
      <c r="G517" s="2" t="str">
        <f ca="1">IFERROR(__xludf.DUMMYFUNCTION("""COMPUTED_VALUE"""),"Intel Celeron Dual Core N3350 1.1GHz")</f>
        <v>Intel Celeron Dual Core N3350 1.1GHz</v>
      </c>
      <c r="H517" s="2" t="str">
        <f ca="1">IFERROR(__xludf.DUMMYFUNCTION("""COMPUTED_VALUE"""),"2GB")</f>
        <v>2GB</v>
      </c>
      <c r="I517" s="2" t="str">
        <f ca="1">IFERROR(__xludf.DUMMYFUNCTION("""COMPUTED_VALUE"""),"32GB Flash Storage")</f>
        <v>32GB Flash Storage</v>
      </c>
      <c r="J517" s="2" t="str">
        <f ca="1">IFERROR(__xludf.DUMMYFUNCTION("""COMPUTED_VALUE"""),"Intel HD Graphics 500")</f>
        <v>Intel HD Graphics 500</v>
      </c>
      <c r="K517" s="2" t="str">
        <f ca="1">IFERROR(__xludf.DUMMYFUNCTION("""COMPUTED_VALUE"""),"Windows 10")</f>
        <v>Windows 10</v>
      </c>
      <c r="L517" s="2" t="str">
        <f ca="1">IFERROR(__xludf.DUMMYFUNCTION("""COMPUTED_VALUE"""),"1.1kg")</f>
        <v>1.1kg</v>
      </c>
      <c r="M517" s="2">
        <f ca="1">IFERROR(__xludf.DUMMYFUNCTION("""COMPUTED_VALUE"""),245)</f>
        <v>245</v>
      </c>
    </row>
    <row r="518" spans="1:13">
      <c r="A518" s="2">
        <f ca="1">IFERROR(__xludf.DUMMYFUNCTION("""COMPUTED_VALUE"""),523)</f>
        <v>523</v>
      </c>
      <c r="B518" s="2" t="str">
        <f ca="1">IFERROR(__xludf.DUMMYFUNCTION("""COMPUTED_VALUE"""),"HP")</f>
        <v>HP</v>
      </c>
      <c r="C518" s="2" t="str">
        <f ca="1">IFERROR(__xludf.DUMMYFUNCTION("""COMPUTED_VALUE"""),"15-bs190od (i5-8250U/4GB/1TB/W10)")</f>
        <v>15-bs190od (i5-8250U/4GB/1TB/W10)</v>
      </c>
      <c r="D518" s="2" t="str">
        <f ca="1">IFERROR(__xludf.DUMMYFUNCTION("""COMPUTED_VALUE"""),"Notebook")</f>
        <v>Notebook</v>
      </c>
      <c r="E518" s="2">
        <f ca="1">IFERROR(__xludf.DUMMYFUNCTION("""COMPUTED_VALUE"""),15.6)</f>
        <v>15.6</v>
      </c>
      <c r="F518" s="2" t="str">
        <f ca="1">IFERROR(__xludf.DUMMYFUNCTION("""COMPUTED_VALUE"""),"Touchscreen 1366x768")</f>
        <v>Touchscreen 1366x768</v>
      </c>
      <c r="G518" s="2" t="str">
        <f ca="1">IFERROR(__xludf.DUMMYFUNCTION("""COMPUTED_VALUE"""),"Intel Core i5 8250U 1.6GHz")</f>
        <v>Intel Core i5 8250U 1.6GHz</v>
      </c>
      <c r="H518" s="2" t="str">
        <f ca="1">IFERROR(__xludf.DUMMYFUNCTION("""COMPUTED_VALUE"""),"4GB")</f>
        <v>4GB</v>
      </c>
      <c r="I518" s="2" t="str">
        <f ca="1">IFERROR(__xludf.DUMMYFUNCTION("""COMPUTED_VALUE"""),"1TB HDD")</f>
        <v>1TB HDD</v>
      </c>
      <c r="J518" s="2" t="str">
        <f ca="1">IFERROR(__xludf.DUMMYFUNCTION("""COMPUTED_VALUE"""),"Intel UHD Graphics 620")</f>
        <v>Intel UHD Graphics 620</v>
      </c>
      <c r="K518" s="2" t="str">
        <f ca="1">IFERROR(__xludf.DUMMYFUNCTION("""COMPUTED_VALUE"""),"Windows 10")</f>
        <v>Windows 10</v>
      </c>
      <c r="L518" s="2" t="str">
        <f ca="1">IFERROR(__xludf.DUMMYFUNCTION("""COMPUTED_VALUE"""),"2.04kg")</f>
        <v>2.04kg</v>
      </c>
      <c r="M518" s="2">
        <f ca="1">IFERROR(__xludf.DUMMYFUNCTION("""COMPUTED_VALUE"""),521.47)</f>
        <v>521.47</v>
      </c>
    </row>
    <row r="519" spans="1:13">
      <c r="A519" s="2">
        <f ca="1">IFERROR(__xludf.DUMMYFUNCTION("""COMPUTED_VALUE"""),524)</f>
        <v>524</v>
      </c>
      <c r="B519" s="2" t="str">
        <f ca="1">IFERROR(__xludf.DUMMYFUNCTION("""COMPUTED_VALUE"""),"Asus")</f>
        <v>Asus</v>
      </c>
      <c r="C519" s="2" t="str">
        <f ca="1">IFERROR(__xludf.DUMMYFUNCTION("""COMPUTED_VALUE"""),"ROG Zephyrus")</f>
        <v>ROG Zephyrus</v>
      </c>
      <c r="D519" s="2" t="str">
        <f ca="1">IFERROR(__xludf.DUMMYFUNCTION("""COMPUTED_VALUE"""),"Gaming")</f>
        <v>Gaming</v>
      </c>
      <c r="E519" s="2">
        <f ca="1">IFERROR(__xludf.DUMMYFUNCTION("""COMPUTED_VALUE"""),15.6)</f>
        <v>15.6</v>
      </c>
      <c r="F519" s="2" t="str">
        <f ca="1">IFERROR(__xludf.DUMMYFUNCTION("""COMPUTED_VALUE"""),"Full HD 1920x1080")</f>
        <v>Full HD 1920x1080</v>
      </c>
      <c r="G519" s="2" t="str">
        <f ca="1">IFERROR(__xludf.DUMMYFUNCTION("""COMPUTED_VALUE"""),"Intel Core i7 7700HQ 2.8GHz")</f>
        <v>Intel Core i7 7700HQ 2.8GHz</v>
      </c>
      <c r="H519" s="2" t="str">
        <f ca="1">IFERROR(__xludf.DUMMYFUNCTION("""COMPUTED_VALUE"""),"24GB")</f>
        <v>24GB</v>
      </c>
      <c r="I519" s="2" t="str">
        <f ca="1">IFERROR(__xludf.DUMMYFUNCTION("""COMPUTED_VALUE"""),"512GB SSD")</f>
        <v>512GB SSD</v>
      </c>
      <c r="J519" s="2" t="str">
        <f ca="1">IFERROR(__xludf.DUMMYFUNCTION("""COMPUTED_VALUE"""),"Nvidia GeForce GTX1080")</f>
        <v>Nvidia GeForce GTX1080</v>
      </c>
      <c r="K519" s="2" t="str">
        <f ca="1">IFERROR(__xludf.DUMMYFUNCTION("""COMPUTED_VALUE"""),"Windows 10")</f>
        <v>Windows 10</v>
      </c>
      <c r="L519" s="2" t="str">
        <f ca="1">IFERROR(__xludf.DUMMYFUNCTION("""COMPUTED_VALUE"""),"2.24kg")</f>
        <v>2.24kg</v>
      </c>
      <c r="M519" s="2">
        <f ca="1">IFERROR(__xludf.DUMMYFUNCTION("""COMPUTED_VALUE"""),2968)</f>
        <v>2968</v>
      </c>
    </row>
    <row r="520" spans="1:13">
      <c r="A520" s="2">
        <f ca="1">IFERROR(__xludf.DUMMYFUNCTION("""COMPUTED_VALUE"""),525)</f>
        <v>525</v>
      </c>
      <c r="B520" s="2" t="str">
        <f ca="1">IFERROR(__xludf.DUMMYFUNCTION("""COMPUTED_VALUE"""),"HP")</f>
        <v>HP</v>
      </c>
      <c r="C520" s="2" t="str">
        <f ca="1">IFERROR(__xludf.DUMMYFUNCTION("""COMPUTED_VALUE"""),"Probook 450")</f>
        <v>Probook 450</v>
      </c>
      <c r="D520" s="2" t="str">
        <f ca="1">IFERROR(__xludf.DUMMYFUNCTION("""COMPUTED_VALUE"""),"Notebook")</f>
        <v>Notebook</v>
      </c>
      <c r="E520" s="2">
        <f ca="1">IFERROR(__xludf.DUMMYFUNCTION("""COMPUTED_VALUE"""),15.6)</f>
        <v>15.6</v>
      </c>
      <c r="F520" s="2" t="str">
        <f ca="1">IFERROR(__xludf.DUMMYFUNCTION("""COMPUTED_VALUE"""),"Full HD 1920x1080")</f>
        <v>Full HD 1920x1080</v>
      </c>
      <c r="G520" s="2" t="str">
        <f ca="1">IFERROR(__xludf.DUMMYFUNCTION("""COMPUTED_VALUE"""),"Intel Core i5 7200U 2.5GHz")</f>
        <v>Intel Core i5 7200U 2.5GHz</v>
      </c>
      <c r="H520" s="2" t="str">
        <f ca="1">IFERROR(__xludf.DUMMYFUNCTION("""COMPUTED_VALUE"""),"8GB")</f>
        <v>8GB</v>
      </c>
      <c r="I520" s="2" t="str">
        <f ca="1">IFERROR(__xludf.DUMMYFUNCTION("""COMPUTED_VALUE"""),"256GB SSD")</f>
        <v>256GB SSD</v>
      </c>
      <c r="J520" s="2" t="str">
        <f ca="1">IFERROR(__xludf.DUMMYFUNCTION("""COMPUTED_VALUE"""),"Nvidia GeForce 930MX")</f>
        <v>Nvidia GeForce 930MX</v>
      </c>
      <c r="K520" s="2" t="str">
        <f ca="1">IFERROR(__xludf.DUMMYFUNCTION("""COMPUTED_VALUE"""),"Windows 10")</f>
        <v>Windows 10</v>
      </c>
      <c r="L520" s="2" t="str">
        <f ca="1">IFERROR(__xludf.DUMMYFUNCTION("""COMPUTED_VALUE"""),"2.04kg")</f>
        <v>2.04kg</v>
      </c>
      <c r="M520" s="2">
        <f ca="1">IFERROR(__xludf.DUMMYFUNCTION("""COMPUTED_VALUE"""),889)</f>
        <v>889</v>
      </c>
    </row>
    <row r="521" spans="1:13">
      <c r="A521" s="2">
        <f ca="1">IFERROR(__xludf.DUMMYFUNCTION("""COMPUTED_VALUE"""),526)</f>
        <v>526</v>
      </c>
      <c r="B521" s="2" t="str">
        <f ca="1">IFERROR(__xludf.DUMMYFUNCTION("""COMPUTED_VALUE"""),"Asus")</f>
        <v>Asus</v>
      </c>
      <c r="C521" s="2" t="str">
        <f ca="1">IFERROR(__xludf.DUMMYFUNCTION("""COMPUTED_VALUE"""),"FX753VE-GC155T (i7-7700HQ/16GB/1TB")</f>
        <v>FX753VE-GC155T (i7-7700HQ/16GB/1TB</v>
      </c>
      <c r="D521" s="2" t="str">
        <f ca="1">IFERROR(__xludf.DUMMYFUNCTION("""COMPUTED_VALUE"""),"Gaming")</f>
        <v>Gaming</v>
      </c>
      <c r="E521" s="2">
        <f ca="1">IFERROR(__xludf.DUMMYFUNCTION("""COMPUTED_VALUE"""),17.3)</f>
        <v>17.3</v>
      </c>
      <c r="F521" s="2" t="str">
        <f ca="1">IFERROR(__xludf.DUMMYFUNCTION("""COMPUTED_VALUE"""),"Full HD 1920x1080")</f>
        <v>Full HD 1920x1080</v>
      </c>
      <c r="G521" s="2" t="str">
        <f ca="1">IFERROR(__xludf.DUMMYFUNCTION("""COMPUTED_VALUE"""),"Intel Core i7 7700HQ 2.8GHz")</f>
        <v>Intel Core i7 7700HQ 2.8GHz</v>
      </c>
      <c r="H521" s="2" t="str">
        <f ca="1">IFERROR(__xludf.DUMMYFUNCTION("""COMPUTED_VALUE"""),"16GB")</f>
        <v>16GB</v>
      </c>
      <c r="I521" s="2" t="str">
        <f ca="1">IFERROR(__xludf.DUMMYFUNCTION("""COMPUTED_VALUE"""),"256GB SSD +  1TB HDD")</f>
        <v>256GB SSD +  1TB HDD</v>
      </c>
      <c r="J521" s="2" t="str">
        <f ca="1">IFERROR(__xludf.DUMMYFUNCTION("""COMPUTED_VALUE"""),"Nvidia GeForce GTX1050 Ti")</f>
        <v>Nvidia GeForce GTX1050 Ti</v>
      </c>
      <c r="K521" s="2" t="str">
        <f ca="1">IFERROR(__xludf.DUMMYFUNCTION("""COMPUTED_VALUE"""),"Windows 10")</f>
        <v>Windows 10</v>
      </c>
      <c r="L521" s="2" t="str">
        <f ca="1">IFERROR(__xludf.DUMMYFUNCTION("""COMPUTED_VALUE"""),"3kg")</f>
        <v>3kg</v>
      </c>
      <c r="M521" s="2">
        <f ca="1">IFERROR(__xludf.DUMMYFUNCTION("""COMPUTED_VALUE"""),1504)</f>
        <v>1504</v>
      </c>
    </row>
    <row r="522" spans="1:13">
      <c r="A522" s="2">
        <f ca="1">IFERROR(__xludf.DUMMYFUNCTION("""COMPUTED_VALUE"""),527)</f>
        <v>527</v>
      </c>
      <c r="B522" s="2" t="str">
        <f ca="1">IFERROR(__xludf.DUMMYFUNCTION("""COMPUTED_VALUE"""),"Lenovo")</f>
        <v>Lenovo</v>
      </c>
      <c r="C522" s="2" t="str">
        <f ca="1">IFERROR(__xludf.DUMMYFUNCTION("""COMPUTED_VALUE"""),"Legion Y720-15IKB")</f>
        <v>Legion Y720-15IKB</v>
      </c>
      <c r="D522" s="2" t="str">
        <f ca="1">IFERROR(__xludf.DUMMYFUNCTION("""COMPUTED_VALUE"""),"Gaming")</f>
        <v>Gaming</v>
      </c>
      <c r="E522" s="2">
        <f ca="1">IFERROR(__xludf.DUMMYFUNCTION("""COMPUTED_VALUE"""),15.6)</f>
        <v>15.6</v>
      </c>
      <c r="F522" s="2" t="str">
        <f ca="1">IFERROR(__xludf.DUMMYFUNCTION("""COMPUTED_VALUE"""),"IPS Panel Full HD 1920x1080")</f>
        <v>IPS Panel Full HD 1920x1080</v>
      </c>
      <c r="G522" s="2" t="str">
        <f ca="1">IFERROR(__xludf.DUMMYFUNCTION("""COMPUTED_VALUE"""),"Intel Core i7 7700HQ 2.8GHz")</f>
        <v>Intel Core i7 7700HQ 2.8GHz</v>
      </c>
      <c r="H522" s="2" t="str">
        <f ca="1">IFERROR(__xludf.DUMMYFUNCTION("""COMPUTED_VALUE"""),"8GB")</f>
        <v>8GB</v>
      </c>
      <c r="I522" s="2" t="str">
        <f ca="1">IFERROR(__xludf.DUMMYFUNCTION("""COMPUTED_VALUE"""),"256GB SSD +  1TB HDD")</f>
        <v>256GB SSD +  1TB HDD</v>
      </c>
      <c r="J522" s="2" t="str">
        <f ca="1">IFERROR(__xludf.DUMMYFUNCTION("""COMPUTED_VALUE"""),"Nvidia GeForce GTX 1060")</f>
        <v>Nvidia GeForce GTX 1060</v>
      </c>
      <c r="K522" s="2" t="str">
        <f ca="1">IFERROR(__xludf.DUMMYFUNCTION("""COMPUTED_VALUE"""),"Windows 10")</f>
        <v>Windows 10</v>
      </c>
      <c r="L522" s="2" t="str">
        <f ca="1">IFERROR(__xludf.DUMMYFUNCTION("""COMPUTED_VALUE"""),"3.2kg")</f>
        <v>3.2kg</v>
      </c>
      <c r="M522" s="2">
        <f ca="1">IFERROR(__xludf.DUMMYFUNCTION("""COMPUTED_VALUE"""),1399)</f>
        <v>1399</v>
      </c>
    </row>
    <row r="523" spans="1:13">
      <c r="A523" s="2">
        <f ca="1">IFERROR(__xludf.DUMMYFUNCTION("""COMPUTED_VALUE"""),528)</f>
        <v>528</v>
      </c>
      <c r="B523" s="2" t="str">
        <f ca="1">IFERROR(__xludf.DUMMYFUNCTION("""COMPUTED_VALUE"""),"HP")</f>
        <v>HP</v>
      </c>
      <c r="C523" s="2" t="str">
        <f ca="1">IFERROR(__xludf.DUMMYFUNCTION("""COMPUTED_VALUE"""),"Spectre X360")</f>
        <v>Spectre X360</v>
      </c>
      <c r="D523" s="2" t="str">
        <f ca="1">IFERROR(__xludf.DUMMYFUNCTION("""COMPUTED_VALUE"""),"Ultrabook")</f>
        <v>Ultrabook</v>
      </c>
      <c r="E523" s="2">
        <f ca="1">IFERROR(__xludf.DUMMYFUNCTION("""COMPUTED_VALUE"""),13.3)</f>
        <v>13.3</v>
      </c>
      <c r="F523" s="2" t="str">
        <f ca="1">IFERROR(__xludf.DUMMYFUNCTION("""COMPUTED_VALUE"""),"IPS Panel Full HD 1920x1080")</f>
        <v>IPS Panel Full HD 1920x1080</v>
      </c>
      <c r="G523" s="2" t="str">
        <f ca="1">IFERROR(__xludf.DUMMYFUNCTION("""COMPUTED_VALUE"""),"Intel Core i7 7500U 2.7GHz")</f>
        <v>Intel Core i7 7500U 2.7GHz</v>
      </c>
      <c r="H523" s="2" t="str">
        <f ca="1">IFERROR(__xludf.DUMMYFUNCTION("""COMPUTED_VALUE"""),"8GB")</f>
        <v>8GB</v>
      </c>
      <c r="I523" s="2" t="str">
        <f ca="1">IFERROR(__xludf.DUMMYFUNCTION("""COMPUTED_VALUE"""),"256GB SSD")</f>
        <v>256GB SSD</v>
      </c>
      <c r="J523" s="2" t="str">
        <f ca="1">IFERROR(__xludf.DUMMYFUNCTION("""COMPUTED_VALUE"""),"Intel HD Graphics 620")</f>
        <v>Intel HD Graphics 620</v>
      </c>
      <c r="K523" s="2" t="str">
        <f ca="1">IFERROR(__xludf.DUMMYFUNCTION("""COMPUTED_VALUE"""),"Windows 10")</f>
        <v>Windows 10</v>
      </c>
      <c r="L523" s="2" t="str">
        <f ca="1">IFERROR(__xludf.DUMMYFUNCTION("""COMPUTED_VALUE"""),"1.32kg")</f>
        <v>1.32kg</v>
      </c>
      <c r="M523" s="2">
        <f ca="1">IFERROR(__xludf.DUMMYFUNCTION("""COMPUTED_VALUE"""),1399)</f>
        <v>1399</v>
      </c>
    </row>
    <row r="524" spans="1:13">
      <c r="A524" s="2">
        <f ca="1">IFERROR(__xludf.DUMMYFUNCTION("""COMPUTED_VALUE"""),529)</f>
        <v>529</v>
      </c>
      <c r="B524" s="2" t="str">
        <f ca="1">IFERROR(__xludf.DUMMYFUNCTION("""COMPUTED_VALUE"""),"Dell")</f>
        <v>Dell</v>
      </c>
      <c r="C524" s="2" t="str">
        <f ca="1">IFERROR(__xludf.DUMMYFUNCTION("""COMPUTED_VALUE"""),"Latitude 5480")</f>
        <v>Latitude 5480</v>
      </c>
      <c r="D524" s="2" t="str">
        <f ca="1">IFERROR(__xludf.DUMMYFUNCTION("""COMPUTED_VALUE"""),"Notebook")</f>
        <v>Notebook</v>
      </c>
      <c r="E524" s="2">
        <f ca="1">IFERROR(__xludf.DUMMYFUNCTION("""COMPUTED_VALUE"""),14)</f>
        <v>14</v>
      </c>
      <c r="F524" s="2" t="str">
        <f ca="1">IFERROR(__xludf.DUMMYFUNCTION("""COMPUTED_VALUE"""),"Full HD 1920x1080")</f>
        <v>Full HD 1920x1080</v>
      </c>
      <c r="G524" s="2" t="str">
        <f ca="1">IFERROR(__xludf.DUMMYFUNCTION("""COMPUTED_VALUE"""),"Intel Core i5 7300U 2.6GHz")</f>
        <v>Intel Core i5 7300U 2.6GHz</v>
      </c>
      <c r="H524" s="2" t="str">
        <f ca="1">IFERROR(__xludf.DUMMYFUNCTION("""COMPUTED_VALUE"""),"8GB")</f>
        <v>8GB</v>
      </c>
      <c r="I524" s="2" t="str">
        <f ca="1">IFERROR(__xludf.DUMMYFUNCTION("""COMPUTED_VALUE"""),"256GB SSD")</f>
        <v>256GB SSD</v>
      </c>
      <c r="J524" s="2" t="str">
        <f ca="1">IFERROR(__xludf.DUMMYFUNCTION("""COMPUTED_VALUE"""),"Intel HD Graphics 620")</f>
        <v>Intel HD Graphics 620</v>
      </c>
      <c r="K524" s="2" t="str">
        <f ca="1">IFERROR(__xludf.DUMMYFUNCTION("""COMPUTED_VALUE"""),"Windows 10")</f>
        <v>Windows 10</v>
      </c>
      <c r="L524" s="2" t="str">
        <f ca="1">IFERROR(__xludf.DUMMYFUNCTION("""COMPUTED_VALUE"""),"1.64kg")</f>
        <v>1.64kg</v>
      </c>
      <c r="M524" s="2">
        <f ca="1">IFERROR(__xludf.DUMMYFUNCTION("""COMPUTED_VALUE"""),1279.73)</f>
        <v>1279.73</v>
      </c>
    </row>
    <row r="525" spans="1:13">
      <c r="A525" s="2">
        <f ca="1">IFERROR(__xludf.DUMMYFUNCTION("""COMPUTED_VALUE"""),530)</f>
        <v>530</v>
      </c>
      <c r="B525" s="2" t="str">
        <f ca="1">IFERROR(__xludf.DUMMYFUNCTION("""COMPUTED_VALUE"""),"HP")</f>
        <v>HP</v>
      </c>
      <c r="C525" s="2" t="str">
        <f ca="1">IFERROR(__xludf.DUMMYFUNCTION("""COMPUTED_VALUE"""),"ProBook 440")</f>
        <v>ProBook 440</v>
      </c>
      <c r="D525" s="2" t="str">
        <f ca="1">IFERROR(__xludf.DUMMYFUNCTION("""COMPUTED_VALUE"""),"Notebook")</f>
        <v>Notebook</v>
      </c>
      <c r="E525" s="2">
        <f ca="1">IFERROR(__xludf.DUMMYFUNCTION("""COMPUTED_VALUE"""),15.6)</f>
        <v>15.6</v>
      </c>
      <c r="F525" s="2" t="str">
        <f ca="1">IFERROR(__xludf.DUMMYFUNCTION("""COMPUTED_VALUE"""),"1366x768")</f>
        <v>1366x768</v>
      </c>
      <c r="G525" s="2" t="str">
        <f ca="1">IFERROR(__xludf.DUMMYFUNCTION("""COMPUTED_VALUE"""),"Intel Core i3 6006U 2GHz")</f>
        <v>Intel Core i3 6006U 2GHz</v>
      </c>
      <c r="H525" s="2" t="str">
        <f ca="1">IFERROR(__xludf.DUMMYFUNCTION("""COMPUTED_VALUE"""),"4GB")</f>
        <v>4GB</v>
      </c>
      <c r="I525" s="2" t="str">
        <f ca="1">IFERROR(__xludf.DUMMYFUNCTION("""COMPUTED_VALUE"""),"128GB SSD")</f>
        <v>128GB SSD</v>
      </c>
      <c r="J525" s="2" t="str">
        <f ca="1">IFERROR(__xludf.DUMMYFUNCTION("""COMPUTED_VALUE"""),"Intel HD Graphics 520")</f>
        <v>Intel HD Graphics 520</v>
      </c>
      <c r="K525" s="2" t="str">
        <f ca="1">IFERROR(__xludf.DUMMYFUNCTION("""COMPUTED_VALUE"""),"Windows 10")</f>
        <v>Windows 10</v>
      </c>
      <c r="L525" s="2" t="str">
        <f ca="1">IFERROR(__xludf.DUMMYFUNCTION("""COMPUTED_VALUE"""),"1.63kg")</f>
        <v>1.63kg</v>
      </c>
      <c r="M525" s="2">
        <f ca="1">IFERROR(__xludf.DUMMYFUNCTION("""COMPUTED_VALUE"""),689)</f>
        <v>689</v>
      </c>
    </row>
    <row r="526" spans="1:13">
      <c r="A526" s="2">
        <f ca="1">IFERROR(__xludf.DUMMYFUNCTION("""COMPUTED_VALUE"""),531)</f>
        <v>531</v>
      </c>
      <c r="B526" s="2" t="str">
        <f ca="1">IFERROR(__xludf.DUMMYFUNCTION("""COMPUTED_VALUE"""),"Dell")</f>
        <v>Dell</v>
      </c>
      <c r="C526" s="2" t="str">
        <f ca="1">IFERROR(__xludf.DUMMYFUNCTION("""COMPUTED_VALUE"""),"Inspiron 5770")</f>
        <v>Inspiron 5770</v>
      </c>
      <c r="D526" s="2" t="str">
        <f ca="1">IFERROR(__xludf.DUMMYFUNCTION("""COMPUTED_VALUE"""),"Notebook")</f>
        <v>Notebook</v>
      </c>
      <c r="E526" s="2">
        <f ca="1">IFERROR(__xludf.DUMMYFUNCTION("""COMPUTED_VALUE"""),17.3)</f>
        <v>17.3</v>
      </c>
      <c r="F526" s="2" t="str">
        <f ca="1">IFERROR(__xludf.DUMMYFUNCTION("""COMPUTED_VALUE"""),"IPS Panel Full HD 1920x1080")</f>
        <v>IPS Panel Full HD 1920x1080</v>
      </c>
      <c r="G526" s="2" t="str">
        <f ca="1">IFERROR(__xludf.DUMMYFUNCTION("""COMPUTED_VALUE"""),"Intel Core i5 8250U 1.6GHz")</f>
        <v>Intel Core i5 8250U 1.6GHz</v>
      </c>
      <c r="H526" s="2" t="str">
        <f ca="1">IFERROR(__xludf.DUMMYFUNCTION("""COMPUTED_VALUE"""),"8GB")</f>
        <v>8GB</v>
      </c>
      <c r="I526" s="2" t="str">
        <f ca="1">IFERROR(__xludf.DUMMYFUNCTION("""COMPUTED_VALUE"""),"128GB SSD +  1TB HDD")</f>
        <v>128GB SSD +  1TB HDD</v>
      </c>
      <c r="J526" s="2" t="str">
        <f ca="1">IFERROR(__xludf.DUMMYFUNCTION("""COMPUTED_VALUE"""),"AMD Radeon 530")</f>
        <v>AMD Radeon 530</v>
      </c>
      <c r="K526" s="2" t="str">
        <f ca="1">IFERROR(__xludf.DUMMYFUNCTION("""COMPUTED_VALUE"""),"Linux")</f>
        <v>Linux</v>
      </c>
      <c r="L526" s="2" t="str">
        <f ca="1">IFERROR(__xludf.DUMMYFUNCTION("""COMPUTED_VALUE"""),"2.8kg")</f>
        <v>2.8kg</v>
      </c>
      <c r="M526" s="2">
        <f ca="1">IFERROR(__xludf.DUMMYFUNCTION("""COMPUTED_VALUE"""),889)</f>
        <v>889</v>
      </c>
    </row>
    <row r="527" spans="1:13">
      <c r="A527" s="2">
        <f ca="1">IFERROR(__xludf.DUMMYFUNCTION("""COMPUTED_VALUE"""),532)</f>
        <v>532</v>
      </c>
      <c r="B527" s="2" t="str">
        <f ca="1">IFERROR(__xludf.DUMMYFUNCTION("""COMPUTED_VALUE"""),"Lenovo")</f>
        <v>Lenovo</v>
      </c>
      <c r="C527" s="2" t="str">
        <f ca="1">IFERROR(__xludf.DUMMYFUNCTION("""COMPUTED_VALUE"""),"ThinkPad L470")</f>
        <v>ThinkPad L470</v>
      </c>
      <c r="D527" s="2" t="str">
        <f ca="1">IFERROR(__xludf.DUMMYFUNCTION("""COMPUTED_VALUE"""),"Notebook")</f>
        <v>Notebook</v>
      </c>
      <c r="E527" s="2">
        <f ca="1">IFERROR(__xludf.DUMMYFUNCTION("""COMPUTED_VALUE"""),14)</f>
        <v>14</v>
      </c>
      <c r="F527" s="2" t="str">
        <f ca="1">IFERROR(__xludf.DUMMYFUNCTION("""COMPUTED_VALUE"""),"Full HD 1920x1080")</f>
        <v>Full HD 1920x1080</v>
      </c>
      <c r="G527" s="2" t="str">
        <f ca="1">IFERROR(__xludf.DUMMYFUNCTION("""COMPUTED_VALUE"""),"Intel Core i5 6200U 2.3GHz")</f>
        <v>Intel Core i5 6200U 2.3GHz</v>
      </c>
      <c r="H527" s="2" t="str">
        <f ca="1">IFERROR(__xludf.DUMMYFUNCTION("""COMPUTED_VALUE"""),"8GB")</f>
        <v>8GB</v>
      </c>
      <c r="I527" s="2" t="str">
        <f ca="1">IFERROR(__xludf.DUMMYFUNCTION("""COMPUTED_VALUE"""),"256GB SSD")</f>
        <v>256GB SSD</v>
      </c>
      <c r="J527" s="2" t="str">
        <f ca="1">IFERROR(__xludf.DUMMYFUNCTION("""COMPUTED_VALUE"""),"Intel HD Graphics 520")</f>
        <v>Intel HD Graphics 520</v>
      </c>
      <c r="K527" s="2" t="str">
        <f ca="1">IFERROR(__xludf.DUMMYFUNCTION("""COMPUTED_VALUE"""),"Windows 7")</f>
        <v>Windows 7</v>
      </c>
      <c r="L527" s="2" t="str">
        <f ca="1">IFERROR(__xludf.DUMMYFUNCTION("""COMPUTED_VALUE"""),"2.02kg")</f>
        <v>2.02kg</v>
      </c>
      <c r="M527" s="2">
        <f ca="1">IFERROR(__xludf.DUMMYFUNCTION("""COMPUTED_VALUE"""),1340)</f>
        <v>1340</v>
      </c>
    </row>
    <row r="528" spans="1:13">
      <c r="A528" s="2">
        <f ca="1">IFERROR(__xludf.DUMMYFUNCTION("""COMPUTED_VALUE"""),533)</f>
        <v>533</v>
      </c>
      <c r="B528" s="2" t="str">
        <f ca="1">IFERROR(__xludf.DUMMYFUNCTION("""COMPUTED_VALUE"""),"Lenovo")</f>
        <v>Lenovo</v>
      </c>
      <c r="C528" s="2" t="str">
        <f ca="1">IFERROR(__xludf.DUMMYFUNCTION("""COMPUTED_VALUE"""),"IdeaPad 320-15IKB")</f>
        <v>IdeaPad 320-15IKB</v>
      </c>
      <c r="D528" s="2" t="str">
        <f ca="1">IFERROR(__xludf.DUMMYFUNCTION("""COMPUTED_VALUE"""),"Notebook")</f>
        <v>Notebook</v>
      </c>
      <c r="E528" s="2">
        <f ca="1">IFERROR(__xludf.DUMMYFUNCTION("""COMPUTED_VALUE"""),15.6)</f>
        <v>15.6</v>
      </c>
      <c r="F528" s="2" t="str">
        <f ca="1">IFERROR(__xludf.DUMMYFUNCTION("""COMPUTED_VALUE"""),"Full HD 1920x1080")</f>
        <v>Full HD 1920x1080</v>
      </c>
      <c r="G528" s="2" t="str">
        <f ca="1">IFERROR(__xludf.DUMMYFUNCTION("""COMPUTED_VALUE"""),"Intel Core i7 7500U 2.7GHz")</f>
        <v>Intel Core i7 7500U 2.7GHz</v>
      </c>
      <c r="H528" s="2" t="str">
        <f ca="1">IFERROR(__xludf.DUMMYFUNCTION("""COMPUTED_VALUE"""),"4GB")</f>
        <v>4GB</v>
      </c>
      <c r="I528" s="2" t="str">
        <f ca="1">IFERROR(__xludf.DUMMYFUNCTION("""COMPUTED_VALUE"""),"1TB HDD")</f>
        <v>1TB HDD</v>
      </c>
      <c r="J528" s="2" t="str">
        <f ca="1">IFERROR(__xludf.DUMMYFUNCTION("""COMPUTED_VALUE"""),"Nvidia GeForce 920MX")</f>
        <v>Nvidia GeForce 920MX</v>
      </c>
      <c r="K528" s="2" t="str">
        <f ca="1">IFERROR(__xludf.DUMMYFUNCTION("""COMPUTED_VALUE"""),"Windows 10")</f>
        <v>Windows 10</v>
      </c>
      <c r="L528" s="2" t="str">
        <f ca="1">IFERROR(__xludf.DUMMYFUNCTION("""COMPUTED_VALUE"""),"2.2kg")</f>
        <v>2.2kg</v>
      </c>
      <c r="M528" s="2">
        <f ca="1">IFERROR(__xludf.DUMMYFUNCTION("""COMPUTED_VALUE"""),799)</f>
        <v>799</v>
      </c>
    </row>
    <row r="529" spans="1:13">
      <c r="A529" s="2">
        <f ca="1">IFERROR(__xludf.DUMMYFUNCTION("""COMPUTED_VALUE"""),534)</f>
        <v>534</v>
      </c>
      <c r="B529" s="2" t="str">
        <f ca="1">IFERROR(__xludf.DUMMYFUNCTION("""COMPUTED_VALUE"""),"Lenovo")</f>
        <v>Lenovo</v>
      </c>
      <c r="C529" s="2" t="str">
        <f ca="1">IFERROR(__xludf.DUMMYFUNCTION("""COMPUTED_VALUE"""),"IdeaPad 320-15ISK")</f>
        <v>IdeaPad 320-15ISK</v>
      </c>
      <c r="D529" s="2" t="str">
        <f ca="1">IFERROR(__xludf.DUMMYFUNCTION("""COMPUTED_VALUE"""),"Notebook")</f>
        <v>Notebook</v>
      </c>
      <c r="E529" s="2">
        <f ca="1">IFERROR(__xludf.DUMMYFUNCTION("""COMPUTED_VALUE"""),15.6)</f>
        <v>15.6</v>
      </c>
      <c r="F529" s="2" t="str">
        <f ca="1">IFERROR(__xludf.DUMMYFUNCTION("""COMPUTED_VALUE"""),"1366x768")</f>
        <v>1366x768</v>
      </c>
      <c r="G529" s="2" t="str">
        <f ca="1">IFERROR(__xludf.DUMMYFUNCTION("""COMPUTED_VALUE"""),"Intel Core i3 6006U 2GHz")</f>
        <v>Intel Core i3 6006U 2GHz</v>
      </c>
      <c r="H529" s="2" t="str">
        <f ca="1">IFERROR(__xludf.DUMMYFUNCTION("""COMPUTED_VALUE"""),"8GB")</f>
        <v>8GB</v>
      </c>
      <c r="I529" s="2" t="str">
        <f ca="1">IFERROR(__xludf.DUMMYFUNCTION("""COMPUTED_VALUE"""),"2TB HDD")</f>
        <v>2TB HDD</v>
      </c>
      <c r="J529" s="2" t="str">
        <f ca="1">IFERROR(__xludf.DUMMYFUNCTION("""COMPUTED_VALUE"""),"Nvidia GeForce 920MX ")</f>
        <v xml:space="preserve">Nvidia GeForce 920MX </v>
      </c>
      <c r="K529" s="2" t="str">
        <f ca="1">IFERROR(__xludf.DUMMYFUNCTION("""COMPUTED_VALUE"""),"No OS")</f>
        <v>No OS</v>
      </c>
      <c r="L529" s="2" t="str">
        <f ca="1">IFERROR(__xludf.DUMMYFUNCTION("""COMPUTED_VALUE"""),"2.2kg")</f>
        <v>2.2kg</v>
      </c>
      <c r="M529" s="2">
        <f ca="1">IFERROR(__xludf.DUMMYFUNCTION("""COMPUTED_VALUE"""),459)</f>
        <v>459</v>
      </c>
    </row>
    <row r="530" spans="1:13">
      <c r="A530" s="2">
        <f ca="1">IFERROR(__xludf.DUMMYFUNCTION("""COMPUTED_VALUE"""),535)</f>
        <v>535</v>
      </c>
      <c r="B530" s="2" t="str">
        <f ca="1">IFERROR(__xludf.DUMMYFUNCTION("""COMPUTED_VALUE"""),"Dell")</f>
        <v>Dell</v>
      </c>
      <c r="C530" s="2" t="str">
        <f ca="1">IFERROR(__xludf.DUMMYFUNCTION("""COMPUTED_VALUE"""),"Inspiron 3567")</f>
        <v>Inspiron 3567</v>
      </c>
      <c r="D530" s="2" t="str">
        <f ca="1">IFERROR(__xludf.DUMMYFUNCTION("""COMPUTED_VALUE"""),"Notebook")</f>
        <v>Notebook</v>
      </c>
      <c r="E530" s="2">
        <f ca="1">IFERROR(__xludf.DUMMYFUNCTION("""COMPUTED_VALUE"""),15.6)</f>
        <v>15.6</v>
      </c>
      <c r="F530" s="2" t="str">
        <f ca="1">IFERROR(__xludf.DUMMYFUNCTION("""COMPUTED_VALUE"""),"Full HD 1920x1080")</f>
        <v>Full HD 1920x1080</v>
      </c>
      <c r="G530" s="2" t="str">
        <f ca="1">IFERROR(__xludf.DUMMYFUNCTION("""COMPUTED_VALUE"""),"Intel Core i5 7200U 2.5GHz")</f>
        <v>Intel Core i5 7200U 2.5GHz</v>
      </c>
      <c r="H530" s="2" t="str">
        <f ca="1">IFERROR(__xludf.DUMMYFUNCTION("""COMPUTED_VALUE"""),"4GB")</f>
        <v>4GB</v>
      </c>
      <c r="I530" s="2" t="str">
        <f ca="1">IFERROR(__xludf.DUMMYFUNCTION("""COMPUTED_VALUE"""),"500GB HDD")</f>
        <v>500GB HDD</v>
      </c>
      <c r="J530" s="2" t="str">
        <f ca="1">IFERROR(__xludf.DUMMYFUNCTION("""COMPUTED_VALUE"""),"AMD Radeon R5 M430")</f>
        <v>AMD Radeon R5 M430</v>
      </c>
      <c r="K530" s="2" t="str">
        <f ca="1">IFERROR(__xludf.DUMMYFUNCTION("""COMPUTED_VALUE"""),"Windows 10")</f>
        <v>Windows 10</v>
      </c>
      <c r="L530" s="2" t="str">
        <f ca="1">IFERROR(__xludf.DUMMYFUNCTION("""COMPUTED_VALUE"""),"2.3kg")</f>
        <v>2.3kg</v>
      </c>
      <c r="M530" s="2">
        <f ca="1">IFERROR(__xludf.DUMMYFUNCTION("""COMPUTED_VALUE"""),585)</f>
        <v>585</v>
      </c>
    </row>
    <row r="531" spans="1:13">
      <c r="A531" s="2">
        <f ca="1">IFERROR(__xludf.DUMMYFUNCTION("""COMPUTED_VALUE"""),536)</f>
        <v>536</v>
      </c>
      <c r="B531" s="2" t="str">
        <f ca="1">IFERROR(__xludf.DUMMYFUNCTION("""COMPUTED_VALUE"""),"Dell")</f>
        <v>Dell</v>
      </c>
      <c r="C531" s="2" t="str">
        <f ca="1">IFERROR(__xludf.DUMMYFUNCTION("""COMPUTED_VALUE"""),"Latitude 5580")</f>
        <v>Latitude 5580</v>
      </c>
      <c r="D531" s="2" t="str">
        <f ca="1">IFERROR(__xludf.DUMMYFUNCTION("""COMPUTED_VALUE"""),"Notebook")</f>
        <v>Notebook</v>
      </c>
      <c r="E531" s="2">
        <f ca="1">IFERROR(__xludf.DUMMYFUNCTION("""COMPUTED_VALUE"""),15.6)</f>
        <v>15.6</v>
      </c>
      <c r="F531" s="2" t="str">
        <f ca="1">IFERROR(__xludf.DUMMYFUNCTION("""COMPUTED_VALUE"""),"Full HD 1920x1080")</f>
        <v>Full HD 1920x1080</v>
      </c>
      <c r="G531" s="2" t="str">
        <f ca="1">IFERROR(__xludf.DUMMYFUNCTION("""COMPUTED_VALUE"""),"Intel Core i5 7440HQ 2.8GHz")</f>
        <v>Intel Core i5 7440HQ 2.8GHz</v>
      </c>
      <c r="H531" s="2" t="str">
        <f ca="1">IFERROR(__xludf.DUMMYFUNCTION("""COMPUTED_VALUE"""),"8GB")</f>
        <v>8GB</v>
      </c>
      <c r="I531" s="2" t="str">
        <f ca="1">IFERROR(__xludf.DUMMYFUNCTION("""COMPUTED_VALUE"""),"256GB SSD")</f>
        <v>256GB SSD</v>
      </c>
      <c r="J531" s="2" t="str">
        <f ca="1">IFERROR(__xludf.DUMMYFUNCTION("""COMPUTED_VALUE"""),"Intel HD Graphics 620")</f>
        <v>Intel HD Graphics 620</v>
      </c>
      <c r="K531" s="2" t="str">
        <f ca="1">IFERROR(__xludf.DUMMYFUNCTION("""COMPUTED_VALUE"""),"Windows 10")</f>
        <v>Windows 10</v>
      </c>
      <c r="L531" s="2" t="str">
        <f ca="1">IFERROR(__xludf.DUMMYFUNCTION("""COMPUTED_VALUE"""),"1.9kg")</f>
        <v>1.9kg</v>
      </c>
      <c r="M531" s="2">
        <f ca="1">IFERROR(__xludf.DUMMYFUNCTION("""COMPUTED_VALUE"""),1377)</f>
        <v>1377</v>
      </c>
    </row>
    <row r="532" spans="1:13">
      <c r="A532" s="2">
        <f ca="1">IFERROR(__xludf.DUMMYFUNCTION("""COMPUTED_VALUE"""),537)</f>
        <v>537</v>
      </c>
      <c r="B532" s="2" t="str">
        <f ca="1">IFERROR(__xludf.DUMMYFUNCTION("""COMPUTED_VALUE"""),"Dell")</f>
        <v>Dell</v>
      </c>
      <c r="C532" s="2" t="str">
        <f ca="1">IFERROR(__xludf.DUMMYFUNCTION("""COMPUTED_VALUE"""),"Alienware 17")</f>
        <v>Alienware 17</v>
      </c>
      <c r="D532" s="2" t="str">
        <f ca="1">IFERROR(__xludf.DUMMYFUNCTION("""COMPUTED_VALUE"""),"Gaming")</f>
        <v>Gaming</v>
      </c>
      <c r="E532" s="2">
        <f ca="1">IFERROR(__xludf.DUMMYFUNCTION("""COMPUTED_VALUE"""),17.3)</f>
        <v>17.3</v>
      </c>
      <c r="F532" s="2" t="str">
        <f ca="1">IFERROR(__xludf.DUMMYFUNCTION("""COMPUTED_VALUE"""),"IPS Panel Full HD 1920x1080")</f>
        <v>IPS Panel Full HD 1920x1080</v>
      </c>
      <c r="G532" s="2" t="str">
        <f ca="1">IFERROR(__xludf.DUMMYFUNCTION("""COMPUTED_VALUE"""),"Intel Core i7 7700HQ 2.8GHz")</f>
        <v>Intel Core i7 7700HQ 2.8GHz</v>
      </c>
      <c r="H532" s="2" t="str">
        <f ca="1">IFERROR(__xludf.DUMMYFUNCTION("""COMPUTED_VALUE"""),"16GB")</f>
        <v>16GB</v>
      </c>
      <c r="I532" s="2" t="str">
        <f ca="1">IFERROR(__xludf.DUMMYFUNCTION("""COMPUTED_VALUE"""),"128GB SSD +  1TB HDD")</f>
        <v>128GB SSD +  1TB HDD</v>
      </c>
      <c r="J532" s="2" t="str">
        <f ca="1">IFERROR(__xludf.DUMMYFUNCTION("""COMPUTED_VALUE"""),"Nvidia GeForce GTX 1070")</f>
        <v>Nvidia GeForce GTX 1070</v>
      </c>
      <c r="K532" s="2" t="str">
        <f ca="1">IFERROR(__xludf.DUMMYFUNCTION("""COMPUTED_VALUE"""),"Windows 10")</f>
        <v>Windows 10</v>
      </c>
      <c r="L532" s="2" t="str">
        <f ca="1">IFERROR(__xludf.DUMMYFUNCTION("""COMPUTED_VALUE"""),"4.42kg")</f>
        <v>4.42kg</v>
      </c>
      <c r="M532" s="2">
        <f ca="1">IFERROR(__xludf.DUMMYFUNCTION("""COMPUTED_VALUE"""),3012.77)</f>
        <v>3012.77</v>
      </c>
    </row>
    <row r="533" spans="1:13">
      <c r="A533" s="2">
        <f ca="1">IFERROR(__xludf.DUMMYFUNCTION("""COMPUTED_VALUE"""),538)</f>
        <v>538</v>
      </c>
      <c r="B533" s="2" t="str">
        <f ca="1">IFERROR(__xludf.DUMMYFUNCTION("""COMPUTED_VALUE"""),"Toshiba")</f>
        <v>Toshiba</v>
      </c>
      <c r="C533" s="2" t="str">
        <f ca="1">IFERROR(__xludf.DUMMYFUNCTION("""COMPUTED_VALUE"""),"Satellite Pro")</f>
        <v>Satellite Pro</v>
      </c>
      <c r="D533" s="2" t="str">
        <f ca="1">IFERROR(__xludf.DUMMYFUNCTION("""COMPUTED_VALUE"""),"Notebook")</f>
        <v>Notebook</v>
      </c>
      <c r="E533" s="2">
        <f ca="1">IFERROR(__xludf.DUMMYFUNCTION("""COMPUTED_VALUE"""),15.6)</f>
        <v>15.6</v>
      </c>
      <c r="F533" s="2" t="str">
        <f ca="1">IFERROR(__xludf.DUMMYFUNCTION("""COMPUTED_VALUE"""),"IPS Panel Full HD 1920x1080")</f>
        <v>IPS Panel Full HD 1920x1080</v>
      </c>
      <c r="G533" s="2" t="str">
        <f ca="1">IFERROR(__xludf.DUMMYFUNCTION("""COMPUTED_VALUE"""),"Intel Core i5 7200U 2.5GHz")</f>
        <v>Intel Core i5 7200U 2.5GHz</v>
      </c>
      <c r="H533" s="2" t="str">
        <f ca="1">IFERROR(__xludf.DUMMYFUNCTION("""COMPUTED_VALUE"""),"8GB")</f>
        <v>8GB</v>
      </c>
      <c r="I533" s="2" t="str">
        <f ca="1">IFERROR(__xludf.DUMMYFUNCTION("""COMPUTED_VALUE"""),"500GB HDD")</f>
        <v>500GB HDD</v>
      </c>
      <c r="J533" s="2" t="str">
        <f ca="1">IFERROR(__xludf.DUMMYFUNCTION("""COMPUTED_VALUE"""),"Intel HD Graphics 620")</f>
        <v>Intel HD Graphics 620</v>
      </c>
      <c r="K533" s="2" t="str">
        <f ca="1">IFERROR(__xludf.DUMMYFUNCTION("""COMPUTED_VALUE"""),"Windows 10")</f>
        <v>Windows 10</v>
      </c>
      <c r="L533" s="2" t="str">
        <f ca="1">IFERROR(__xludf.DUMMYFUNCTION("""COMPUTED_VALUE"""),"2.0kg")</f>
        <v>2.0kg</v>
      </c>
      <c r="M533" s="2">
        <f ca="1">IFERROR(__xludf.DUMMYFUNCTION("""COMPUTED_VALUE"""),860)</f>
        <v>860</v>
      </c>
    </row>
    <row r="534" spans="1:13">
      <c r="A534" s="2">
        <f ca="1">IFERROR(__xludf.DUMMYFUNCTION("""COMPUTED_VALUE"""),539)</f>
        <v>539</v>
      </c>
      <c r="B534" s="2" t="str">
        <f ca="1">IFERROR(__xludf.DUMMYFUNCTION("""COMPUTED_VALUE"""),"Asus")</f>
        <v>Asus</v>
      </c>
      <c r="C534" s="2" t="str">
        <f ca="1">IFERROR(__xludf.DUMMYFUNCTION("""COMPUTED_VALUE"""),"Zenbook UX510UW-FI095T")</f>
        <v>Zenbook UX510UW-FI095T</v>
      </c>
      <c r="D534" s="2" t="str">
        <f ca="1">IFERROR(__xludf.DUMMYFUNCTION("""COMPUTED_VALUE"""),"Notebook")</f>
        <v>Notebook</v>
      </c>
      <c r="E534" s="2">
        <f ca="1">IFERROR(__xludf.DUMMYFUNCTION("""COMPUTED_VALUE"""),15.6)</f>
        <v>15.6</v>
      </c>
      <c r="F534" s="2" t="str">
        <f ca="1">IFERROR(__xludf.DUMMYFUNCTION("""COMPUTED_VALUE"""),"IPS Panel 4K Ultra HD 3840x2160")</f>
        <v>IPS Panel 4K Ultra HD 3840x2160</v>
      </c>
      <c r="G534" s="2" t="str">
        <f ca="1">IFERROR(__xludf.DUMMYFUNCTION("""COMPUTED_VALUE"""),"Intel Core i7 7500U 2.7GHz")</f>
        <v>Intel Core i7 7500U 2.7GHz</v>
      </c>
      <c r="H534" s="2" t="str">
        <f ca="1">IFERROR(__xludf.DUMMYFUNCTION("""COMPUTED_VALUE"""),"8GB")</f>
        <v>8GB</v>
      </c>
      <c r="I534" s="2" t="str">
        <f ca="1">IFERROR(__xludf.DUMMYFUNCTION("""COMPUTED_VALUE"""),"256GB SSD +  1TB HDD")</f>
        <v>256GB SSD +  1TB HDD</v>
      </c>
      <c r="J534" s="2" t="str">
        <f ca="1">IFERROR(__xludf.DUMMYFUNCTION("""COMPUTED_VALUE"""),"Nvidia GeForce GTX 960M")</f>
        <v>Nvidia GeForce GTX 960M</v>
      </c>
      <c r="K534" s="2" t="str">
        <f ca="1">IFERROR(__xludf.DUMMYFUNCTION("""COMPUTED_VALUE"""),"Windows 10")</f>
        <v>Windows 10</v>
      </c>
      <c r="L534" s="2" t="str">
        <f ca="1">IFERROR(__xludf.DUMMYFUNCTION("""COMPUTED_VALUE"""),"2kg")</f>
        <v>2kg</v>
      </c>
      <c r="M534" s="2">
        <f ca="1">IFERROR(__xludf.DUMMYFUNCTION("""COMPUTED_VALUE"""),1299)</f>
        <v>1299</v>
      </c>
    </row>
    <row r="535" spans="1:13">
      <c r="A535" s="2">
        <f ca="1">IFERROR(__xludf.DUMMYFUNCTION("""COMPUTED_VALUE"""),540)</f>
        <v>540</v>
      </c>
      <c r="B535" s="2" t="str">
        <f ca="1">IFERROR(__xludf.DUMMYFUNCTION("""COMPUTED_VALUE"""),"Mediacom")</f>
        <v>Mediacom</v>
      </c>
      <c r="C535" s="2" t="str">
        <f ca="1">IFERROR(__xludf.DUMMYFUNCTION("""COMPUTED_VALUE"""),"SmartBook Edge")</f>
        <v>SmartBook Edge</v>
      </c>
      <c r="D535" s="2" t="str">
        <f ca="1">IFERROR(__xludf.DUMMYFUNCTION("""COMPUTED_VALUE"""),"Notebook")</f>
        <v>Notebook</v>
      </c>
      <c r="E535" s="2">
        <f ca="1">IFERROR(__xludf.DUMMYFUNCTION("""COMPUTED_VALUE"""),13.3)</f>
        <v>13.3</v>
      </c>
      <c r="F535" s="2" t="str">
        <f ca="1">IFERROR(__xludf.DUMMYFUNCTION("""COMPUTED_VALUE"""),"IPS Panel Full HD 1920x1080")</f>
        <v>IPS Panel Full HD 1920x1080</v>
      </c>
      <c r="G535" s="2" t="str">
        <f ca="1">IFERROR(__xludf.DUMMYFUNCTION("""COMPUTED_VALUE"""),"Intel Celeron Quad Core N3450 1.1GHz")</f>
        <v>Intel Celeron Quad Core N3450 1.1GHz</v>
      </c>
      <c r="H535" s="2" t="str">
        <f ca="1">IFERROR(__xludf.DUMMYFUNCTION("""COMPUTED_VALUE"""),"4GB")</f>
        <v>4GB</v>
      </c>
      <c r="I535" s="2" t="str">
        <f ca="1">IFERROR(__xludf.DUMMYFUNCTION("""COMPUTED_VALUE"""),"32GB SSD")</f>
        <v>32GB SSD</v>
      </c>
      <c r="J535" s="2" t="str">
        <f ca="1">IFERROR(__xludf.DUMMYFUNCTION("""COMPUTED_VALUE"""),"Intel HD Graphics 500")</f>
        <v>Intel HD Graphics 500</v>
      </c>
      <c r="K535" s="2" t="str">
        <f ca="1">IFERROR(__xludf.DUMMYFUNCTION("""COMPUTED_VALUE"""),"Windows 10")</f>
        <v>Windows 10</v>
      </c>
      <c r="L535" s="2" t="str">
        <f ca="1">IFERROR(__xludf.DUMMYFUNCTION("""COMPUTED_VALUE"""),"1.2kg")</f>
        <v>1.2kg</v>
      </c>
      <c r="M535" s="2">
        <f ca="1">IFERROR(__xludf.DUMMYFUNCTION("""COMPUTED_VALUE"""),369)</f>
        <v>369</v>
      </c>
    </row>
    <row r="536" spans="1:13">
      <c r="A536" s="2">
        <f ca="1">IFERROR(__xludf.DUMMYFUNCTION("""COMPUTED_VALUE"""),541)</f>
        <v>541</v>
      </c>
      <c r="B536" s="2" t="str">
        <f ca="1">IFERROR(__xludf.DUMMYFUNCTION("""COMPUTED_VALUE"""),"Asus")</f>
        <v>Asus</v>
      </c>
      <c r="C536" s="2" t="str">
        <f ca="1">IFERROR(__xludf.DUMMYFUNCTION("""COMPUTED_VALUE"""),"ROG Strix")</f>
        <v>ROG Strix</v>
      </c>
      <c r="D536" s="2" t="str">
        <f ca="1">IFERROR(__xludf.DUMMYFUNCTION("""COMPUTED_VALUE"""),"Gaming")</f>
        <v>Gaming</v>
      </c>
      <c r="E536" s="2">
        <f ca="1">IFERROR(__xludf.DUMMYFUNCTION("""COMPUTED_VALUE"""),15.6)</f>
        <v>15.6</v>
      </c>
      <c r="F536" s="2" t="str">
        <f ca="1">IFERROR(__xludf.DUMMYFUNCTION("""COMPUTED_VALUE"""),"IPS Panel Full HD 1920x1080")</f>
        <v>IPS Panel Full HD 1920x1080</v>
      </c>
      <c r="G536" s="2" t="str">
        <f ca="1">IFERROR(__xludf.DUMMYFUNCTION("""COMPUTED_VALUE"""),"Intel Core i5 7300HQ 2.5GHz")</f>
        <v>Intel Core i5 7300HQ 2.5GHz</v>
      </c>
      <c r="H536" s="2" t="str">
        <f ca="1">IFERROR(__xludf.DUMMYFUNCTION("""COMPUTED_VALUE"""),"8GB")</f>
        <v>8GB</v>
      </c>
      <c r="I536" s="2" t="str">
        <f ca="1">IFERROR(__xludf.DUMMYFUNCTION("""COMPUTED_VALUE"""),"128GB SSD +  1TB HDD")</f>
        <v>128GB SSD +  1TB HDD</v>
      </c>
      <c r="J536" s="2" t="str">
        <f ca="1">IFERROR(__xludf.DUMMYFUNCTION("""COMPUTED_VALUE"""),"Nvidia GeForce GTX 1060")</f>
        <v>Nvidia GeForce GTX 1060</v>
      </c>
      <c r="K536" s="2" t="str">
        <f ca="1">IFERROR(__xludf.DUMMYFUNCTION("""COMPUTED_VALUE"""),"Windows 10")</f>
        <v>Windows 10</v>
      </c>
      <c r="L536" s="2" t="str">
        <f ca="1">IFERROR(__xludf.DUMMYFUNCTION("""COMPUTED_VALUE"""),"2.3kg")</f>
        <v>2.3kg</v>
      </c>
      <c r="M536" s="2">
        <f ca="1">IFERROR(__xludf.DUMMYFUNCTION("""COMPUTED_VALUE"""),1649)</f>
        <v>1649</v>
      </c>
    </row>
    <row r="537" spans="1:13">
      <c r="A537" s="2">
        <f ca="1">IFERROR(__xludf.DUMMYFUNCTION("""COMPUTED_VALUE"""),542)</f>
        <v>542</v>
      </c>
      <c r="B537" s="2" t="str">
        <f ca="1">IFERROR(__xludf.DUMMYFUNCTION("""COMPUTED_VALUE"""),"Dell")</f>
        <v>Dell</v>
      </c>
      <c r="C537" s="2" t="str">
        <f ca="1">IFERROR(__xludf.DUMMYFUNCTION("""COMPUTED_VALUE"""),"Latitude 5580")</f>
        <v>Latitude 5580</v>
      </c>
      <c r="D537" s="2" t="str">
        <f ca="1">IFERROR(__xludf.DUMMYFUNCTION("""COMPUTED_VALUE"""),"Notebook")</f>
        <v>Notebook</v>
      </c>
      <c r="E537" s="2">
        <f ca="1">IFERROR(__xludf.DUMMYFUNCTION("""COMPUTED_VALUE"""),15.6)</f>
        <v>15.6</v>
      </c>
      <c r="F537" s="2" t="str">
        <f ca="1">IFERROR(__xludf.DUMMYFUNCTION("""COMPUTED_VALUE"""),"Full HD 1920x1080")</f>
        <v>Full HD 1920x1080</v>
      </c>
      <c r="G537" s="2" t="str">
        <f ca="1">IFERROR(__xludf.DUMMYFUNCTION("""COMPUTED_VALUE"""),"Intel Core i7 7600U 2.8GHz")</f>
        <v>Intel Core i7 7600U 2.8GHz</v>
      </c>
      <c r="H537" s="2" t="str">
        <f ca="1">IFERROR(__xludf.DUMMYFUNCTION("""COMPUTED_VALUE"""),"8GB")</f>
        <v>8GB</v>
      </c>
      <c r="I537" s="2" t="str">
        <f ca="1">IFERROR(__xludf.DUMMYFUNCTION("""COMPUTED_VALUE"""),"256GB SSD")</f>
        <v>256GB SSD</v>
      </c>
      <c r="J537" s="2" t="str">
        <f ca="1">IFERROR(__xludf.DUMMYFUNCTION("""COMPUTED_VALUE"""),"Nvidia GeForce 930MX")</f>
        <v>Nvidia GeForce 930MX</v>
      </c>
      <c r="K537" s="2" t="str">
        <f ca="1">IFERROR(__xludf.DUMMYFUNCTION("""COMPUTED_VALUE"""),"Windows 10")</f>
        <v>Windows 10</v>
      </c>
      <c r="L537" s="2" t="str">
        <f ca="1">IFERROR(__xludf.DUMMYFUNCTION("""COMPUTED_VALUE"""),"1.93kg")</f>
        <v>1.93kg</v>
      </c>
      <c r="M537" s="2">
        <f ca="1">IFERROR(__xludf.DUMMYFUNCTION("""COMPUTED_VALUE"""),1369)</f>
        <v>1369</v>
      </c>
    </row>
    <row r="538" spans="1:13">
      <c r="A538" s="2">
        <f ca="1">IFERROR(__xludf.DUMMYFUNCTION("""COMPUTED_VALUE"""),543)</f>
        <v>543</v>
      </c>
      <c r="B538" s="2" t="str">
        <f ca="1">IFERROR(__xludf.DUMMYFUNCTION("""COMPUTED_VALUE"""),"Dell")</f>
        <v>Dell</v>
      </c>
      <c r="C538" s="2" t="str">
        <f ca="1">IFERROR(__xludf.DUMMYFUNCTION("""COMPUTED_VALUE"""),"Inspiron 5570")</f>
        <v>Inspiron 5570</v>
      </c>
      <c r="D538" s="2" t="str">
        <f ca="1">IFERROR(__xludf.DUMMYFUNCTION("""COMPUTED_VALUE"""),"Notebook")</f>
        <v>Notebook</v>
      </c>
      <c r="E538" s="2">
        <f ca="1">IFERROR(__xludf.DUMMYFUNCTION("""COMPUTED_VALUE"""),15.6)</f>
        <v>15.6</v>
      </c>
      <c r="F538" s="2" t="str">
        <f ca="1">IFERROR(__xludf.DUMMYFUNCTION("""COMPUTED_VALUE"""),"Full HD 1920x1080")</f>
        <v>Full HD 1920x1080</v>
      </c>
      <c r="G538" s="2" t="str">
        <f ca="1">IFERROR(__xludf.DUMMYFUNCTION("""COMPUTED_VALUE"""),"Intel Core i5 8250U 1.6GHz")</f>
        <v>Intel Core i5 8250U 1.6GHz</v>
      </c>
      <c r="H538" s="2" t="str">
        <f ca="1">IFERROR(__xludf.DUMMYFUNCTION("""COMPUTED_VALUE"""),"8GB")</f>
        <v>8GB</v>
      </c>
      <c r="I538" s="2" t="str">
        <f ca="1">IFERROR(__xludf.DUMMYFUNCTION("""COMPUTED_VALUE"""),"256GB SSD")</f>
        <v>256GB SSD</v>
      </c>
      <c r="J538" s="2" t="str">
        <f ca="1">IFERROR(__xludf.DUMMYFUNCTION("""COMPUTED_VALUE"""),"AMD Radeon 530")</f>
        <v>AMD Radeon 530</v>
      </c>
      <c r="K538" s="2" t="str">
        <f ca="1">IFERROR(__xludf.DUMMYFUNCTION("""COMPUTED_VALUE"""),"Windows 10")</f>
        <v>Windows 10</v>
      </c>
      <c r="L538" s="2" t="str">
        <f ca="1">IFERROR(__xludf.DUMMYFUNCTION("""COMPUTED_VALUE"""),"2.2kg")</f>
        <v>2.2kg</v>
      </c>
      <c r="M538" s="2">
        <f ca="1">IFERROR(__xludf.DUMMYFUNCTION("""COMPUTED_VALUE"""),797.41)</f>
        <v>797.41</v>
      </c>
    </row>
    <row r="539" spans="1:13">
      <c r="A539" s="2">
        <f ca="1">IFERROR(__xludf.DUMMYFUNCTION("""COMPUTED_VALUE"""),544)</f>
        <v>544</v>
      </c>
      <c r="B539" s="2" t="str">
        <f ca="1">IFERROR(__xludf.DUMMYFUNCTION("""COMPUTED_VALUE"""),"HP")</f>
        <v>HP</v>
      </c>
      <c r="C539" s="2" t="str">
        <f ca="1">IFERROR(__xludf.DUMMYFUNCTION("""COMPUTED_VALUE"""),"250 G6")</f>
        <v>250 G6</v>
      </c>
      <c r="D539" s="2" t="str">
        <f ca="1">IFERROR(__xludf.DUMMYFUNCTION("""COMPUTED_VALUE"""),"Notebook")</f>
        <v>Notebook</v>
      </c>
      <c r="E539" s="2">
        <f ca="1">IFERROR(__xludf.DUMMYFUNCTION("""COMPUTED_VALUE"""),15.6)</f>
        <v>15.6</v>
      </c>
      <c r="F539" s="2" t="str">
        <f ca="1">IFERROR(__xludf.DUMMYFUNCTION("""COMPUTED_VALUE"""),"Full HD 1920x1080")</f>
        <v>Full HD 1920x1080</v>
      </c>
      <c r="G539" s="2" t="str">
        <f ca="1">IFERROR(__xludf.DUMMYFUNCTION("""COMPUTED_VALUE"""),"Intel Pentium Quad Core N3710 1.6GHz")</f>
        <v>Intel Pentium Quad Core N3710 1.6GHz</v>
      </c>
      <c r="H539" s="2" t="str">
        <f ca="1">IFERROR(__xludf.DUMMYFUNCTION("""COMPUTED_VALUE"""),"4GB")</f>
        <v>4GB</v>
      </c>
      <c r="I539" s="2" t="str">
        <f ca="1">IFERROR(__xludf.DUMMYFUNCTION("""COMPUTED_VALUE"""),"256GB SSD")</f>
        <v>256GB SSD</v>
      </c>
      <c r="J539" s="2" t="str">
        <f ca="1">IFERROR(__xludf.DUMMYFUNCTION("""COMPUTED_VALUE"""),"Intel HD Graphics 405")</f>
        <v>Intel HD Graphics 405</v>
      </c>
      <c r="K539" s="2" t="str">
        <f ca="1">IFERROR(__xludf.DUMMYFUNCTION("""COMPUTED_VALUE"""),"Windows 10")</f>
        <v>Windows 10</v>
      </c>
      <c r="L539" s="2" t="str">
        <f ca="1">IFERROR(__xludf.DUMMYFUNCTION("""COMPUTED_VALUE"""),"1.86kg")</f>
        <v>1.86kg</v>
      </c>
      <c r="M539" s="2">
        <f ca="1">IFERROR(__xludf.DUMMYFUNCTION("""COMPUTED_VALUE"""),398.99)</f>
        <v>398.99</v>
      </c>
    </row>
    <row r="540" spans="1:13">
      <c r="A540" s="2">
        <f ca="1">IFERROR(__xludf.DUMMYFUNCTION("""COMPUTED_VALUE"""),545)</f>
        <v>545</v>
      </c>
      <c r="B540" s="2" t="str">
        <f ca="1">IFERROR(__xludf.DUMMYFUNCTION("""COMPUTED_VALUE"""),"HP")</f>
        <v>HP</v>
      </c>
      <c r="C540" s="2" t="str">
        <f ca="1">IFERROR(__xludf.DUMMYFUNCTION("""COMPUTED_VALUE"""),"Omen 15-ce006nv")</f>
        <v>Omen 15-ce006nv</v>
      </c>
      <c r="D540" s="2" t="str">
        <f ca="1">IFERROR(__xludf.DUMMYFUNCTION("""COMPUTED_VALUE"""),"Gaming")</f>
        <v>Gaming</v>
      </c>
      <c r="E540" s="2">
        <f ca="1">IFERROR(__xludf.DUMMYFUNCTION("""COMPUTED_VALUE"""),17.3)</f>
        <v>17.3</v>
      </c>
      <c r="F540" s="2" t="str">
        <f ca="1">IFERROR(__xludf.DUMMYFUNCTION("""COMPUTED_VALUE"""),"Full HD 1920x1080")</f>
        <v>Full HD 1920x1080</v>
      </c>
      <c r="G540" s="2" t="str">
        <f ca="1">IFERROR(__xludf.DUMMYFUNCTION("""COMPUTED_VALUE"""),"Intel Core i7 7700HQ 2.8GHz")</f>
        <v>Intel Core i7 7700HQ 2.8GHz</v>
      </c>
      <c r="H540" s="2" t="str">
        <f ca="1">IFERROR(__xludf.DUMMYFUNCTION("""COMPUTED_VALUE"""),"12GB")</f>
        <v>12GB</v>
      </c>
      <c r="I540" s="2" t="str">
        <f ca="1">IFERROR(__xludf.DUMMYFUNCTION("""COMPUTED_VALUE"""),"1TB HDD")</f>
        <v>1TB HDD</v>
      </c>
      <c r="J540" s="2" t="str">
        <f ca="1">IFERROR(__xludf.DUMMYFUNCTION("""COMPUTED_VALUE"""),"Nvidia GeForce GTX 1060")</f>
        <v>Nvidia GeForce GTX 1060</v>
      </c>
      <c r="K540" s="2" t="str">
        <f ca="1">IFERROR(__xludf.DUMMYFUNCTION("""COMPUTED_VALUE"""),"Windows 10")</f>
        <v>Windows 10</v>
      </c>
      <c r="L540" s="2" t="str">
        <f ca="1">IFERROR(__xludf.DUMMYFUNCTION("""COMPUTED_VALUE"""),"2.62kg")</f>
        <v>2.62kg</v>
      </c>
      <c r="M540" s="2">
        <f ca="1">IFERROR(__xludf.DUMMYFUNCTION("""COMPUTED_VALUE"""),1799)</f>
        <v>1799</v>
      </c>
    </row>
    <row r="541" spans="1:13">
      <c r="A541" s="2">
        <f ca="1">IFERROR(__xludf.DUMMYFUNCTION("""COMPUTED_VALUE"""),546)</f>
        <v>546</v>
      </c>
      <c r="B541" s="2" t="str">
        <f ca="1">IFERROR(__xludf.DUMMYFUNCTION("""COMPUTED_VALUE"""),"Lenovo")</f>
        <v>Lenovo</v>
      </c>
      <c r="C541" s="2" t="str">
        <f ca="1">IFERROR(__xludf.DUMMYFUNCTION("""COMPUTED_VALUE"""),"Thinkpad E470")</f>
        <v>Thinkpad E470</v>
      </c>
      <c r="D541" s="2" t="str">
        <f ca="1">IFERROR(__xludf.DUMMYFUNCTION("""COMPUTED_VALUE"""),"Notebook")</f>
        <v>Notebook</v>
      </c>
      <c r="E541" s="2">
        <f ca="1">IFERROR(__xludf.DUMMYFUNCTION("""COMPUTED_VALUE"""),14)</f>
        <v>14</v>
      </c>
      <c r="F541" s="2" t="str">
        <f ca="1">IFERROR(__xludf.DUMMYFUNCTION("""COMPUTED_VALUE"""),"IPS Panel Full HD 1920x1080")</f>
        <v>IPS Panel Full HD 1920x1080</v>
      </c>
      <c r="G541" s="2" t="str">
        <f ca="1">IFERROR(__xludf.DUMMYFUNCTION("""COMPUTED_VALUE"""),"Intel Core i7 7500U 2.7GHz")</f>
        <v>Intel Core i7 7500U 2.7GHz</v>
      </c>
      <c r="H541" s="2" t="str">
        <f ca="1">IFERROR(__xludf.DUMMYFUNCTION("""COMPUTED_VALUE"""),"8GB")</f>
        <v>8GB</v>
      </c>
      <c r="I541" s="2" t="str">
        <f ca="1">IFERROR(__xludf.DUMMYFUNCTION("""COMPUTED_VALUE"""),"256GB SSD")</f>
        <v>256GB SSD</v>
      </c>
      <c r="J541" s="2" t="str">
        <f ca="1">IFERROR(__xludf.DUMMYFUNCTION("""COMPUTED_VALUE"""),"Nvidia GeForce 940MX")</f>
        <v>Nvidia GeForce 940MX</v>
      </c>
      <c r="K541" s="2" t="str">
        <f ca="1">IFERROR(__xludf.DUMMYFUNCTION("""COMPUTED_VALUE"""),"Windows 10")</f>
        <v>Windows 10</v>
      </c>
      <c r="L541" s="2" t="str">
        <f ca="1">IFERROR(__xludf.DUMMYFUNCTION("""COMPUTED_VALUE"""),"1.87kg")</f>
        <v>1.87kg</v>
      </c>
      <c r="M541" s="2">
        <f ca="1">IFERROR(__xludf.DUMMYFUNCTION("""COMPUTED_VALUE"""),859)</f>
        <v>859</v>
      </c>
    </row>
    <row r="542" spans="1:13">
      <c r="A542" s="2">
        <f ca="1">IFERROR(__xludf.DUMMYFUNCTION("""COMPUTED_VALUE"""),547)</f>
        <v>547</v>
      </c>
      <c r="B542" s="2" t="str">
        <f ca="1">IFERROR(__xludf.DUMMYFUNCTION("""COMPUTED_VALUE"""),"Dell")</f>
        <v>Dell</v>
      </c>
      <c r="C542" s="2" t="str">
        <f ca="1">IFERROR(__xludf.DUMMYFUNCTION("""COMPUTED_VALUE"""),"XPS 13")</f>
        <v>XPS 13</v>
      </c>
      <c r="D542" s="2" t="str">
        <f ca="1">IFERROR(__xludf.DUMMYFUNCTION("""COMPUTED_VALUE"""),"Ultrabook")</f>
        <v>Ultrabook</v>
      </c>
      <c r="E542" s="2">
        <f ca="1">IFERROR(__xludf.DUMMYFUNCTION("""COMPUTED_VALUE"""),13.3)</f>
        <v>13.3</v>
      </c>
      <c r="F542" s="2" t="str">
        <f ca="1">IFERROR(__xludf.DUMMYFUNCTION("""COMPUTED_VALUE"""),"Quad HD+ / Touchscreen 3200x1800")</f>
        <v>Quad HD+ / Touchscreen 3200x1800</v>
      </c>
      <c r="G542" s="2" t="str">
        <f ca="1">IFERROR(__xludf.DUMMYFUNCTION("""COMPUTED_VALUE"""),"Intel Core i7 8550U 1.8GHz")</f>
        <v>Intel Core i7 8550U 1.8GHz</v>
      </c>
      <c r="H542" s="2" t="str">
        <f ca="1">IFERROR(__xludf.DUMMYFUNCTION("""COMPUTED_VALUE"""),"8GB")</f>
        <v>8GB</v>
      </c>
      <c r="I542" s="2" t="str">
        <f ca="1">IFERROR(__xludf.DUMMYFUNCTION("""COMPUTED_VALUE"""),"256GB SSD")</f>
        <v>256GB SSD</v>
      </c>
      <c r="J542" s="2" t="str">
        <f ca="1">IFERROR(__xludf.DUMMYFUNCTION("""COMPUTED_VALUE"""),"Intel UHD Graphics 620")</f>
        <v>Intel UHD Graphics 620</v>
      </c>
      <c r="K542" s="2" t="str">
        <f ca="1">IFERROR(__xludf.DUMMYFUNCTION("""COMPUTED_VALUE"""),"Windows 10")</f>
        <v>Windows 10</v>
      </c>
      <c r="L542" s="2" t="str">
        <f ca="1">IFERROR(__xludf.DUMMYFUNCTION("""COMPUTED_VALUE"""),"1.2kg")</f>
        <v>1.2kg</v>
      </c>
      <c r="M542" s="2">
        <f ca="1">IFERROR(__xludf.DUMMYFUNCTION("""COMPUTED_VALUE"""),1399)</f>
        <v>1399</v>
      </c>
    </row>
    <row r="543" spans="1:13">
      <c r="A543" s="2">
        <f ca="1">IFERROR(__xludf.DUMMYFUNCTION("""COMPUTED_VALUE"""),548)</f>
        <v>548</v>
      </c>
      <c r="B543" s="2" t="str">
        <f ca="1">IFERROR(__xludf.DUMMYFUNCTION("""COMPUTED_VALUE"""),"Dell")</f>
        <v>Dell</v>
      </c>
      <c r="C543" s="2" t="str">
        <f ca="1">IFERROR(__xludf.DUMMYFUNCTION("""COMPUTED_VALUE"""),"Vostro 5468")</f>
        <v>Vostro 5468</v>
      </c>
      <c r="D543" s="2" t="str">
        <f ca="1">IFERROR(__xludf.DUMMYFUNCTION("""COMPUTED_VALUE"""),"Notebook")</f>
        <v>Notebook</v>
      </c>
      <c r="E543" s="2">
        <f ca="1">IFERROR(__xludf.DUMMYFUNCTION("""COMPUTED_VALUE"""),14)</f>
        <v>14</v>
      </c>
      <c r="F543" s="2" t="str">
        <f ca="1">IFERROR(__xludf.DUMMYFUNCTION("""COMPUTED_VALUE"""),"Full HD 1920x1080")</f>
        <v>Full HD 1920x1080</v>
      </c>
      <c r="G543" s="2" t="str">
        <f ca="1">IFERROR(__xludf.DUMMYFUNCTION("""COMPUTED_VALUE"""),"Intel Core i3 6006U 2GHz")</f>
        <v>Intel Core i3 6006U 2GHz</v>
      </c>
      <c r="H543" s="2" t="str">
        <f ca="1">IFERROR(__xludf.DUMMYFUNCTION("""COMPUTED_VALUE"""),"4GB")</f>
        <v>4GB</v>
      </c>
      <c r="I543" s="2" t="str">
        <f ca="1">IFERROR(__xludf.DUMMYFUNCTION("""COMPUTED_VALUE"""),"128GB SSD")</f>
        <v>128GB SSD</v>
      </c>
      <c r="J543" s="2" t="str">
        <f ca="1">IFERROR(__xludf.DUMMYFUNCTION("""COMPUTED_VALUE"""),"Intel HD Graphics 520")</f>
        <v>Intel HD Graphics 520</v>
      </c>
      <c r="K543" s="2" t="str">
        <f ca="1">IFERROR(__xludf.DUMMYFUNCTION("""COMPUTED_VALUE"""),"Windows 10")</f>
        <v>Windows 10</v>
      </c>
      <c r="L543" s="2" t="str">
        <f ca="1">IFERROR(__xludf.DUMMYFUNCTION("""COMPUTED_VALUE"""),"1.6kg")</f>
        <v>1.6kg</v>
      </c>
      <c r="M543" s="2">
        <f ca="1">IFERROR(__xludf.DUMMYFUNCTION("""COMPUTED_VALUE"""),735.87)</f>
        <v>735.87</v>
      </c>
    </row>
    <row r="544" spans="1:13">
      <c r="A544" s="2">
        <f ca="1">IFERROR(__xludf.DUMMYFUNCTION("""COMPUTED_VALUE"""),549)</f>
        <v>549</v>
      </c>
      <c r="B544" s="2" t="str">
        <f ca="1">IFERROR(__xludf.DUMMYFUNCTION("""COMPUTED_VALUE"""),"HP")</f>
        <v>HP</v>
      </c>
      <c r="C544" s="2" t="str">
        <f ca="1">IFERROR(__xludf.DUMMYFUNCTION("""COMPUTED_VALUE"""),"Envy 13-AB020nr")</f>
        <v>Envy 13-AB020nr</v>
      </c>
      <c r="D544" s="2" t="str">
        <f ca="1">IFERROR(__xludf.DUMMYFUNCTION("""COMPUTED_VALUE"""),"Ultrabook")</f>
        <v>Ultrabook</v>
      </c>
      <c r="E544" s="2">
        <f ca="1">IFERROR(__xludf.DUMMYFUNCTION("""COMPUTED_VALUE"""),13.3)</f>
        <v>13.3</v>
      </c>
      <c r="F544" s="2" t="str">
        <f ca="1">IFERROR(__xludf.DUMMYFUNCTION("""COMPUTED_VALUE"""),"IPS Panel Quad HD+ 3200x1800")</f>
        <v>IPS Panel Quad HD+ 3200x1800</v>
      </c>
      <c r="G544" s="2" t="str">
        <f ca="1">IFERROR(__xludf.DUMMYFUNCTION("""COMPUTED_VALUE"""),"Intel Core i7 7500U 2.7GHz")</f>
        <v>Intel Core i7 7500U 2.7GHz</v>
      </c>
      <c r="H544" s="2" t="str">
        <f ca="1">IFERROR(__xludf.DUMMYFUNCTION("""COMPUTED_VALUE"""),"8GB")</f>
        <v>8GB</v>
      </c>
      <c r="I544" s="2" t="str">
        <f ca="1">IFERROR(__xludf.DUMMYFUNCTION("""COMPUTED_VALUE"""),"256GB SSD")</f>
        <v>256GB SSD</v>
      </c>
      <c r="J544" s="2" t="str">
        <f ca="1">IFERROR(__xludf.DUMMYFUNCTION("""COMPUTED_VALUE"""),"Intel HD Graphics 620")</f>
        <v>Intel HD Graphics 620</v>
      </c>
      <c r="K544" s="2" t="str">
        <f ca="1">IFERROR(__xludf.DUMMYFUNCTION("""COMPUTED_VALUE"""),"Windows 10")</f>
        <v>Windows 10</v>
      </c>
      <c r="L544" s="2" t="str">
        <f ca="1">IFERROR(__xludf.DUMMYFUNCTION("""COMPUTED_VALUE"""),"1.34kg")</f>
        <v>1.34kg</v>
      </c>
      <c r="M544" s="2">
        <f ca="1">IFERROR(__xludf.DUMMYFUNCTION("""COMPUTED_VALUE"""),1145)</f>
        <v>1145</v>
      </c>
    </row>
    <row r="545" spans="1:13">
      <c r="A545" s="2">
        <f ca="1">IFERROR(__xludf.DUMMYFUNCTION("""COMPUTED_VALUE"""),550)</f>
        <v>550</v>
      </c>
      <c r="B545" s="2" t="str">
        <f ca="1">IFERROR(__xludf.DUMMYFUNCTION("""COMPUTED_VALUE"""),"Acer")</f>
        <v>Acer</v>
      </c>
      <c r="C545" s="2" t="str">
        <f ca="1">IFERROR(__xludf.DUMMYFUNCTION("""COMPUTED_VALUE"""),"Aspire 7")</f>
        <v>Aspire 7</v>
      </c>
      <c r="D545" s="2" t="str">
        <f ca="1">IFERROR(__xludf.DUMMYFUNCTION("""COMPUTED_VALUE"""),"Gaming")</f>
        <v>Gaming</v>
      </c>
      <c r="E545" s="2">
        <f ca="1">IFERROR(__xludf.DUMMYFUNCTION("""COMPUTED_VALUE"""),15.6)</f>
        <v>15.6</v>
      </c>
      <c r="F545" s="2" t="str">
        <f ca="1">IFERROR(__xludf.DUMMYFUNCTION("""COMPUTED_VALUE"""),"Full HD 1920x1080")</f>
        <v>Full HD 1920x1080</v>
      </c>
      <c r="G545" s="2" t="str">
        <f ca="1">IFERROR(__xludf.DUMMYFUNCTION("""COMPUTED_VALUE"""),"Intel Core i5 7300HQ 2.5GHz")</f>
        <v>Intel Core i5 7300HQ 2.5GHz</v>
      </c>
      <c r="H545" s="2" t="str">
        <f ca="1">IFERROR(__xludf.DUMMYFUNCTION("""COMPUTED_VALUE"""),"8GB")</f>
        <v>8GB</v>
      </c>
      <c r="I545" s="2" t="str">
        <f ca="1">IFERROR(__xludf.DUMMYFUNCTION("""COMPUTED_VALUE"""),"1TB HDD")</f>
        <v>1TB HDD</v>
      </c>
      <c r="J545" s="2" t="str">
        <f ca="1">IFERROR(__xludf.DUMMYFUNCTION("""COMPUTED_VALUE"""),"Nvidia GeForce GTX 1050")</f>
        <v>Nvidia GeForce GTX 1050</v>
      </c>
      <c r="K545" s="2" t="str">
        <f ca="1">IFERROR(__xludf.DUMMYFUNCTION("""COMPUTED_VALUE"""),"Linux")</f>
        <v>Linux</v>
      </c>
      <c r="L545" s="2" t="str">
        <f ca="1">IFERROR(__xludf.DUMMYFUNCTION("""COMPUTED_VALUE"""),"2.4kg")</f>
        <v>2.4kg</v>
      </c>
      <c r="M545" s="2">
        <f ca="1">IFERROR(__xludf.DUMMYFUNCTION("""COMPUTED_VALUE"""),798)</f>
        <v>798</v>
      </c>
    </row>
    <row r="546" spans="1:13">
      <c r="A546" s="2">
        <f ca="1">IFERROR(__xludf.DUMMYFUNCTION("""COMPUTED_VALUE"""),551)</f>
        <v>551</v>
      </c>
      <c r="B546" s="2" t="str">
        <f ca="1">IFERROR(__xludf.DUMMYFUNCTION("""COMPUTED_VALUE"""),"Asus")</f>
        <v>Asus</v>
      </c>
      <c r="C546" s="2" t="str">
        <f ca="1">IFERROR(__xludf.DUMMYFUNCTION("""COMPUTED_VALUE"""),"VivoBook X540YA-XX519T")</f>
        <v>VivoBook X540YA-XX519T</v>
      </c>
      <c r="D546" s="2" t="str">
        <f ca="1">IFERROR(__xludf.DUMMYFUNCTION("""COMPUTED_VALUE"""),"Notebook")</f>
        <v>Notebook</v>
      </c>
      <c r="E546" s="2">
        <f ca="1">IFERROR(__xludf.DUMMYFUNCTION("""COMPUTED_VALUE"""),15.6)</f>
        <v>15.6</v>
      </c>
      <c r="F546" s="2" t="str">
        <f ca="1">IFERROR(__xludf.DUMMYFUNCTION("""COMPUTED_VALUE"""),"1366x768")</f>
        <v>1366x768</v>
      </c>
      <c r="G546" s="2" t="str">
        <f ca="1">IFERROR(__xludf.DUMMYFUNCTION("""COMPUTED_VALUE"""),"AMD E-Series 7110 1.8GHz")</f>
        <v>AMD E-Series 7110 1.8GHz</v>
      </c>
      <c r="H546" s="2" t="str">
        <f ca="1">IFERROR(__xludf.DUMMYFUNCTION("""COMPUTED_VALUE"""),"4GB")</f>
        <v>4GB</v>
      </c>
      <c r="I546" s="2" t="str">
        <f ca="1">IFERROR(__xludf.DUMMYFUNCTION("""COMPUTED_VALUE"""),"500GB HDD")</f>
        <v>500GB HDD</v>
      </c>
      <c r="J546" s="2" t="str">
        <f ca="1">IFERROR(__xludf.DUMMYFUNCTION("""COMPUTED_VALUE"""),"AMD Radeon R2 Graphics")</f>
        <v>AMD Radeon R2 Graphics</v>
      </c>
      <c r="K546" s="2" t="str">
        <f ca="1">IFERROR(__xludf.DUMMYFUNCTION("""COMPUTED_VALUE"""),"Windows 10")</f>
        <v>Windows 10</v>
      </c>
      <c r="L546" s="2" t="str">
        <f ca="1">IFERROR(__xludf.DUMMYFUNCTION("""COMPUTED_VALUE"""),"2kg")</f>
        <v>2kg</v>
      </c>
      <c r="M546" s="2">
        <f ca="1">IFERROR(__xludf.DUMMYFUNCTION("""COMPUTED_VALUE"""),349)</f>
        <v>349</v>
      </c>
    </row>
    <row r="547" spans="1:13">
      <c r="A547" s="2">
        <f ca="1">IFERROR(__xludf.DUMMYFUNCTION("""COMPUTED_VALUE"""),552)</f>
        <v>552</v>
      </c>
      <c r="B547" s="2" t="str">
        <f ca="1">IFERROR(__xludf.DUMMYFUNCTION("""COMPUTED_VALUE"""),"HP")</f>
        <v>HP</v>
      </c>
      <c r="C547" s="2" t="str">
        <f ca="1">IFERROR(__xludf.DUMMYFUNCTION("""COMPUTED_VALUE"""),"ProBook 450")</f>
        <v>ProBook 450</v>
      </c>
      <c r="D547" s="2" t="str">
        <f ca="1">IFERROR(__xludf.DUMMYFUNCTION("""COMPUTED_VALUE"""),"Notebook")</f>
        <v>Notebook</v>
      </c>
      <c r="E547" s="2">
        <f ca="1">IFERROR(__xludf.DUMMYFUNCTION("""COMPUTED_VALUE"""),15.6)</f>
        <v>15.6</v>
      </c>
      <c r="F547" s="2" t="str">
        <f ca="1">IFERROR(__xludf.DUMMYFUNCTION("""COMPUTED_VALUE"""),"Full HD 1920x1080")</f>
        <v>Full HD 1920x1080</v>
      </c>
      <c r="G547" s="2" t="str">
        <f ca="1">IFERROR(__xludf.DUMMYFUNCTION("""COMPUTED_VALUE"""),"Intel Core i3 7100U 2.4GHz")</f>
        <v>Intel Core i3 7100U 2.4GHz</v>
      </c>
      <c r="H547" s="2" t="str">
        <f ca="1">IFERROR(__xludf.DUMMYFUNCTION("""COMPUTED_VALUE"""),"4GB")</f>
        <v>4GB</v>
      </c>
      <c r="I547" s="2" t="str">
        <f ca="1">IFERROR(__xludf.DUMMYFUNCTION("""COMPUTED_VALUE"""),"128GB SSD")</f>
        <v>128GB SSD</v>
      </c>
      <c r="J547" s="2" t="str">
        <f ca="1">IFERROR(__xludf.DUMMYFUNCTION("""COMPUTED_VALUE"""),"Intel HD Graphics 620")</f>
        <v>Intel HD Graphics 620</v>
      </c>
      <c r="K547" s="2" t="str">
        <f ca="1">IFERROR(__xludf.DUMMYFUNCTION("""COMPUTED_VALUE"""),"Windows 10")</f>
        <v>Windows 10</v>
      </c>
      <c r="L547" s="2" t="str">
        <f ca="1">IFERROR(__xludf.DUMMYFUNCTION("""COMPUTED_VALUE"""),"2.1kg")</f>
        <v>2.1kg</v>
      </c>
      <c r="M547" s="2">
        <f ca="1">IFERROR(__xludf.DUMMYFUNCTION("""COMPUTED_VALUE"""),705.5)</f>
        <v>705.5</v>
      </c>
    </row>
    <row r="548" spans="1:13">
      <c r="A548" s="2">
        <f ca="1">IFERROR(__xludf.DUMMYFUNCTION("""COMPUTED_VALUE"""),553)</f>
        <v>553</v>
      </c>
      <c r="B548" s="2" t="str">
        <f ca="1">IFERROR(__xludf.DUMMYFUNCTION("""COMPUTED_VALUE"""),"Lenovo")</f>
        <v>Lenovo</v>
      </c>
      <c r="C548" s="2" t="str">
        <f ca="1">IFERROR(__xludf.DUMMYFUNCTION("""COMPUTED_VALUE"""),"ThinkPad E470")</f>
        <v>ThinkPad E470</v>
      </c>
      <c r="D548" s="2" t="str">
        <f ca="1">IFERROR(__xludf.DUMMYFUNCTION("""COMPUTED_VALUE"""),"Notebook")</f>
        <v>Notebook</v>
      </c>
      <c r="E548" s="2">
        <f ca="1">IFERROR(__xludf.DUMMYFUNCTION("""COMPUTED_VALUE"""),14)</f>
        <v>14</v>
      </c>
      <c r="F548" s="2" t="str">
        <f ca="1">IFERROR(__xludf.DUMMYFUNCTION("""COMPUTED_VALUE"""),"Full HD 1920x1080")</f>
        <v>Full HD 1920x1080</v>
      </c>
      <c r="G548" s="2" t="str">
        <f ca="1">IFERROR(__xludf.DUMMYFUNCTION("""COMPUTED_VALUE"""),"Intel Core i5 7200U 2.5GHz")</f>
        <v>Intel Core i5 7200U 2.5GHz</v>
      </c>
      <c r="H548" s="2" t="str">
        <f ca="1">IFERROR(__xludf.DUMMYFUNCTION("""COMPUTED_VALUE"""),"4GB")</f>
        <v>4GB</v>
      </c>
      <c r="I548" s="2" t="str">
        <f ca="1">IFERROR(__xludf.DUMMYFUNCTION("""COMPUTED_VALUE"""),"500GB HDD")</f>
        <v>500GB HDD</v>
      </c>
      <c r="J548" s="2" t="str">
        <f ca="1">IFERROR(__xludf.DUMMYFUNCTION("""COMPUTED_VALUE"""),"Intel HD Graphics 620")</f>
        <v>Intel HD Graphics 620</v>
      </c>
      <c r="K548" s="2" t="str">
        <f ca="1">IFERROR(__xludf.DUMMYFUNCTION("""COMPUTED_VALUE"""),"Windows 10")</f>
        <v>Windows 10</v>
      </c>
      <c r="L548" s="2" t="str">
        <f ca="1">IFERROR(__xludf.DUMMYFUNCTION("""COMPUTED_VALUE"""),"1.87kg")</f>
        <v>1.87kg</v>
      </c>
      <c r="M548" s="2">
        <f ca="1">IFERROR(__xludf.DUMMYFUNCTION("""COMPUTED_VALUE"""),785)</f>
        <v>785</v>
      </c>
    </row>
    <row r="549" spans="1:13">
      <c r="A549" s="2">
        <f ca="1">IFERROR(__xludf.DUMMYFUNCTION("""COMPUTED_VALUE"""),554)</f>
        <v>554</v>
      </c>
      <c r="B549" s="2" t="str">
        <f ca="1">IFERROR(__xludf.DUMMYFUNCTION("""COMPUTED_VALUE"""),"Lenovo")</f>
        <v>Lenovo</v>
      </c>
      <c r="C549" s="2" t="str">
        <f ca="1">IFERROR(__xludf.DUMMYFUNCTION("""COMPUTED_VALUE"""),"V310-15ISK (i5-6200U/4GB/1TB/FHD/No")</f>
        <v>V310-15ISK (i5-6200U/4GB/1TB/FHD/No</v>
      </c>
      <c r="D549" s="2" t="str">
        <f ca="1">IFERROR(__xludf.DUMMYFUNCTION("""COMPUTED_VALUE"""),"Notebook")</f>
        <v>Notebook</v>
      </c>
      <c r="E549" s="2">
        <f ca="1">IFERROR(__xludf.DUMMYFUNCTION("""COMPUTED_VALUE"""),15.6)</f>
        <v>15.6</v>
      </c>
      <c r="F549" s="2" t="str">
        <f ca="1">IFERROR(__xludf.DUMMYFUNCTION("""COMPUTED_VALUE"""),"Full HD 1920x1080")</f>
        <v>Full HD 1920x1080</v>
      </c>
      <c r="G549" s="2" t="str">
        <f ca="1">IFERROR(__xludf.DUMMYFUNCTION("""COMPUTED_VALUE"""),"Intel Core i5 6200U 2.3GHz")</f>
        <v>Intel Core i5 6200U 2.3GHz</v>
      </c>
      <c r="H549" s="2" t="str">
        <f ca="1">IFERROR(__xludf.DUMMYFUNCTION("""COMPUTED_VALUE"""),"4GB")</f>
        <v>4GB</v>
      </c>
      <c r="I549" s="2" t="str">
        <f ca="1">IFERROR(__xludf.DUMMYFUNCTION("""COMPUTED_VALUE"""),"1TB HDD")</f>
        <v>1TB HDD</v>
      </c>
      <c r="J549" s="2" t="str">
        <f ca="1">IFERROR(__xludf.DUMMYFUNCTION("""COMPUTED_VALUE"""),"Intel HD Graphics 520")</f>
        <v>Intel HD Graphics 520</v>
      </c>
      <c r="K549" s="2" t="str">
        <f ca="1">IFERROR(__xludf.DUMMYFUNCTION("""COMPUTED_VALUE"""),"No OS")</f>
        <v>No OS</v>
      </c>
      <c r="L549" s="2" t="str">
        <f ca="1">IFERROR(__xludf.DUMMYFUNCTION("""COMPUTED_VALUE"""),"2.15kg")</f>
        <v>2.15kg</v>
      </c>
      <c r="M549" s="2">
        <f ca="1">IFERROR(__xludf.DUMMYFUNCTION("""COMPUTED_VALUE"""),462.35)</f>
        <v>462.35</v>
      </c>
    </row>
    <row r="550" spans="1:13">
      <c r="A550" s="2">
        <f ca="1">IFERROR(__xludf.DUMMYFUNCTION("""COMPUTED_VALUE"""),555)</f>
        <v>555</v>
      </c>
      <c r="B550" s="2" t="str">
        <f ca="1">IFERROR(__xludf.DUMMYFUNCTION("""COMPUTED_VALUE"""),"HP")</f>
        <v>HP</v>
      </c>
      <c r="C550" s="2" t="str">
        <f ca="1">IFERROR(__xludf.DUMMYFUNCTION("""COMPUTED_VALUE"""),"250 G6")</f>
        <v>250 G6</v>
      </c>
      <c r="D550" s="2" t="str">
        <f ca="1">IFERROR(__xludf.DUMMYFUNCTION("""COMPUTED_VALUE"""),"Notebook")</f>
        <v>Notebook</v>
      </c>
      <c r="E550" s="2">
        <f ca="1">IFERROR(__xludf.DUMMYFUNCTION("""COMPUTED_VALUE"""),15.6)</f>
        <v>15.6</v>
      </c>
      <c r="F550" s="2" t="str">
        <f ca="1">IFERROR(__xludf.DUMMYFUNCTION("""COMPUTED_VALUE"""),"Full HD 1920x1080")</f>
        <v>Full HD 1920x1080</v>
      </c>
      <c r="G550" s="2" t="str">
        <f ca="1">IFERROR(__xludf.DUMMYFUNCTION("""COMPUTED_VALUE"""),"Intel Core i3 6006U 2GHz")</f>
        <v>Intel Core i3 6006U 2GHz</v>
      </c>
      <c r="H550" s="2" t="str">
        <f ca="1">IFERROR(__xludf.DUMMYFUNCTION("""COMPUTED_VALUE"""),"4GB")</f>
        <v>4GB</v>
      </c>
      <c r="I550" s="2" t="str">
        <f ca="1">IFERROR(__xludf.DUMMYFUNCTION("""COMPUTED_VALUE"""),"500GB HDD")</f>
        <v>500GB HDD</v>
      </c>
      <c r="J550" s="2" t="str">
        <f ca="1">IFERROR(__xludf.DUMMYFUNCTION("""COMPUTED_VALUE"""),"Intel HD Graphics 520")</f>
        <v>Intel HD Graphics 520</v>
      </c>
      <c r="K550" s="2" t="str">
        <f ca="1">IFERROR(__xludf.DUMMYFUNCTION("""COMPUTED_VALUE"""),"Windows 10")</f>
        <v>Windows 10</v>
      </c>
      <c r="L550" s="2" t="str">
        <f ca="1">IFERROR(__xludf.DUMMYFUNCTION("""COMPUTED_VALUE"""),"1.86kg")</f>
        <v>1.86kg</v>
      </c>
      <c r="M550" s="2">
        <f ca="1">IFERROR(__xludf.DUMMYFUNCTION("""COMPUTED_VALUE"""),397)</f>
        <v>397</v>
      </c>
    </row>
    <row r="551" spans="1:13">
      <c r="A551" s="2">
        <f ca="1">IFERROR(__xludf.DUMMYFUNCTION("""COMPUTED_VALUE"""),556)</f>
        <v>556</v>
      </c>
      <c r="B551" s="2" t="str">
        <f ca="1">IFERROR(__xludf.DUMMYFUNCTION("""COMPUTED_VALUE"""),"Lenovo")</f>
        <v>Lenovo</v>
      </c>
      <c r="C551" s="2" t="str">
        <f ca="1">IFERROR(__xludf.DUMMYFUNCTION("""COMPUTED_VALUE"""),"ThinkPad T570")</f>
        <v>ThinkPad T570</v>
      </c>
      <c r="D551" s="2" t="str">
        <f ca="1">IFERROR(__xludf.DUMMYFUNCTION("""COMPUTED_VALUE"""),"Notebook")</f>
        <v>Notebook</v>
      </c>
      <c r="E551" s="2">
        <f ca="1">IFERROR(__xludf.DUMMYFUNCTION("""COMPUTED_VALUE"""),15.6)</f>
        <v>15.6</v>
      </c>
      <c r="F551" s="2" t="str">
        <f ca="1">IFERROR(__xludf.DUMMYFUNCTION("""COMPUTED_VALUE"""),"IPS Panel Full HD 1920x1080")</f>
        <v>IPS Panel Full HD 1920x1080</v>
      </c>
      <c r="G551" s="2" t="str">
        <f ca="1">IFERROR(__xludf.DUMMYFUNCTION("""COMPUTED_VALUE"""),"Intel Core i7 7500U 2.7GHz")</f>
        <v>Intel Core i7 7500U 2.7GHz</v>
      </c>
      <c r="H551" s="2" t="str">
        <f ca="1">IFERROR(__xludf.DUMMYFUNCTION("""COMPUTED_VALUE"""),"8GB")</f>
        <v>8GB</v>
      </c>
      <c r="I551" s="2" t="str">
        <f ca="1">IFERROR(__xludf.DUMMYFUNCTION("""COMPUTED_VALUE"""),"512GB SSD")</f>
        <v>512GB SSD</v>
      </c>
      <c r="J551" s="2" t="str">
        <f ca="1">IFERROR(__xludf.DUMMYFUNCTION("""COMPUTED_VALUE"""),"Intel HD Graphics 620")</f>
        <v>Intel HD Graphics 620</v>
      </c>
      <c r="K551" s="2" t="str">
        <f ca="1">IFERROR(__xludf.DUMMYFUNCTION("""COMPUTED_VALUE"""),"Windows 10")</f>
        <v>Windows 10</v>
      </c>
      <c r="L551" s="2" t="str">
        <f ca="1">IFERROR(__xludf.DUMMYFUNCTION("""COMPUTED_VALUE"""),"1.99kg")</f>
        <v>1.99kg</v>
      </c>
      <c r="M551" s="2">
        <f ca="1">IFERROR(__xludf.DUMMYFUNCTION("""COMPUTED_VALUE"""),1729)</f>
        <v>1729</v>
      </c>
    </row>
    <row r="552" spans="1:13">
      <c r="A552" s="2">
        <f ca="1">IFERROR(__xludf.DUMMYFUNCTION("""COMPUTED_VALUE"""),557)</f>
        <v>557</v>
      </c>
      <c r="B552" s="2" t="str">
        <f ca="1">IFERROR(__xludf.DUMMYFUNCTION("""COMPUTED_VALUE"""),"Lenovo")</f>
        <v>Lenovo</v>
      </c>
      <c r="C552" s="2" t="str">
        <f ca="1">IFERROR(__xludf.DUMMYFUNCTION("""COMPUTED_VALUE"""),"IdeaPad 320-15ISK")</f>
        <v>IdeaPad 320-15ISK</v>
      </c>
      <c r="D552" s="2" t="str">
        <f ca="1">IFERROR(__xludf.DUMMYFUNCTION("""COMPUTED_VALUE"""),"Notebook")</f>
        <v>Notebook</v>
      </c>
      <c r="E552" s="2">
        <f ca="1">IFERROR(__xludf.DUMMYFUNCTION("""COMPUTED_VALUE"""),15.6)</f>
        <v>15.6</v>
      </c>
      <c r="F552" s="2" t="str">
        <f ca="1">IFERROR(__xludf.DUMMYFUNCTION("""COMPUTED_VALUE"""),"Full HD 1920x1080")</f>
        <v>Full HD 1920x1080</v>
      </c>
      <c r="G552" s="2" t="str">
        <f ca="1">IFERROR(__xludf.DUMMYFUNCTION("""COMPUTED_VALUE"""),"Intel Core i3 6006U 2GHz")</f>
        <v>Intel Core i3 6006U 2GHz</v>
      </c>
      <c r="H552" s="2" t="str">
        <f ca="1">IFERROR(__xludf.DUMMYFUNCTION("""COMPUTED_VALUE"""),"4GB")</f>
        <v>4GB</v>
      </c>
      <c r="I552" s="2" t="str">
        <f ca="1">IFERROR(__xludf.DUMMYFUNCTION("""COMPUTED_VALUE"""),"128GB SSD")</f>
        <v>128GB SSD</v>
      </c>
      <c r="J552" s="2" t="str">
        <f ca="1">IFERROR(__xludf.DUMMYFUNCTION("""COMPUTED_VALUE"""),"Intel HD Graphics 520")</f>
        <v>Intel HD Graphics 520</v>
      </c>
      <c r="K552" s="2" t="str">
        <f ca="1">IFERROR(__xludf.DUMMYFUNCTION("""COMPUTED_VALUE"""),"Windows 10")</f>
        <v>Windows 10</v>
      </c>
      <c r="L552" s="2" t="str">
        <f ca="1">IFERROR(__xludf.DUMMYFUNCTION("""COMPUTED_VALUE"""),"2.2kg")</f>
        <v>2.2kg</v>
      </c>
      <c r="M552" s="2">
        <f ca="1">IFERROR(__xludf.DUMMYFUNCTION("""COMPUTED_VALUE"""),499)</f>
        <v>499</v>
      </c>
    </row>
    <row r="553" spans="1:13">
      <c r="A553" s="2">
        <f ca="1">IFERROR(__xludf.DUMMYFUNCTION("""COMPUTED_VALUE"""),558)</f>
        <v>558</v>
      </c>
      <c r="B553" s="2" t="str">
        <f ca="1">IFERROR(__xludf.DUMMYFUNCTION("""COMPUTED_VALUE"""),"Dell")</f>
        <v>Dell</v>
      </c>
      <c r="C553" s="2" t="str">
        <f ca="1">IFERROR(__xludf.DUMMYFUNCTION("""COMPUTED_VALUE"""),"Latitude 5580")</f>
        <v>Latitude 5580</v>
      </c>
      <c r="D553" s="2" t="str">
        <f ca="1">IFERROR(__xludf.DUMMYFUNCTION("""COMPUTED_VALUE"""),"Notebook")</f>
        <v>Notebook</v>
      </c>
      <c r="E553" s="2">
        <f ca="1">IFERROR(__xludf.DUMMYFUNCTION("""COMPUTED_VALUE"""),15.6)</f>
        <v>15.6</v>
      </c>
      <c r="F553" s="2" t="str">
        <f ca="1">IFERROR(__xludf.DUMMYFUNCTION("""COMPUTED_VALUE"""),"Full HD 1920x1080")</f>
        <v>Full HD 1920x1080</v>
      </c>
      <c r="G553" s="2" t="str">
        <f ca="1">IFERROR(__xludf.DUMMYFUNCTION("""COMPUTED_VALUE"""),"Intel Core i5 7200U 2.5GHz")</f>
        <v>Intel Core i5 7200U 2.5GHz</v>
      </c>
      <c r="H553" s="2" t="str">
        <f ca="1">IFERROR(__xludf.DUMMYFUNCTION("""COMPUTED_VALUE"""),"8GB")</f>
        <v>8GB</v>
      </c>
      <c r="I553" s="2" t="str">
        <f ca="1">IFERROR(__xludf.DUMMYFUNCTION("""COMPUTED_VALUE"""),"256GB SSD")</f>
        <v>256GB SSD</v>
      </c>
      <c r="J553" s="2" t="str">
        <f ca="1">IFERROR(__xludf.DUMMYFUNCTION("""COMPUTED_VALUE"""),"Intel HD Graphics 620")</f>
        <v>Intel HD Graphics 620</v>
      </c>
      <c r="K553" s="2" t="str">
        <f ca="1">IFERROR(__xludf.DUMMYFUNCTION("""COMPUTED_VALUE"""),"Windows 10")</f>
        <v>Windows 10</v>
      </c>
      <c r="L553" s="2" t="str">
        <f ca="1">IFERROR(__xludf.DUMMYFUNCTION("""COMPUTED_VALUE"""),"1.9kg")</f>
        <v>1.9kg</v>
      </c>
      <c r="M553" s="2">
        <f ca="1">IFERROR(__xludf.DUMMYFUNCTION("""COMPUTED_VALUE"""),1116.99)</f>
        <v>1116.99</v>
      </c>
    </row>
    <row r="554" spans="1:13">
      <c r="A554" s="2">
        <f ca="1">IFERROR(__xludf.DUMMYFUNCTION("""COMPUTED_VALUE"""),559)</f>
        <v>559</v>
      </c>
      <c r="B554" s="2" t="str">
        <f ca="1">IFERROR(__xludf.DUMMYFUNCTION("""COMPUTED_VALUE"""),"Dell")</f>
        <v>Dell</v>
      </c>
      <c r="C554" s="2" t="str">
        <f ca="1">IFERROR(__xludf.DUMMYFUNCTION("""COMPUTED_VALUE"""),"Alienware 17")</f>
        <v>Alienware 17</v>
      </c>
      <c r="D554" s="2" t="str">
        <f ca="1">IFERROR(__xludf.DUMMYFUNCTION("""COMPUTED_VALUE"""),"Gaming")</f>
        <v>Gaming</v>
      </c>
      <c r="E554" s="2">
        <f ca="1">IFERROR(__xludf.DUMMYFUNCTION("""COMPUTED_VALUE"""),17.3)</f>
        <v>17.3</v>
      </c>
      <c r="F554" s="2" t="str">
        <f ca="1">IFERROR(__xludf.DUMMYFUNCTION("""COMPUTED_VALUE"""),"IPS Panel Full HD 1920x1080")</f>
        <v>IPS Panel Full HD 1920x1080</v>
      </c>
      <c r="G554" s="2" t="str">
        <f ca="1">IFERROR(__xludf.DUMMYFUNCTION("""COMPUTED_VALUE"""),"Intel Core i7 7700HQ 2.8GHz")</f>
        <v>Intel Core i7 7700HQ 2.8GHz</v>
      </c>
      <c r="H554" s="2" t="str">
        <f ca="1">IFERROR(__xludf.DUMMYFUNCTION("""COMPUTED_VALUE"""),"16GB")</f>
        <v>16GB</v>
      </c>
      <c r="I554" s="2" t="str">
        <f ca="1">IFERROR(__xludf.DUMMYFUNCTION("""COMPUTED_VALUE"""),"256GB SSD +  1TB HDD")</f>
        <v>256GB SSD +  1TB HDD</v>
      </c>
      <c r="J554" s="2" t="str">
        <f ca="1">IFERROR(__xludf.DUMMYFUNCTION("""COMPUTED_VALUE"""),"Nvidia GeForce GTX 1070")</f>
        <v>Nvidia GeForce GTX 1070</v>
      </c>
      <c r="K554" s="2" t="str">
        <f ca="1">IFERROR(__xludf.DUMMYFUNCTION("""COMPUTED_VALUE"""),"Windows 10")</f>
        <v>Windows 10</v>
      </c>
      <c r="L554" s="2" t="str">
        <f ca="1">IFERROR(__xludf.DUMMYFUNCTION("""COMPUTED_VALUE"""),"4.42kg")</f>
        <v>4.42kg</v>
      </c>
      <c r="M554" s="2">
        <f ca="1">IFERROR(__xludf.DUMMYFUNCTION("""COMPUTED_VALUE"""),2699)</f>
        <v>2699</v>
      </c>
    </row>
    <row r="555" spans="1:13">
      <c r="A555" s="2">
        <f ca="1">IFERROR(__xludf.DUMMYFUNCTION("""COMPUTED_VALUE"""),560)</f>
        <v>560</v>
      </c>
      <c r="B555" s="2" t="str">
        <f ca="1">IFERROR(__xludf.DUMMYFUNCTION("""COMPUTED_VALUE"""),"HP")</f>
        <v>HP</v>
      </c>
      <c r="C555" s="2" t="str">
        <f ca="1">IFERROR(__xludf.DUMMYFUNCTION("""COMPUTED_VALUE"""),"17-X047na (i3-6006U/8GB/1TB/W10)")</f>
        <v>17-X047na (i3-6006U/8GB/1TB/W10)</v>
      </c>
      <c r="D555" s="2" t="str">
        <f ca="1">IFERROR(__xludf.DUMMYFUNCTION("""COMPUTED_VALUE"""),"Notebook")</f>
        <v>Notebook</v>
      </c>
      <c r="E555" s="2">
        <f ca="1">IFERROR(__xludf.DUMMYFUNCTION("""COMPUTED_VALUE"""),17.3)</f>
        <v>17.3</v>
      </c>
      <c r="F555" s="2" t="str">
        <f ca="1">IFERROR(__xludf.DUMMYFUNCTION("""COMPUTED_VALUE"""),"1600x900")</f>
        <v>1600x900</v>
      </c>
      <c r="G555" s="2" t="str">
        <f ca="1">IFERROR(__xludf.DUMMYFUNCTION("""COMPUTED_VALUE"""),"Intel Core i3 6006U 2GHz")</f>
        <v>Intel Core i3 6006U 2GHz</v>
      </c>
      <c r="H555" s="2" t="str">
        <f ca="1">IFERROR(__xludf.DUMMYFUNCTION("""COMPUTED_VALUE"""),"8GB")</f>
        <v>8GB</v>
      </c>
      <c r="I555" s="2" t="str">
        <f ca="1">IFERROR(__xludf.DUMMYFUNCTION("""COMPUTED_VALUE"""),"1TB HDD")</f>
        <v>1TB HDD</v>
      </c>
      <c r="J555" s="2" t="str">
        <f ca="1">IFERROR(__xludf.DUMMYFUNCTION("""COMPUTED_VALUE"""),"Intel HD Graphics 520")</f>
        <v>Intel HD Graphics 520</v>
      </c>
      <c r="K555" s="2" t="str">
        <f ca="1">IFERROR(__xludf.DUMMYFUNCTION("""COMPUTED_VALUE"""),"Windows 10")</f>
        <v>Windows 10</v>
      </c>
      <c r="L555" s="2" t="str">
        <f ca="1">IFERROR(__xludf.DUMMYFUNCTION("""COMPUTED_VALUE"""),"2.65kg")</f>
        <v>2.65kg</v>
      </c>
      <c r="M555" s="2">
        <f ca="1">IFERROR(__xludf.DUMMYFUNCTION("""COMPUTED_VALUE"""),544.15)</f>
        <v>544.15</v>
      </c>
    </row>
    <row r="556" spans="1:13">
      <c r="A556" s="2">
        <f ca="1">IFERROR(__xludf.DUMMYFUNCTION("""COMPUTED_VALUE"""),561)</f>
        <v>561</v>
      </c>
      <c r="B556" s="2" t="str">
        <f ca="1">IFERROR(__xludf.DUMMYFUNCTION("""COMPUTED_VALUE"""),"HP")</f>
        <v>HP</v>
      </c>
      <c r="C556" s="2" t="str">
        <f ca="1">IFERROR(__xludf.DUMMYFUNCTION("""COMPUTED_VALUE"""),"ProBook 470")</f>
        <v>ProBook 470</v>
      </c>
      <c r="D556" s="2" t="str">
        <f ca="1">IFERROR(__xludf.DUMMYFUNCTION("""COMPUTED_VALUE"""),"Notebook")</f>
        <v>Notebook</v>
      </c>
      <c r="E556" s="2">
        <f ca="1">IFERROR(__xludf.DUMMYFUNCTION("""COMPUTED_VALUE"""),17.3)</f>
        <v>17.3</v>
      </c>
      <c r="F556" s="2" t="str">
        <f ca="1">IFERROR(__xludf.DUMMYFUNCTION("""COMPUTED_VALUE"""),"Full HD 1920x1080")</f>
        <v>Full HD 1920x1080</v>
      </c>
      <c r="G556" s="2" t="str">
        <f ca="1">IFERROR(__xludf.DUMMYFUNCTION("""COMPUTED_VALUE"""),"Intel Core i7 7500U 2.7GHz")</f>
        <v>Intel Core i7 7500U 2.7GHz</v>
      </c>
      <c r="H556" s="2" t="str">
        <f ca="1">IFERROR(__xludf.DUMMYFUNCTION("""COMPUTED_VALUE"""),"8GB")</f>
        <v>8GB</v>
      </c>
      <c r="I556" s="2" t="str">
        <f ca="1">IFERROR(__xludf.DUMMYFUNCTION("""COMPUTED_VALUE"""),"1TB HDD")</f>
        <v>1TB HDD</v>
      </c>
      <c r="J556" s="2" t="str">
        <f ca="1">IFERROR(__xludf.DUMMYFUNCTION("""COMPUTED_VALUE"""),"Nvidia GeForce 930MX")</f>
        <v>Nvidia GeForce 930MX</v>
      </c>
      <c r="K556" s="2" t="str">
        <f ca="1">IFERROR(__xludf.DUMMYFUNCTION("""COMPUTED_VALUE"""),"Windows 10")</f>
        <v>Windows 10</v>
      </c>
      <c r="L556" s="2" t="str">
        <f ca="1">IFERROR(__xludf.DUMMYFUNCTION("""COMPUTED_VALUE"""),"2.63kg")</f>
        <v>2.63kg</v>
      </c>
      <c r="M556" s="2">
        <f ca="1">IFERROR(__xludf.DUMMYFUNCTION("""COMPUTED_VALUE"""),1280)</f>
        <v>1280</v>
      </c>
    </row>
    <row r="557" spans="1:13">
      <c r="A557" s="2">
        <f ca="1">IFERROR(__xludf.DUMMYFUNCTION("""COMPUTED_VALUE"""),562)</f>
        <v>562</v>
      </c>
      <c r="B557" s="2" t="str">
        <f ca="1">IFERROR(__xludf.DUMMYFUNCTION("""COMPUTED_VALUE"""),"Asus")</f>
        <v>Asus</v>
      </c>
      <c r="C557" s="2" t="str">
        <f ca="1">IFERROR(__xludf.DUMMYFUNCTION("""COMPUTED_VALUE"""),"A541NA-GO342 (N3350/4GB/500GB/Linux)")</f>
        <v>A541NA-GO342 (N3350/4GB/500GB/Linux)</v>
      </c>
      <c r="D557" s="2" t="str">
        <f ca="1">IFERROR(__xludf.DUMMYFUNCTION("""COMPUTED_VALUE"""),"Notebook")</f>
        <v>Notebook</v>
      </c>
      <c r="E557" s="2">
        <f ca="1">IFERROR(__xludf.DUMMYFUNCTION("""COMPUTED_VALUE"""),15.6)</f>
        <v>15.6</v>
      </c>
      <c r="F557" s="2" t="str">
        <f ca="1">IFERROR(__xludf.DUMMYFUNCTION("""COMPUTED_VALUE"""),"1366x768")</f>
        <v>1366x768</v>
      </c>
      <c r="G557" s="2" t="str">
        <f ca="1">IFERROR(__xludf.DUMMYFUNCTION("""COMPUTED_VALUE"""),"Intel Celeron Dual Core N3350 1.1GHz")</f>
        <v>Intel Celeron Dual Core N3350 1.1GHz</v>
      </c>
      <c r="H557" s="2" t="str">
        <f ca="1">IFERROR(__xludf.DUMMYFUNCTION("""COMPUTED_VALUE"""),"4GB")</f>
        <v>4GB</v>
      </c>
      <c r="I557" s="2" t="str">
        <f ca="1">IFERROR(__xludf.DUMMYFUNCTION("""COMPUTED_VALUE"""),"500GB HDD")</f>
        <v>500GB HDD</v>
      </c>
      <c r="J557" s="2" t="str">
        <f ca="1">IFERROR(__xludf.DUMMYFUNCTION("""COMPUTED_VALUE"""),"Intel HD Graphics 500")</f>
        <v>Intel HD Graphics 500</v>
      </c>
      <c r="K557" s="2" t="str">
        <f ca="1">IFERROR(__xludf.DUMMYFUNCTION("""COMPUTED_VALUE"""),"Linux")</f>
        <v>Linux</v>
      </c>
      <c r="L557" s="2" t="str">
        <f ca="1">IFERROR(__xludf.DUMMYFUNCTION("""COMPUTED_VALUE"""),"2kg")</f>
        <v>2kg</v>
      </c>
      <c r="M557" s="2">
        <f ca="1">IFERROR(__xludf.DUMMYFUNCTION("""COMPUTED_VALUE"""),224)</f>
        <v>224</v>
      </c>
    </row>
    <row r="558" spans="1:13">
      <c r="A558" s="2">
        <f ca="1">IFERROR(__xludf.DUMMYFUNCTION("""COMPUTED_VALUE"""),563)</f>
        <v>563</v>
      </c>
      <c r="B558" s="2" t="str">
        <f ca="1">IFERROR(__xludf.DUMMYFUNCTION("""COMPUTED_VALUE"""),"Mediacom")</f>
        <v>Mediacom</v>
      </c>
      <c r="C558" s="2" t="str">
        <f ca="1">IFERROR(__xludf.DUMMYFUNCTION("""COMPUTED_VALUE"""),"SmartBook 130")</f>
        <v>SmartBook 130</v>
      </c>
      <c r="D558" s="2" t="str">
        <f ca="1">IFERROR(__xludf.DUMMYFUNCTION("""COMPUTED_VALUE"""),"Notebook")</f>
        <v>Notebook</v>
      </c>
      <c r="E558" s="2">
        <f ca="1">IFERROR(__xludf.DUMMYFUNCTION("""COMPUTED_VALUE"""),13.3)</f>
        <v>13.3</v>
      </c>
      <c r="F558" s="2" t="str">
        <f ca="1">IFERROR(__xludf.DUMMYFUNCTION("""COMPUTED_VALUE"""),"IPS Panel Full HD 1920x1080")</f>
        <v>IPS Panel Full HD 1920x1080</v>
      </c>
      <c r="G558" s="2" t="str">
        <f ca="1">IFERROR(__xludf.DUMMYFUNCTION("""COMPUTED_VALUE"""),"Intel Atom x5-Z8350 1.44GHz")</f>
        <v>Intel Atom x5-Z8350 1.44GHz</v>
      </c>
      <c r="H558" s="2" t="str">
        <f ca="1">IFERROR(__xludf.DUMMYFUNCTION("""COMPUTED_VALUE"""),"4GB")</f>
        <v>4GB</v>
      </c>
      <c r="I558" s="2" t="str">
        <f ca="1">IFERROR(__xludf.DUMMYFUNCTION("""COMPUTED_VALUE"""),"32GB Flash Storage")</f>
        <v>32GB Flash Storage</v>
      </c>
      <c r="J558" s="2" t="str">
        <f ca="1">IFERROR(__xludf.DUMMYFUNCTION("""COMPUTED_VALUE"""),"Intel HD Graphics")</f>
        <v>Intel HD Graphics</v>
      </c>
      <c r="K558" s="2" t="str">
        <f ca="1">IFERROR(__xludf.DUMMYFUNCTION("""COMPUTED_VALUE"""),"Windows 10")</f>
        <v>Windows 10</v>
      </c>
      <c r="L558" s="2" t="str">
        <f ca="1">IFERROR(__xludf.DUMMYFUNCTION("""COMPUTED_VALUE"""),"1.35kg")</f>
        <v>1.35kg</v>
      </c>
      <c r="M558" s="2">
        <f ca="1">IFERROR(__xludf.DUMMYFUNCTION("""COMPUTED_VALUE"""),255)</f>
        <v>255</v>
      </c>
    </row>
    <row r="559" spans="1:13">
      <c r="A559" s="2">
        <f ca="1">IFERROR(__xludf.DUMMYFUNCTION("""COMPUTED_VALUE"""),564)</f>
        <v>564</v>
      </c>
      <c r="B559" s="2" t="str">
        <f ca="1">IFERROR(__xludf.DUMMYFUNCTION("""COMPUTED_VALUE"""),"Lenovo")</f>
        <v>Lenovo</v>
      </c>
      <c r="C559" s="2" t="str">
        <f ca="1">IFERROR(__xludf.DUMMYFUNCTION("""COMPUTED_VALUE"""),"IdeaPad 320-17IKB")</f>
        <v>IdeaPad 320-17IKB</v>
      </c>
      <c r="D559" s="2" t="str">
        <f ca="1">IFERROR(__xludf.DUMMYFUNCTION("""COMPUTED_VALUE"""),"Notebook")</f>
        <v>Notebook</v>
      </c>
      <c r="E559" s="2">
        <f ca="1">IFERROR(__xludf.DUMMYFUNCTION("""COMPUTED_VALUE"""),17.3)</f>
        <v>17.3</v>
      </c>
      <c r="F559" s="2" t="str">
        <f ca="1">IFERROR(__xludf.DUMMYFUNCTION("""COMPUTED_VALUE"""),"1600x900")</f>
        <v>1600x900</v>
      </c>
      <c r="G559" s="2" t="str">
        <f ca="1">IFERROR(__xludf.DUMMYFUNCTION("""COMPUTED_VALUE"""),"Intel Core i7 7500U 2.7GHz")</f>
        <v>Intel Core i7 7500U 2.7GHz</v>
      </c>
      <c r="H559" s="2" t="str">
        <f ca="1">IFERROR(__xludf.DUMMYFUNCTION("""COMPUTED_VALUE"""),"6GB")</f>
        <v>6GB</v>
      </c>
      <c r="I559" s="2" t="str">
        <f ca="1">IFERROR(__xludf.DUMMYFUNCTION("""COMPUTED_VALUE"""),"128GB SSD +  1TB HDD")</f>
        <v>128GB SSD +  1TB HDD</v>
      </c>
      <c r="J559" s="2" t="str">
        <f ca="1">IFERROR(__xludf.DUMMYFUNCTION("""COMPUTED_VALUE"""),"Nvidia GeForce 940MX")</f>
        <v>Nvidia GeForce 940MX</v>
      </c>
      <c r="K559" s="2" t="str">
        <f ca="1">IFERROR(__xludf.DUMMYFUNCTION("""COMPUTED_VALUE"""),"Windows 10")</f>
        <v>Windows 10</v>
      </c>
      <c r="L559" s="2" t="str">
        <f ca="1">IFERROR(__xludf.DUMMYFUNCTION("""COMPUTED_VALUE"""),"2.8kg")</f>
        <v>2.8kg</v>
      </c>
      <c r="M559" s="2">
        <f ca="1">IFERROR(__xludf.DUMMYFUNCTION("""COMPUTED_VALUE"""),949)</f>
        <v>949</v>
      </c>
    </row>
    <row r="560" spans="1:13">
      <c r="A560" s="2">
        <f ca="1">IFERROR(__xludf.DUMMYFUNCTION("""COMPUTED_VALUE"""),565)</f>
        <v>565</v>
      </c>
      <c r="B560" s="2" t="str">
        <f ca="1">IFERROR(__xludf.DUMMYFUNCTION("""COMPUTED_VALUE"""),"HP")</f>
        <v>HP</v>
      </c>
      <c r="C560" s="2" t="str">
        <f ca="1">IFERROR(__xludf.DUMMYFUNCTION("""COMPUTED_VALUE"""),"15-bw007nv (A10-9620P/6GB/128GB/Radeon")</f>
        <v>15-bw007nv (A10-9620P/6GB/128GB/Radeon</v>
      </c>
      <c r="D560" s="2" t="str">
        <f ca="1">IFERROR(__xludf.DUMMYFUNCTION("""COMPUTED_VALUE"""),"Notebook")</f>
        <v>Notebook</v>
      </c>
      <c r="E560" s="2">
        <f ca="1">IFERROR(__xludf.DUMMYFUNCTION("""COMPUTED_VALUE"""),15.6)</f>
        <v>15.6</v>
      </c>
      <c r="F560" s="2" t="str">
        <f ca="1">IFERROR(__xludf.DUMMYFUNCTION("""COMPUTED_VALUE"""),"IPS Panel Full HD 1920x1080")</f>
        <v>IPS Panel Full HD 1920x1080</v>
      </c>
      <c r="G560" s="2" t="str">
        <f ca="1">IFERROR(__xludf.DUMMYFUNCTION("""COMPUTED_VALUE"""),"AMD A10-Series A10-9620P 2.5GHz")</f>
        <v>AMD A10-Series A10-9620P 2.5GHz</v>
      </c>
      <c r="H560" s="2" t="str">
        <f ca="1">IFERROR(__xludf.DUMMYFUNCTION("""COMPUTED_VALUE"""),"6GB")</f>
        <v>6GB</v>
      </c>
      <c r="I560" s="2" t="str">
        <f ca="1">IFERROR(__xludf.DUMMYFUNCTION("""COMPUTED_VALUE"""),"128GB SSD")</f>
        <v>128GB SSD</v>
      </c>
      <c r="J560" s="2" t="str">
        <f ca="1">IFERROR(__xludf.DUMMYFUNCTION("""COMPUTED_VALUE"""),"AMD Radeon 530")</f>
        <v>AMD Radeon 530</v>
      </c>
      <c r="K560" s="2" t="str">
        <f ca="1">IFERROR(__xludf.DUMMYFUNCTION("""COMPUTED_VALUE"""),"Windows 10")</f>
        <v>Windows 10</v>
      </c>
      <c r="L560" s="2" t="str">
        <f ca="1">IFERROR(__xludf.DUMMYFUNCTION("""COMPUTED_VALUE"""),"1.91kg")</f>
        <v>1.91kg</v>
      </c>
      <c r="M560" s="2">
        <f ca="1">IFERROR(__xludf.DUMMYFUNCTION("""COMPUTED_VALUE"""),568.9)</f>
        <v>568.9</v>
      </c>
    </row>
    <row r="561" spans="1:13">
      <c r="A561" s="2">
        <f ca="1">IFERROR(__xludf.DUMMYFUNCTION("""COMPUTED_VALUE"""),566)</f>
        <v>566</v>
      </c>
      <c r="B561" s="2" t="str">
        <f ca="1">IFERROR(__xludf.DUMMYFUNCTION("""COMPUTED_VALUE"""),"Dell")</f>
        <v>Dell</v>
      </c>
      <c r="C561" s="2" t="str">
        <f ca="1">IFERROR(__xludf.DUMMYFUNCTION("""COMPUTED_VALUE"""),"Vostro 3568")</f>
        <v>Vostro 3568</v>
      </c>
      <c r="D561" s="2" t="str">
        <f ca="1">IFERROR(__xludf.DUMMYFUNCTION("""COMPUTED_VALUE"""),"Notebook")</f>
        <v>Notebook</v>
      </c>
      <c r="E561" s="2">
        <f ca="1">IFERROR(__xludf.DUMMYFUNCTION("""COMPUTED_VALUE"""),15.6)</f>
        <v>15.6</v>
      </c>
      <c r="F561" s="2" t="str">
        <f ca="1">IFERROR(__xludf.DUMMYFUNCTION("""COMPUTED_VALUE"""),"1366x768")</f>
        <v>1366x768</v>
      </c>
      <c r="G561" s="2" t="str">
        <f ca="1">IFERROR(__xludf.DUMMYFUNCTION("""COMPUTED_VALUE"""),"Intel Core i3 6006U 2GHz")</f>
        <v>Intel Core i3 6006U 2GHz</v>
      </c>
      <c r="H561" s="2" t="str">
        <f ca="1">IFERROR(__xludf.DUMMYFUNCTION("""COMPUTED_VALUE"""),"4GB")</f>
        <v>4GB</v>
      </c>
      <c r="I561" s="2" t="str">
        <f ca="1">IFERROR(__xludf.DUMMYFUNCTION("""COMPUTED_VALUE"""),"1TB HDD")</f>
        <v>1TB HDD</v>
      </c>
      <c r="J561" s="2" t="str">
        <f ca="1">IFERROR(__xludf.DUMMYFUNCTION("""COMPUTED_VALUE"""),"AMD Radeon R5 M420")</f>
        <v>AMD Radeon R5 M420</v>
      </c>
      <c r="K561" s="2" t="str">
        <f ca="1">IFERROR(__xludf.DUMMYFUNCTION("""COMPUTED_VALUE"""),"Windows 10")</f>
        <v>Windows 10</v>
      </c>
      <c r="L561" s="2" t="str">
        <f ca="1">IFERROR(__xludf.DUMMYFUNCTION("""COMPUTED_VALUE"""),"2.18kg")</f>
        <v>2.18kg</v>
      </c>
      <c r="M561" s="2">
        <f ca="1">IFERROR(__xludf.DUMMYFUNCTION("""COMPUTED_VALUE"""),617.9)</f>
        <v>617.9</v>
      </c>
    </row>
    <row r="562" spans="1:13">
      <c r="A562" s="2">
        <f ca="1">IFERROR(__xludf.DUMMYFUNCTION("""COMPUTED_VALUE"""),567)</f>
        <v>567</v>
      </c>
      <c r="B562" s="2" t="str">
        <f ca="1">IFERROR(__xludf.DUMMYFUNCTION("""COMPUTED_VALUE"""),"Acer")</f>
        <v>Acer</v>
      </c>
      <c r="C562" s="2" t="str">
        <f ca="1">IFERROR(__xludf.DUMMYFUNCTION("""COMPUTED_VALUE"""),"Spin SP111-31")</f>
        <v>Spin SP111-31</v>
      </c>
      <c r="D562" s="2" t="str">
        <f ca="1">IFERROR(__xludf.DUMMYFUNCTION("""COMPUTED_VALUE"""),"2 in 1 Convertible")</f>
        <v>2 in 1 Convertible</v>
      </c>
      <c r="E562" s="2">
        <f ca="1">IFERROR(__xludf.DUMMYFUNCTION("""COMPUTED_VALUE"""),11.6)</f>
        <v>11.6</v>
      </c>
      <c r="F562" s="2" t="str">
        <f ca="1">IFERROR(__xludf.DUMMYFUNCTION("""COMPUTED_VALUE"""),"IPS Panel Full HD / Touchscreen 1920x1080")</f>
        <v>IPS Panel Full HD / Touchscreen 1920x1080</v>
      </c>
      <c r="G562" s="2" t="str">
        <f ca="1">IFERROR(__xludf.DUMMYFUNCTION("""COMPUTED_VALUE"""),"Intel Celeron Dual Core N3350 2.0GHz")</f>
        <v>Intel Celeron Dual Core N3350 2.0GHz</v>
      </c>
      <c r="H562" s="2" t="str">
        <f ca="1">IFERROR(__xludf.DUMMYFUNCTION("""COMPUTED_VALUE"""),"4GB")</f>
        <v>4GB</v>
      </c>
      <c r="I562" s="2" t="str">
        <f ca="1">IFERROR(__xludf.DUMMYFUNCTION("""COMPUTED_VALUE"""),"32GB Flash Storage")</f>
        <v>32GB Flash Storage</v>
      </c>
      <c r="J562" s="2" t="str">
        <f ca="1">IFERROR(__xludf.DUMMYFUNCTION("""COMPUTED_VALUE"""),"Intel HD Graphics 500")</f>
        <v>Intel HD Graphics 500</v>
      </c>
      <c r="K562" s="2" t="str">
        <f ca="1">IFERROR(__xludf.DUMMYFUNCTION("""COMPUTED_VALUE"""),"Windows 10")</f>
        <v>Windows 10</v>
      </c>
      <c r="L562" s="2" t="str">
        <f ca="1">IFERROR(__xludf.DUMMYFUNCTION("""COMPUTED_VALUE"""),"1.25kg")</f>
        <v>1.25kg</v>
      </c>
      <c r="M562" s="2">
        <f ca="1">IFERROR(__xludf.DUMMYFUNCTION("""COMPUTED_VALUE"""),349)</f>
        <v>349</v>
      </c>
    </row>
    <row r="563" spans="1:13">
      <c r="A563" s="2">
        <f ca="1">IFERROR(__xludf.DUMMYFUNCTION("""COMPUTED_VALUE"""),568)</f>
        <v>568</v>
      </c>
      <c r="B563" s="2" t="str">
        <f ca="1">IFERROR(__xludf.DUMMYFUNCTION("""COMPUTED_VALUE"""),"Lenovo")</f>
        <v>Lenovo</v>
      </c>
      <c r="C563" s="2" t="str">
        <f ca="1">IFERROR(__xludf.DUMMYFUNCTION("""COMPUTED_VALUE"""),"V330-15IKB (i3-7130U/4GB/128GB/FHD/W10)")</f>
        <v>V330-15IKB (i3-7130U/4GB/128GB/FHD/W10)</v>
      </c>
      <c r="D563" s="2" t="str">
        <f ca="1">IFERROR(__xludf.DUMMYFUNCTION("""COMPUTED_VALUE"""),"Notebook")</f>
        <v>Notebook</v>
      </c>
      <c r="E563" s="2">
        <f ca="1">IFERROR(__xludf.DUMMYFUNCTION("""COMPUTED_VALUE"""),15.6)</f>
        <v>15.6</v>
      </c>
      <c r="F563" s="2" t="str">
        <f ca="1">IFERROR(__xludf.DUMMYFUNCTION("""COMPUTED_VALUE"""),"Full HD 1920x1080")</f>
        <v>Full HD 1920x1080</v>
      </c>
      <c r="G563" s="2" t="str">
        <f ca="1">IFERROR(__xludf.DUMMYFUNCTION("""COMPUTED_VALUE"""),"Intel Core i3 7130U 2.7GHz")</f>
        <v>Intel Core i3 7130U 2.7GHz</v>
      </c>
      <c r="H563" s="2" t="str">
        <f ca="1">IFERROR(__xludf.DUMMYFUNCTION("""COMPUTED_VALUE"""),"4GB")</f>
        <v>4GB</v>
      </c>
      <c r="I563" s="2" t="str">
        <f ca="1">IFERROR(__xludf.DUMMYFUNCTION("""COMPUTED_VALUE"""),"128GB SSD")</f>
        <v>128GB SSD</v>
      </c>
      <c r="J563" s="2" t="str">
        <f ca="1">IFERROR(__xludf.DUMMYFUNCTION("""COMPUTED_VALUE"""),"Intel HD Graphics 620")</f>
        <v>Intel HD Graphics 620</v>
      </c>
      <c r="K563" s="2" t="str">
        <f ca="1">IFERROR(__xludf.DUMMYFUNCTION("""COMPUTED_VALUE"""),"Windows 10")</f>
        <v>Windows 10</v>
      </c>
      <c r="L563" s="2" t="str">
        <f ca="1">IFERROR(__xludf.DUMMYFUNCTION("""COMPUTED_VALUE"""),"2.05kg")</f>
        <v>2.05kg</v>
      </c>
      <c r="M563" s="2">
        <f ca="1">IFERROR(__xludf.DUMMYFUNCTION("""COMPUTED_VALUE"""),630)</f>
        <v>630</v>
      </c>
    </row>
    <row r="564" spans="1:13">
      <c r="A564" s="2">
        <f ca="1">IFERROR(__xludf.DUMMYFUNCTION("""COMPUTED_VALUE"""),569)</f>
        <v>569</v>
      </c>
      <c r="B564" s="2" t="str">
        <f ca="1">IFERROR(__xludf.DUMMYFUNCTION("""COMPUTED_VALUE"""),"HP")</f>
        <v>HP</v>
      </c>
      <c r="C564" s="2" t="str">
        <f ca="1">IFERROR(__xludf.DUMMYFUNCTION("""COMPUTED_VALUE"""),"EliteBook 1030")</f>
        <v>EliteBook 1030</v>
      </c>
      <c r="D564" s="2" t="str">
        <f ca="1">IFERROR(__xludf.DUMMYFUNCTION("""COMPUTED_VALUE"""),"Ultrabook")</f>
        <v>Ultrabook</v>
      </c>
      <c r="E564" s="2">
        <f ca="1">IFERROR(__xludf.DUMMYFUNCTION("""COMPUTED_VALUE"""),13.3)</f>
        <v>13.3</v>
      </c>
      <c r="F564" s="2" t="str">
        <f ca="1">IFERROR(__xludf.DUMMYFUNCTION("""COMPUTED_VALUE"""),"IPS Panel Quad HD+ / Touchscreen 3200x1800")</f>
        <v>IPS Panel Quad HD+ / Touchscreen 3200x1800</v>
      </c>
      <c r="G564" s="2" t="str">
        <f ca="1">IFERROR(__xludf.DUMMYFUNCTION("""COMPUTED_VALUE"""),"Intel Core M 6Y75 1.2GHz")</f>
        <v>Intel Core M 6Y75 1.2GHz</v>
      </c>
      <c r="H564" s="2" t="str">
        <f ca="1">IFERROR(__xludf.DUMMYFUNCTION("""COMPUTED_VALUE"""),"16GB")</f>
        <v>16GB</v>
      </c>
      <c r="I564" s="2" t="str">
        <f ca="1">IFERROR(__xludf.DUMMYFUNCTION("""COMPUTED_VALUE"""),"512GB SSD")</f>
        <v>512GB SSD</v>
      </c>
      <c r="J564" s="2" t="str">
        <f ca="1">IFERROR(__xludf.DUMMYFUNCTION("""COMPUTED_VALUE"""),"Intel HD Graphics 515")</f>
        <v>Intel HD Graphics 515</v>
      </c>
      <c r="K564" s="2" t="str">
        <f ca="1">IFERROR(__xludf.DUMMYFUNCTION("""COMPUTED_VALUE"""),"Windows 10")</f>
        <v>Windows 10</v>
      </c>
      <c r="L564" s="2" t="str">
        <f ca="1">IFERROR(__xludf.DUMMYFUNCTION("""COMPUTED_VALUE"""),"1.16kg")</f>
        <v>1.16kg</v>
      </c>
      <c r="M564" s="2">
        <f ca="1">IFERROR(__xludf.DUMMYFUNCTION("""COMPUTED_VALUE"""),1965)</f>
        <v>1965</v>
      </c>
    </row>
    <row r="565" spans="1:13">
      <c r="A565" s="2">
        <f ca="1">IFERROR(__xludf.DUMMYFUNCTION("""COMPUTED_VALUE"""),570)</f>
        <v>570</v>
      </c>
      <c r="B565" s="2" t="str">
        <f ca="1">IFERROR(__xludf.DUMMYFUNCTION("""COMPUTED_VALUE"""),"Lenovo")</f>
        <v>Lenovo</v>
      </c>
      <c r="C565" s="2" t="str">
        <f ca="1">IFERROR(__xludf.DUMMYFUNCTION("""COMPUTED_VALUE"""),"Thinkpad P71")</f>
        <v>Thinkpad P71</v>
      </c>
      <c r="D565" s="2" t="str">
        <f ca="1">IFERROR(__xludf.DUMMYFUNCTION("""COMPUTED_VALUE"""),"Notebook")</f>
        <v>Notebook</v>
      </c>
      <c r="E565" s="2">
        <f ca="1">IFERROR(__xludf.DUMMYFUNCTION("""COMPUTED_VALUE"""),17.3)</f>
        <v>17.3</v>
      </c>
      <c r="F565" s="2" t="str">
        <f ca="1">IFERROR(__xludf.DUMMYFUNCTION("""COMPUTED_VALUE"""),"IPS Panel Full HD 1920x1080")</f>
        <v>IPS Panel Full HD 1920x1080</v>
      </c>
      <c r="G565" s="2" t="str">
        <f ca="1">IFERROR(__xludf.DUMMYFUNCTION("""COMPUTED_VALUE"""),"Intel Core i7 7700HQ 2.8GHz")</f>
        <v>Intel Core i7 7700HQ 2.8GHz</v>
      </c>
      <c r="H565" s="2" t="str">
        <f ca="1">IFERROR(__xludf.DUMMYFUNCTION("""COMPUTED_VALUE"""),"8GB")</f>
        <v>8GB</v>
      </c>
      <c r="I565" s="2" t="str">
        <f ca="1">IFERROR(__xludf.DUMMYFUNCTION("""COMPUTED_VALUE"""),"256GB SSD")</f>
        <v>256GB SSD</v>
      </c>
      <c r="J565" s="2" t="str">
        <f ca="1">IFERROR(__xludf.DUMMYFUNCTION("""COMPUTED_VALUE"""),"Nvidia Quadro M620M")</f>
        <v>Nvidia Quadro M620M</v>
      </c>
      <c r="K565" s="2" t="str">
        <f ca="1">IFERROR(__xludf.DUMMYFUNCTION("""COMPUTED_VALUE"""),"Windows 10")</f>
        <v>Windows 10</v>
      </c>
      <c r="L565" s="2" t="str">
        <f ca="1">IFERROR(__xludf.DUMMYFUNCTION("""COMPUTED_VALUE"""),"3.4kg")</f>
        <v>3.4kg</v>
      </c>
      <c r="M565" s="2">
        <f ca="1">IFERROR(__xludf.DUMMYFUNCTION("""COMPUTED_VALUE"""),2999)</f>
        <v>2999</v>
      </c>
    </row>
    <row r="566" spans="1:13">
      <c r="A566" s="2">
        <f ca="1">IFERROR(__xludf.DUMMYFUNCTION("""COMPUTED_VALUE"""),571)</f>
        <v>571</v>
      </c>
      <c r="B566" s="2" t="str">
        <f ca="1">IFERROR(__xludf.DUMMYFUNCTION("""COMPUTED_VALUE"""),"Asus")</f>
        <v>Asus</v>
      </c>
      <c r="C566" s="2" t="str">
        <f ca="1">IFERROR(__xludf.DUMMYFUNCTION("""COMPUTED_VALUE"""),"FX553VD-DM627T (i5-7300HQ/8GB/1TB")</f>
        <v>FX553VD-DM627T (i5-7300HQ/8GB/1TB</v>
      </c>
      <c r="D566" s="2" t="str">
        <f ca="1">IFERROR(__xludf.DUMMYFUNCTION("""COMPUTED_VALUE"""),"Notebook")</f>
        <v>Notebook</v>
      </c>
      <c r="E566" s="2">
        <f ca="1">IFERROR(__xludf.DUMMYFUNCTION("""COMPUTED_VALUE"""),15.6)</f>
        <v>15.6</v>
      </c>
      <c r="F566" s="2" t="str">
        <f ca="1">IFERROR(__xludf.DUMMYFUNCTION("""COMPUTED_VALUE"""),"Full HD 1920x1080")</f>
        <v>Full HD 1920x1080</v>
      </c>
      <c r="G566" s="2" t="str">
        <f ca="1">IFERROR(__xludf.DUMMYFUNCTION("""COMPUTED_VALUE"""),"Intel Core i5 7300HQ 2.5GHz")</f>
        <v>Intel Core i5 7300HQ 2.5GHz</v>
      </c>
      <c r="H566" s="2" t="str">
        <f ca="1">IFERROR(__xludf.DUMMYFUNCTION("""COMPUTED_VALUE"""),"8GB")</f>
        <v>8GB</v>
      </c>
      <c r="I566" s="2" t="str">
        <f ca="1">IFERROR(__xludf.DUMMYFUNCTION("""COMPUTED_VALUE"""),"128GB SSD +  1TB HDD")</f>
        <v>128GB SSD +  1TB HDD</v>
      </c>
      <c r="J566" s="2" t="str">
        <f ca="1">IFERROR(__xludf.DUMMYFUNCTION("""COMPUTED_VALUE"""),"Nvidia GeForce GTX 1050")</f>
        <v>Nvidia GeForce GTX 1050</v>
      </c>
      <c r="K566" s="2" t="str">
        <f ca="1">IFERROR(__xludf.DUMMYFUNCTION("""COMPUTED_VALUE"""),"Windows 10")</f>
        <v>Windows 10</v>
      </c>
      <c r="L566" s="2" t="str">
        <f ca="1">IFERROR(__xludf.DUMMYFUNCTION("""COMPUTED_VALUE"""),"2.5kg")</f>
        <v>2.5kg</v>
      </c>
      <c r="M566" s="2">
        <f ca="1">IFERROR(__xludf.DUMMYFUNCTION("""COMPUTED_VALUE"""),839)</f>
        <v>839</v>
      </c>
    </row>
    <row r="567" spans="1:13">
      <c r="A567" s="2">
        <f ca="1">IFERROR(__xludf.DUMMYFUNCTION("""COMPUTED_VALUE"""),572)</f>
        <v>572</v>
      </c>
      <c r="B567" s="2" t="str">
        <f ca="1">IFERROR(__xludf.DUMMYFUNCTION("""COMPUTED_VALUE"""),"Dell")</f>
        <v>Dell</v>
      </c>
      <c r="C567" s="2" t="str">
        <f ca="1">IFERROR(__xludf.DUMMYFUNCTION("""COMPUTED_VALUE"""),"XPS 13")</f>
        <v>XPS 13</v>
      </c>
      <c r="D567" s="2" t="str">
        <f ca="1">IFERROR(__xludf.DUMMYFUNCTION("""COMPUTED_VALUE"""),"Ultrabook")</f>
        <v>Ultrabook</v>
      </c>
      <c r="E567" s="2">
        <f ca="1">IFERROR(__xludf.DUMMYFUNCTION("""COMPUTED_VALUE"""),13.3)</f>
        <v>13.3</v>
      </c>
      <c r="F567" s="2" t="str">
        <f ca="1">IFERROR(__xludf.DUMMYFUNCTION("""COMPUTED_VALUE"""),"IPS Panel 4K Ultra HD / Touchscreen 3840x2160")</f>
        <v>IPS Panel 4K Ultra HD / Touchscreen 3840x2160</v>
      </c>
      <c r="G567" s="2" t="str">
        <f ca="1">IFERROR(__xludf.DUMMYFUNCTION("""COMPUTED_VALUE"""),"Intel Core i5 8250U 1.6GHz")</f>
        <v>Intel Core i5 8250U 1.6GHz</v>
      </c>
      <c r="H567" s="2" t="str">
        <f ca="1">IFERROR(__xludf.DUMMYFUNCTION("""COMPUTED_VALUE"""),"8GB")</f>
        <v>8GB</v>
      </c>
      <c r="I567" s="2" t="str">
        <f ca="1">IFERROR(__xludf.DUMMYFUNCTION("""COMPUTED_VALUE"""),"128GB SSD")</f>
        <v>128GB SSD</v>
      </c>
      <c r="J567" s="2" t="str">
        <f ca="1">IFERROR(__xludf.DUMMYFUNCTION("""COMPUTED_VALUE"""),"Intel UHD Graphics 620")</f>
        <v>Intel UHD Graphics 620</v>
      </c>
      <c r="K567" s="2" t="str">
        <f ca="1">IFERROR(__xludf.DUMMYFUNCTION("""COMPUTED_VALUE"""),"Windows 10")</f>
        <v>Windows 10</v>
      </c>
      <c r="L567" s="2" t="str">
        <f ca="1">IFERROR(__xludf.DUMMYFUNCTION("""COMPUTED_VALUE"""),"1.21kg")</f>
        <v>1.21kg</v>
      </c>
      <c r="M567" s="2">
        <f ca="1">IFERROR(__xludf.DUMMYFUNCTION("""COMPUTED_VALUE"""),1599)</f>
        <v>1599</v>
      </c>
    </row>
    <row r="568" spans="1:13">
      <c r="A568" s="2">
        <f ca="1">IFERROR(__xludf.DUMMYFUNCTION("""COMPUTED_VALUE"""),573)</f>
        <v>573</v>
      </c>
      <c r="B568" s="2" t="str">
        <f ca="1">IFERROR(__xludf.DUMMYFUNCTION("""COMPUTED_VALUE"""),"Dell")</f>
        <v>Dell</v>
      </c>
      <c r="C568" s="2" t="str">
        <f ca="1">IFERROR(__xludf.DUMMYFUNCTION("""COMPUTED_VALUE"""),"Latitude 5580")</f>
        <v>Latitude 5580</v>
      </c>
      <c r="D568" s="2" t="str">
        <f ca="1">IFERROR(__xludf.DUMMYFUNCTION("""COMPUTED_VALUE"""),"Notebook")</f>
        <v>Notebook</v>
      </c>
      <c r="E568" s="2">
        <f ca="1">IFERROR(__xludf.DUMMYFUNCTION("""COMPUTED_VALUE"""),15.6)</f>
        <v>15.6</v>
      </c>
      <c r="F568" s="2" t="str">
        <f ca="1">IFERROR(__xludf.DUMMYFUNCTION("""COMPUTED_VALUE"""),"1366x768")</f>
        <v>1366x768</v>
      </c>
      <c r="G568" s="2" t="str">
        <f ca="1">IFERROR(__xludf.DUMMYFUNCTION("""COMPUTED_VALUE"""),"Intel Core i5 7300U 2.6GHz")</f>
        <v>Intel Core i5 7300U 2.6GHz</v>
      </c>
      <c r="H568" s="2" t="str">
        <f ca="1">IFERROR(__xludf.DUMMYFUNCTION("""COMPUTED_VALUE"""),"4GB")</f>
        <v>4GB</v>
      </c>
      <c r="I568" s="2" t="str">
        <f ca="1">IFERROR(__xludf.DUMMYFUNCTION("""COMPUTED_VALUE"""),"500GB HDD")</f>
        <v>500GB HDD</v>
      </c>
      <c r="J568" s="2" t="str">
        <f ca="1">IFERROR(__xludf.DUMMYFUNCTION("""COMPUTED_VALUE"""),"Intel HD Graphics 620")</f>
        <v>Intel HD Graphics 620</v>
      </c>
      <c r="K568" s="2" t="str">
        <f ca="1">IFERROR(__xludf.DUMMYFUNCTION("""COMPUTED_VALUE"""),"Windows 10")</f>
        <v>Windows 10</v>
      </c>
      <c r="L568" s="2" t="str">
        <f ca="1">IFERROR(__xludf.DUMMYFUNCTION("""COMPUTED_VALUE"""),"1.93kg")</f>
        <v>1.93kg</v>
      </c>
      <c r="M568" s="2">
        <f ca="1">IFERROR(__xludf.DUMMYFUNCTION("""COMPUTED_VALUE"""),959)</f>
        <v>959</v>
      </c>
    </row>
    <row r="569" spans="1:13">
      <c r="A569" s="2">
        <f ca="1">IFERROR(__xludf.DUMMYFUNCTION("""COMPUTED_VALUE"""),574)</f>
        <v>574</v>
      </c>
      <c r="B569" s="2" t="str">
        <f ca="1">IFERROR(__xludf.DUMMYFUNCTION("""COMPUTED_VALUE"""),"Fujitsu")</f>
        <v>Fujitsu</v>
      </c>
      <c r="C569" s="2" t="str">
        <f ca="1">IFERROR(__xludf.DUMMYFUNCTION("""COMPUTED_VALUE"""),"Lifebook A557")</f>
        <v>Lifebook A557</v>
      </c>
      <c r="D569" s="2" t="str">
        <f ca="1">IFERROR(__xludf.DUMMYFUNCTION("""COMPUTED_VALUE"""),"Notebook")</f>
        <v>Notebook</v>
      </c>
      <c r="E569" s="2">
        <f ca="1">IFERROR(__xludf.DUMMYFUNCTION("""COMPUTED_VALUE"""),15.6)</f>
        <v>15.6</v>
      </c>
      <c r="F569" s="2" t="str">
        <f ca="1">IFERROR(__xludf.DUMMYFUNCTION("""COMPUTED_VALUE"""),"1366x768")</f>
        <v>1366x768</v>
      </c>
      <c r="G569" s="2" t="str">
        <f ca="1">IFERROR(__xludf.DUMMYFUNCTION("""COMPUTED_VALUE"""),"Intel Core i5 7200U 2.5GHz")</f>
        <v>Intel Core i5 7200U 2.5GHz</v>
      </c>
      <c r="H569" s="2" t="str">
        <f ca="1">IFERROR(__xludf.DUMMYFUNCTION("""COMPUTED_VALUE"""),"8GB")</f>
        <v>8GB</v>
      </c>
      <c r="I569" s="2" t="str">
        <f ca="1">IFERROR(__xludf.DUMMYFUNCTION("""COMPUTED_VALUE"""),"1TB HDD")</f>
        <v>1TB HDD</v>
      </c>
      <c r="J569" s="2" t="str">
        <f ca="1">IFERROR(__xludf.DUMMYFUNCTION("""COMPUTED_VALUE"""),"Intel HD Graphics 620")</f>
        <v>Intel HD Graphics 620</v>
      </c>
      <c r="K569" s="2" t="str">
        <f ca="1">IFERROR(__xludf.DUMMYFUNCTION("""COMPUTED_VALUE"""),"Windows 10")</f>
        <v>Windows 10</v>
      </c>
      <c r="L569" s="2" t="str">
        <f ca="1">IFERROR(__xludf.DUMMYFUNCTION("""COMPUTED_VALUE"""),"2.2kg")</f>
        <v>2.2kg</v>
      </c>
      <c r="M569" s="2">
        <f ca="1">IFERROR(__xludf.DUMMYFUNCTION("""COMPUTED_VALUE"""),739)</f>
        <v>739</v>
      </c>
    </row>
    <row r="570" spans="1:13">
      <c r="A570" s="2">
        <f ca="1">IFERROR(__xludf.DUMMYFUNCTION("""COMPUTED_VALUE"""),575)</f>
        <v>575</v>
      </c>
      <c r="B570" s="2" t="str">
        <f ca="1">IFERROR(__xludf.DUMMYFUNCTION("""COMPUTED_VALUE"""),"Lenovo")</f>
        <v>Lenovo</v>
      </c>
      <c r="C570" s="2" t="str">
        <f ca="1">IFERROR(__xludf.DUMMYFUNCTION("""COMPUTED_VALUE"""),"IdeaPad 320-15IAP")</f>
        <v>IdeaPad 320-15IAP</v>
      </c>
      <c r="D570" s="2" t="str">
        <f ca="1">IFERROR(__xludf.DUMMYFUNCTION("""COMPUTED_VALUE"""),"Notebook")</f>
        <v>Notebook</v>
      </c>
      <c r="E570" s="2">
        <f ca="1">IFERROR(__xludf.DUMMYFUNCTION("""COMPUTED_VALUE"""),15.6)</f>
        <v>15.6</v>
      </c>
      <c r="F570" s="2" t="str">
        <f ca="1">IFERROR(__xludf.DUMMYFUNCTION("""COMPUTED_VALUE"""),"Full HD 1920x1080")</f>
        <v>Full HD 1920x1080</v>
      </c>
      <c r="G570" s="2" t="str">
        <f ca="1">IFERROR(__xludf.DUMMYFUNCTION("""COMPUTED_VALUE"""),"Intel Pentium Quad Core N4200 1.1GHz")</f>
        <v>Intel Pentium Quad Core N4200 1.1GHz</v>
      </c>
      <c r="H570" s="2" t="str">
        <f ca="1">IFERROR(__xludf.DUMMYFUNCTION("""COMPUTED_VALUE"""),"4GB")</f>
        <v>4GB</v>
      </c>
      <c r="I570" s="2" t="str">
        <f ca="1">IFERROR(__xludf.DUMMYFUNCTION("""COMPUTED_VALUE"""),"500GB HDD")</f>
        <v>500GB HDD</v>
      </c>
      <c r="J570" s="2" t="str">
        <f ca="1">IFERROR(__xludf.DUMMYFUNCTION("""COMPUTED_VALUE"""),"Intel HD Graphics 505")</f>
        <v>Intel HD Graphics 505</v>
      </c>
      <c r="K570" s="2" t="str">
        <f ca="1">IFERROR(__xludf.DUMMYFUNCTION("""COMPUTED_VALUE"""),"Windows 10")</f>
        <v>Windows 10</v>
      </c>
      <c r="L570" s="2" t="str">
        <f ca="1">IFERROR(__xludf.DUMMYFUNCTION("""COMPUTED_VALUE"""),"2.2kg")</f>
        <v>2.2kg</v>
      </c>
      <c r="M570" s="2">
        <f ca="1">IFERROR(__xludf.DUMMYFUNCTION("""COMPUTED_VALUE"""),344)</f>
        <v>344</v>
      </c>
    </row>
    <row r="571" spans="1:13">
      <c r="A571" s="2">
        <f ca="1">IFERROR(__xludf.DUMMYFUNCTION("""COMPUTED_VALUE"""),576)</f>
        <v>576</v>
      </c>
      <c r="B571" s="2" t="str">
        <f ca="1">IFERROR(__xludf.DUMMYFUNCTION("""COMPUTED_VALUE"""),"Lenovo")</f>
        <v>Lenovo</v>
      </c>
      <c r="C571" s="2" t="str">
        <f ca="1">IFERROR(__xludf.DUMMYFUNCTION("""COMPUTED_VALUE"""),"ThinkPad L470")</f>
        <v>ThinkPad L470</v>
      </c>
      <c r="D571" s="2" t="str">
        <f ca="1">IFERROR(__xludf.DUMMYFUNCTION("""COMPUTED_VALUE"""),"Notebook")</f>
        <v>Notebook</v>
      </c>
      <c r="E571" s="2">
        <f ca="1">IFERROR(__xludf.DUMMYFUNCTION("""COMPUTED_VALUE"""),14)</f>
        <v>14</v>
      </c>
      <c r="F571" s="2" t="str">
        <f ca="1">IFERROR(__xludf.DUMMYFUNCTION("""COMPUTED_VALUE"""),"1366x768")</f>
        <v>1366x768</v>
      </c>
      <c r="G571" s="2" t="str">
        <f ca="1">IFERROR(__xludf.DUMMYFUNCTION("""COMPUTED_VALUE"""),"Intel Core i5 7200U 2.5GHz")</f>
        <v>Intel Core i5 7200U 2.5GHz</v>
      </c>
      <c r="H571" s="2" t="str">
        <f ca="1">IFERROR(__xludf.DUMMYFUNCTION("""COMPUTED_VALUE"""),"4GB")</f>
        <v>4GB</v>
      </c>
      <c r="I571" s="2" t="str">
        <f ca="1">IFERROR(__xludf.DUMMYFUNCTION("""COMPUTED_VALUE"""),"500GB HDD")</f>
        <v>500GB HDD</v>
      </c>
      <c r="J571" s="2" t="str">
        <f ca="1">IFERROR(__xludf.DUMMYFUNCTION("""COMPUTED_VALUE"""),"Intel HD Graphics 620")</f>
        <v>Intel HD Graphics 620</v>
      </c>
      <c r="K571" s="2" t="str">
        <f ca="1">IFERROR(__xludf.DUMMYFUNCTION("""COMPUTED_VALUE"""),"Windows 10")</f>
        <v>Windows 10</v>
      </c>
      <c r="L571" s="2" t="str">
        <f ca="1">IFERROR(__xludf.DUMMYFUNCTION("""COMPUTED_VALUE"""),"2.02kg")</f>
        <v>2.02kg</v>
      </c>
      <c r="M571" s="2">
        <f ca="1">IFERROR(__xludf.DUMMYFUNCTION("""COMPUTED_VALUE"""),990)</f>
        <v>990</v>
      </c>
    </row>
    <row r="572" spans="1:13">
      <c r="A572" s="2">
        <f ca="1">IFERROR(__xludf.DUMMYFUNCTION("""COMPUTED_VALUE"""),577)</f>
        <v>577</v>
      </c>
      <c r="B572" s="2" t="str">
        <f ca="1">IFERROR(__xludf.DUMMYFUNCTION("""COMPUTED_VALUE"""),"HP")</f>
        <v>HP</v>
      </c>
      <c r="C572" s="2" t="str">
        <f ca="1">IFERROR(__xludf.DUMMYFUNCTION("""COMPUTED_VALUE"""),"ZBook 17")</f>
        <v>ZBook 17</v>
      </c>
      <c r="D572" s="2" t="str">
        <f ca="1">IFERROR(__xludf.DUMMYFUNCTION("""COMPUTED_VALUE"""),"Workstation")</f>
        <v>Workstation</v>
      </c>
      <c r="E572" s="2">
        <f ca="1">IFERROR(__xludf.DUMMYFUNCTION("""COMPUTED_VALUE"""),17.3)</f>
        <v>17.3</v>
      </c>
      <c r="F572" s="2" t="str">
        <f ca="1">IFERROR(__xludf.DUMMYFUNCTION("""COMPUTED_VALUE"""),"1600x900")</f>
        <v>1600x900</v>
      </c>
      <c r="G572" s="2" t="str">
        <f ca="1">IFERROR(__xludf.DUMMYFUNCTION("""COMPUTED_VALUE"""),"Intel Core i5 7440HQ 2.8GHz")</f>
        <v>Intel Core i5 7440HQ 2.8GHz</v>
      </c>
      <c r="H572" s="2" t="str">
        <f ca="1">IFERROR(__xludf.DUMMYFUNCTION("""COMPUTED_VALUE"""),"8GB")</f>
        <v>8GB</v>
      </c>
      <c r="I572" s="2" t="str">
        <f ca="1">IFERROR(__xludf.DUMMYFUNCTION("""COMPUTED_VALUE"""),"500GB HDD")</f>
        <v>500GB HDD</v>
      </c>
      <c r="J572" s="2" t="str">
        <f ca="1">IFERROR(__xludf.DUMMYFUNCTION("""COMPUTED_VALUE"""),"Nvidia Quadro M1200")</f>
        <v>Nvidia Quadro M1200</v>
      </c>
      <c r="K572" s="2" t="str">
        <f ca="1">IFERROR(__xludf.DUMMYFUNCTION("""COMPUTED_VALUE"""),"Windows 10")</f>
        <v>Windows 10</v>
      </c>
      <c r="L572" s="2" t="str">
        <f ca="1">IFERROR(__xludf.DUMMYFUNCTION("""COMPUTED_VALUE"""),"3.14kg")</f>
        <v>3.14kg</v>
      </c>
      <c r="M572" s="2">
        <f ca="1">IFERROR(__xludf.DUMMYFUNCTION("""COMPUTED_VALUE"""),1860.99)</f>
        <v>1860.99</v>
      </c>
    </row>
    <row r="573" spans="1:13">
      <c r="A573" s="2">
        <f ca="1">IFERROR(__xludf.DUMMYFUNCTION("""COMPUTED_VALUE"""),578)</f>
        <v>578</v>
      </c>
      <c r="B573" s="2" t="str">
        <f ca="1">IFERROR(__xludf.DUMMYFUNCTION("""COMPUTED_VALUE"""),"HP")</f>
        <v>HP</v>
      </c>
      <c r="C573" s="2" t="str">
        <f ca="1">IFERROR(__xludf.DUMMYFUNCTION("""COMPUTED_VALUE"""),"14-am079na (N3710/8GB/2TB/W10)")</f>
        <v>14-am079na (N3710/8GB/2TB/W10)</v>
      </c>
      <c r="D573" s="2" t="str">
        <f ca="1">IFERROR(__xludf.DUMMYFUNCTION("""COMPUTED_VALUE"""),"Notebook")</f>
        <v>Notebook</v>
      </c>
      <c r="E573" s="2">
        <f ca="1">IFERROR(__xludf.DUMMYFUNCTION("""COMPUTED_VALUE"""),14)</f>
        <v>14</v>
      </c>
      <c r="F573" s="2" t="str">
        <f ca="1">IFERROR(__xludf.DUMMYFUNCTION("""COMPUTED_VALUE"""),"1366x768")</f>
        <v>1366x768</v>
      </c>
      <c r="G573" s="2" t="str">
        <f ca="1">IFERROR(__xludf.DUMMYFUNCTION("""COMPUTED_VALUE"""),"Intel Pentium Quad Core N3710 1.6GHz")</f>
        <v>Intel Pentium Quad Core N3710 1.6GHz</v>
      </c>
      <c r="H573" s="2" t="str">
        <f ca="1">IFERROR(__xludf.DUMMYFUNCTION("""COMPUTED_VALUE"""),"8GB")</f>
        <v>8GB</v>
      </c>
      <c r="I573" s="2" t="str">
        <f ca="1">IFERROR(__xludf.DUMMYFUNCTION("""COMPUTED_VALUE"""),"2TB HDD")</f>
        <v>2TB HDD</v>
      </c>
      <c r="J573" s="2" t="str">
        <f ca="1">IFERROR(__xludf.DUMMYFUNCTION("""COMPUTED_VALUE"""),"Intel HD Graphics 405")</f>
        <v>Intel HD Graphics 405</v>
      </c>
      <c r="K573" s="2" t="str">
        <f ca="1">IFERROR(__xludf.DUMMYFUNCTION("""COMPUTED_VALUE"""),"Windows 10")</f>
        <v>Windows 10</v>
      </c>
      <c r="L573" s="2" t="str">
        <f ca="1">IFERROR(__xludf.DUMMYFUNCTION("""COMPUTED_VALUE"""),"1.94kg")</f>
        <v>1.94kg</v>
      </c>
      <c r="M573" s="2">
        <f ca="1">IFERROR(__xludf.DUMMYFUNCTION("""COMPUTED_VALUE"""),389)</f>
        <v>389</v>
      </c>
    </row>
    <row r="574" spans="1:13">
      <c r="A574" s="2">
        <f ca="1">IFERROR(__xludf.DUMMYFUNCTION("""COMPUTED_VALUE"""),579)</f>
        <v>579</v>
      </c>
      <c r="B574" s="2" t="str">
        <f ca="1">IFERROR(__xludf.DUMMYFUNCTION("""COMPUTED_VALUE"""),"HP")</f>
        <v>HP</v>
      </c>
      <c r="C574" s="2" t="str">
        <f ca="1">IFERROR(__xludf.DUMMYFUNCTION("""COMPUTED_VALUE"""),"15-cd005nv (A9-9420/6GB/256GB/Radeon")</f>
        <v>15-cd005nv (A9-9420/6GB/256GB/Radeon</v>
      </c>
      <c r="D574" s="2" t="str">
        <f ca="1">IFERROR(__xludf.DUMMYFUNCTION("""COMPUTED_VALUE"""),"Notebook")</f>
        <v>Notebook</v>
      </c>
      <c r="E574" s="2">
        <f ca="1">IFERROR(__xludf.DUMMYFUNCTION("""COMPUTED_VALUE"""),15.6)</f>
        <v>15.6</v>
      </c>
      <c r="F574" s="2" t="str">
        <f ca="1">IFERROR(__xludf.DUMMYFUNCTION("""COMPUTED_VALUE"""),"IPS Panel Full HD 1920x1080")</f>
        <v>IPS Panel Full HD 1920x1080</v>
      </c>
      <c r="G574" s="2" t="str">
        <f ca="1">IFERROR(__xludf.DUMMYFUNCTION("""COMPUTED_VALUE"""),"AMD A9-Series A9-9420 3GHz")</f>
        <v>AMD A9-Series A9-9420 3GHz</v>
      </c>
      <c r="H574" s="2" t="str">
        <f ca="1">IFERROR(__xludf.DUMMYFUNCTION("""COMPUTED_VALUE"""),"6GB")</f>
        <v>6GB</v>
      </c>
      <c r="I574" s="2" t="str">
        <f ca="1">IFERROR(__xludf.DUMMYFUNCTION("""COMPUTED_VALUE"""),"256GB SSD")</f>
        <v>256GB SSD</v>
      </c>
      <c r="J574" s="2" t="str">
        <f ca="1">IFERROR(__xludf.DUMMYFUNCTION("""COMPUTED_VALUE"""),"AMD Radeon 530")</f>
        <v>AMD Radeon 530</v>
      </c>
      <c r="K574" s="2" t="str">
        <f ca="1">IFERROR(__xludf.DUMMYFUNCTION("""COMPUTED_VALUE"""),"Windows 10")</f>
        <v>Windows 10</v>
      </c>
      <c r="L574" s="2" t="str">
        <f ca="1">IFERROR(__xludf.DUMMYFUNCTION("""COMPUTED_VALUE"""),"1.95kg")</f>
        <v>1.95kg</v>
      </c>
      <c r="M574" s="2">
        <f ca="1">IFERROR(__xludf.DUMMYFUNCTION("""COMPUTED_VALUE"""),649)</f>
        <v>649</v>
      </c>
    </row>
    <row r="575" spans="1:13">
      <c r="A575" s="2">
        <f ca="1">IFERROR(__xludf.DUMMYFUNCTION("""COMPUTED_VALUE"""),580)</f>
        <v>580</v>
      </c>
      <c r="B575" s="2" t="str">
        <f ca="1">IFERROR(__xludf.DUMMYFUNCTION("""COMPUTED_VALUE"""),"Lenovo")</f>
        <v>Lenovo</v>
      </c>
      <c r="C575" s="2" t="str">
        <f ca="1">IFERROR(__xludf.DUMMYFUNCTION("""COMPUTED_VALUE"""),"Thinkpad E570")</f>
        <v>Thinkpad E570</v>
      </c>
      <c r="D575" s="2" t="str">
        <f ca="1">IFERROR(__xludf.DUMMYFUNCTION("""COMPUTED_VALUE"""),"Notebook")</f>
        <v>Notebook</v>
      </c>
      <c r="E575" s="2">
        <f ca="1">IFERROR(__xludf.DUMMYFUNCTION("""COMPUTED_VALUE"""),15.6)</f>
        <v>15.6</v>
      </c>
      <c r="F575" s="2" t="str">
        <f ca="1">IFERROR(__xludf.DUMMYFUNCTION("""COMPUTED_VALUE"""),"Full HD 1920x1080")</f>
        <v>Full HD 1920x1080</v>
      </c>
      <c r="G575" s="2" t="str">
        <f ca="1">IFERROR(__xludf.DUMMYFUNCTION("""COMPUTED_VALUE"""),"Intel Core i5 7200U 2.5GHz")</f>
        <v>Intel Core i5 7200U 2.5GHz</v>
      </c>
      <c r="H575" s="2" t="str">
        <f ca="1">IFERROR(__xludf.DUMMYFUNCTION("""COMPUTED_VALUE"""),"8GB")</f>
        <v>8GB</v>
      </c>
      <c r="I575" s="2" t="str">
        <f ca="1">IFERROR(__xludf.DUMMYFUNCTION("""COMPUTED_VALUE"""),"256GB SSD")</f>
        <v>256GB SSD</v>
      </c>
      <c r="J575" s="2" t="str">
        <f ca="1">IFERROR(__xludf.DUMMYFUNCTION("""COMPUTED_VALUE"""),"Intel HD Graphics 620")</f>
        <v>Intel HD Graphics 620</v>
      </c>
      <c r="K575" s="2" t="str">
        <f ca="1">IFERROR(__xludf.DUMMYFUNCTION("""COMPUTED_VALUE"""),"Windows 10")</f>
        <v>Windows 10</v>
      </c>
      <c r="L575" s="2" t="str">
        <f ca="1">IFERROR(__xludf.DUMMYFUNCTION("""COMPUTED_VALUE"""),"2.3kg")</f>
        <v>2.3kg</v>
      </c>
      <c r="M575" s="2">
        <f ca="1">IFERROR(__xludf.DUMMYFUNCTION("""COMPUTED_VALUE"""),830)</f>
        <v>830</v>
      </c>
    </row>
    <row r="576" spans="1:13">
      <c r="A576" s="2">
        <f ca="1">IFERROR(__xludf.DUMMYFUNCTION("""COMPUTED_VALUE"""),581)</f>
        <v>581</v>
      </c>
      <c r="B576" s="2" t="str">
        <f ca="1">IFERROR(__xludf.DUMMYFUNCTION("""COMPUTED_VALUE"""),"Lenovo")</f>
        <v>Lenovo</v>
      </c>
      <c r="C576" s="2" t="str">
        <f ca="1">IFERROR(__xludf.DUMMYFUNCTION("""COMPUTED_VALUE"""),"V330-15IKB (i5-8250U/4GB/500GB/FHD/W10)")</f>
        <v>V330-15IKB (i5-8250U/4GB/500GB/FHD/W10)</v>
      </c>
      <c r="D576" s="2" t="str">
        <f ca="1">IFERROR(__xludf.DUMMYFUNCTION("""COMPUTED_VALUE"""),"Notebook")</f>
        <v>Notebook</v>
      </c>
      <c r="E576" s="2">
        <f ca="1">IFERROR(__xludf.DUMMYFUNCTION("""COMPUTED_VALUE"""),15.6)</f>
        <v>15.6</v>
      </c>
      <c r="F576" s="2" t="str">
        <f ca="1">IFERROR(__xludf.DUMMYFUNCTION("""COMPUTED_VALUE"""),"Full HD 1920x1080")</f>
        <v>Full HD 1920x1080</v>
      </c>
      <c r="G576" s="2" t="str">
        <f ca="1">IFERROR(__xludf.DUMMYFUNCTION("""COMPUTED_VALUE"""),"Intel Core i5 8250U 1.6GHz")</f>
        <v>Intel Core i5 8250U 1.6GHz</v>
      </c>
      <c r="H576" s="2" t="str">
        <f ca="1">IFERROR(__xludf.DUMMYFUNCTION("""COMPUTED_VALUE"""),"4GB")</f>
        <v>4GB</v>
      </c>
      <c r="I576" s="2" t="str">
        <f ca="1">IFERROR(__xludf.DUMMYFUNCTION("""COMPUTED_VALUE"""),"500GB HDD")</f>
        <v>500GB HDD</v>
      </c>
      <c r="J576" s="2" t="str">
        <f ca="1">IFERROR(__xludf.DUMMYFUNCTION("""COMPUTED_VALUE"""),"Intel HD Graphics 620")</f>
        <v>Intel HD Graphics 620</v>
      </c>
      <c r="K576" s="2" t="str">
        <f ca="1">IFERROR(__xludf.DUMMYFUNCTION("""COMPUTED_VALUE"""),"Windows 10")</f>
        <v>Windows 10</v>
      </c>
      <c r="L576" s="2" t="str">
        <f ca="1">IFERROR(__xludf.DUMMYFUNCTION("""COMPUTED_VALUE"""),"2.05kg")</f>
        <v>2.05kg</v>
      </c>
      <c r="M576" s="2">
        <f ca="1">IFERROR(__xludf.DUMMYFUNCTION("""COMPUTED_VALUE"""),685)</f>
        <v>685</v>
      </c>
    </row>
    <row r="577" spans="1:13">
      <c r="A577" s="2">
        <f ca="1">IFERROR(__xludf.DUMMYFUNCTION("""COMPUTED_VALUE"""),582)</f>
        <v>582</v>
      </c>
      <c r="B577" s="2" t="str">
        <f ca="1">IFERROR(__xludf.DUMMYFUNCTION("""COMPUTED_VALUE"""),"Mediacom")</f>
        <v>Mediacom</v>
      </c>
      <c r="C577" s="2" t="str">
        <f ca="1">IFERROR(__xludf.DUMMYFUNCTION("""COMPUTED_VALUE"""),"SmartBook 141")</f>
        <v>SmartBook 141</v>
      </c>
      <c r="D577" s="2" t="str">
        <f ca="1">IFERROR(__xludf.DUMMYFUNCTION("""COMPUTED_VALUE"""),"Notebook")</f>
        <v>Notebook</v>
      </c>
      <c r="E577" s="2">
        <f ca="1">IFERROR(__xludf.DUMMYFUNCTION("""COMPUTED_VALUE"""),14)</f>
        <v>14</v>
      </c>
      <c r="F577" s="2" t="str">
        <f ca="1">IFERROR(__xludf.DUMMYFUNCTION("""COMPUTED_VALUE"""),"Full HD 1920x1080")</f>
        <v>Full HD 1920x1080</v>
      </c>
      <c r="G577" s="2" t="str">
        <f ca="1">IFERROR(__xludf.DUMMYFUNCTION("""COMPUTED_VALUE"""),"Intel Atom x5-Z8350 1.44GHz")</f>
        <v>Intel Atom x5-Z8350 1.44GHz</v>
      </c>
      <c r="H577" s="2" t="str">
        <f ca="1">IFERROR(__xludf.DUMMYFUNCTION("""COMPUTED_VALUE"""),"4GB")</f>
        <v>4GB</v>
      </c>
      <c r="I577" s="2" t="str">
        <f ca="1">IFERROR(__xludf.DUMMYFUNCTION("""COMPUTED_VALUE"""),"32GB SSD")</f>
        <v>32GB SSD</v>
      </c>
      <c r="J577" s="2" t="str">
        <f ca="1">IFERROR(__xludf.DUMMYFUNCTION("""COMPUTED_VALUE"""),"Intel HD Graphics")</f>
        <v>Intel HD Graphics</v>
      </c>
      <c r="K577" s="2" t="str">
        <f ca="1">IFERROR(__xludf.DUMMYFUNCTION("""COMPUTED_VALUE"""),"Windows 10")</f>
        <v>Windows 10</v>
      </c>
      <c r="L577" s="2" t="str">
        <f ca="1">IFERROR(__xludf.DUMMYFUNCTION("""COMPUTED_VALUE"""),"1.4kg")</f>
        <v>1.4kg</v>
      </c>
      <c r="M577" s="2">
        <f ca="1">IFERROR(__xludf.DUMMYFUNCTION("""COMPUTED_VALUE"""),249)</f>
        <v>249</v>
      </c>
    </row>
    <row r="578" spans="1:13">
      <c r="A578" s="2">
        <f ca="1">IFERROR(__xludf.DUMMYFUNCTION("""COMPUTED_VALUE"""),583)</f>
        <v>583</v>
      </c>
      <c r="B578" s="2" t="str">
        <f ca="1">IFERROR(__xludf.DUMMYFUNCTION("""COMPUTED_VALUE"""),"Toshiba")</f>
        <v>Toshiba</v>
      </c>
      <c r="C578" s="2" t="str">
        <f ca="1">IFERROR(__xludf.DUMMYFUNCTION("""COMPUTED_VALUE"""),"Tecra X40-D-10H")</f>
        <v>Tecra X40-D-10H</v>
      </c>
      <c r="D578" s="2" t="str">
        <f ca="1">IFERROR(__xludf.DUMMYFUNCTION("""COMPUTED_VALUE"""),"Ultrabook")</f>
        <v>Ultrabook</v>
      </c>
      <c r="E578" s="2">
        <f ca="1">IFERROR(__xludf.DUMMYFUNCTION("""COMPUTED_VALUE"""),14)</f>
        <v>14</v>
      </c>
      <c r="F578" s="2" t="str">
        <f ca="1">IFERROR(__xludf.DUMMYFUNCTION("""COMPUTED_VALUE"""),"Full HD / Touchscreen 1920x1080")</f>
        <v>Full HD / Touchscreen 1920x1080</v>
      </c>
      <c r="G578" s="2" t="str">
        <f ca="1">IFERROR(__xludf.DUMMYFUNCTION("""COMPUTED_VALUE"""),"Intel Core i7 7500U 2.7GHz")</f>
        <v>Intel Core i7 7500U 2.7GHz</v>
      </c>
      <c r="H578" s="2" t="str">
        <f ca="1">IFERROR(__xludf.DUMMYFUNCTION("""COMPUTED_VALUE"""),"16GB")</f>
        <v>16GB</v>
      </c>
      <c r="I578" s="2" t="str">
        <f ca="1">IFERROR(__xludf.DUMMYFUNCTION("""COMPUTED_VALUE"""),"512GB SSD")</f>
        <v>512GB SSD</v>
      </c>
      <c r="J578" s="2" t="str">
        <f ca="1">IFERROR(__xludf.DUMMYFUNCTION("""COMPUTED_VALUE"""),"Intel HD Graphics 620")</f>
        <v>Intel HD Graphics 620</v>
      </c>
      <c r="K578" s="2" t="str">
        <f ca="1">IFERROR(__xludf.DUMMYFUNCTION("""COMPUTED_VALUE"""),"Windows 10")</f>
        <v>Windows 10</v>
      </c>
      <c r="L578" s="2" t="str">
        <f ca="1">IFERROR(__xludf.DUMMYFUNCTION("""COMPUTED_VALUE"""),"1.24kg")</f>
        <v>1.24kg</v>
      </c>
      <c r="M578" s="2">
        <f ca="1">IFERROR(__xludf.DUMMYFUNCTION("""COMPUTED_VALUE"""),1865)</f>
        <v>1865</v>
      </c>
    </row>
    <row r="579" spans="1:13">
      <c r="A579" s="2">
        <f ca="1">IFERROR(__xludf.DUMMYFUNCTION("""COMPUTED_VALUE"""),584)</f>
        <v>584</v>
      </c>
      <c r="B579" s="2" t="str">
        <f ca="1">IFERROR(__xludf.DUMMYFUNCTION("""COMPUTED_VALUE"""),"Lenovo")</f>
        <v>Lenovo</v>
      </c>
      <c r="C579" s="2" t="str">
        <f ca="1">IFERROR(__xludf.DUMMYFUNCTION("""COMPUTED_VALUE"""),"IdeaPad Y910-17ISK")</f>
        <v>IdeaPad Y910-17ISK</v>
      </c>
      <c r="D579" s="2" t="str">
        <f ca="1">IFERROR(__xludf.DUMMYFUNCTION("""COMPUTED_VALUE"""),"Gaming")</f>
        <v>Gaming</v>
      </c>
      <c r="E579" s="2">
        <f ca="1">IFERROR(__xludf.DUMMYFUNCTION("""COMPUTED_VALUE"""),17.3)</f>
        <v>17.3</v>
      </c>
      <c r="F579" s="2" t="str">
        <f ca="1">IFERROR(__xludf.DUMMYFUNCTION("""COMPUTED_VALUE"""),"IPS Panel Full HD 1920x1080")</f>
        <v>IPS Panel Full HD 1920x1080</v>
      </c>
      <c r="G579" s="2" t="str">
        <f ca="1">IFERROR(__xludf.DUMMYFUNCTION("""COMPUTED_VALUE"""),"Intel Core i7 6820HK 2.7GHz")</f>
        <v>Intel Core i7 6820HK 2.7GHz</v>
      </c>
      <c r="H579" s="2" t="str">
        <f ca="1">IFERROR(__xludf.DUMMYFUNCTION("""COMPUTED_VALUE"""),"32GB")</f>
        <v>32GB</v>
      </c>
      <c r="I579" s="2" t="str">
        <f ca="1">IFERROR(__xludf.DUMMYFUNCTION("""COMPUTED_VALUE"""),"256GB SSD +  1TB HDD")</f>
        <v>256GB SSD +  1TB HDD</v>
      </c>
      <c r="J579" s="2" t="str">
        <f ca="1">IFERROR(__xludf.DUMMYFUNCTION("""COMPUTED_VALUE"""),"Nvidia GeForce GTX 1070")</f>
        <v>Nvidia GeForce GTX 1070</v>
      </c>
      <c r="K579" s="2" t="str">
        <f ca="1">IFERROR(__xludf.DUMMYFUNCTION("""COMPUTED_VALUE"""),"Windows 10")</f>
        <v>Windows 10</v>
      </c>
      <c r="L579" s="2" t="str">
        <f ca="1">IFERROR(__xludf.DUMMYFUNCTION("""COMPUTED_VALUE"""),"4.6kg")</f>
        <v>4.6kg</v>
      </c>
      <c r="M579" s="2">
        <f ca="1">IFERROR(__xludf.DUMMYFUNCTION("""COMPUTED_VALUE"""),2663)</f>
        <v>2663</v>
      </c>
    </row>
    <row r="580" spans="1:13">
      <c r="A580" s="2">
        <f ca="1">IFERROR(__xludf.DUMMYFUNCTION("""COMPUTED_VALUE"""),585)</f>
        <v>585</v>
      </c>
      <c r="B580" s="2" t="str">
        <f ca="1">IFERROR(__xludf.DUMMYFUNCTION("""COMPUTED_VALUE"""),"MSI")</f>
        <v>MSI</v>
      </c>
      <c r="C580" s="2" t="str">
        <f ca="1">IFERROR(__xludf.DUMMYFUNCTION("""COMPUTED_VALUE"""),"GT73VR Titan")</f>
        <v>GT73VR Titan</v>
      </c>
      <c r="D580" s="2" t="str">
        <f ca="1">IFERROR(__xludf.DUMMYFUNCTION("""COMPUTED_VALUE"""),"Gaming")</f>
        <v>Gaming</v>
      </c>
      <c r="E580" s="2">
        <f ca="1">IFERROR(__xludf.DUMMYFUNCTION("""COMPUTED_VALUE"""),17.3)</f>
        <v>17.3</v>
      </c>
      <c r="F580" s="2" t="str">
        <f ca="1">IFERROR(__xludf.DUMMYFUNCTION("""COMPUTED_VALUE"""),"Full HD 1920x1080")</f>
        <v>Full HD 1920x1080</v>
      </c>
      <c r="G580" s="2" t="str">
        <f ca="1">IFERROR(__xludf.DUMMYFUNCTION("""COMPUTED_VALUE"""),"Intel Core i7 7820HK 2.9GHz")</f>
        <v>Intel Core i7 7820HK 2.9GHz</v>
      </c>
      <c r="H580" s="2" t="str">
        <f ca="1">IFERROR(__xludf.DUMMYFUNCTION("""COMPUTED_VALUE"""),"16GB")</f>
        <v>16GB</v>
      </c>
      <c r="I580" s="2" t="str">
        <f ca="1">IFERROR(__xludf.DUMMYFUNCTION("""COMPUTED_VALUE"""),"512GB SSD +  1TB HDD")</f>
        <v>512GB SSD +  1TB HDD</v>
      </c>
      <c r="J580" s="2" t="str">
        <f ca="1">IFERROR(__xludf.DUMMYFUNCTION("""COMPUTED_VALUE"""),"Nvidia GeForce GTX 1070")</f>
        <v>Nvidia GeForce GTX 1070</v>
      </c>
      <c r="K580" s="2" t="str">
        <f ca="1">IFERROR(__xludf.DUMMYFUNCTION("""COMPUTED_VALUE"""),"Windows 10")</f>
        <v>Windows 10</v>
      </c>
      <c r="L580" s="2" t="str">
        <f ca="1">IFERROR(__xludf.DUMMYFUNCTION("""COMPUTED_VALUE"""),"4.14kg")</f>
        <v>4.14kg</v>
      </c>
      <c r="M580" s="2">
        <f ca="1">IFERROR(__xludf.DUMMYFUNCTION("""COMPUTED_VALUE"""),2729)</f>
        <v>2729</v>
      </c>
    </row>
    <row r="581" spans="1:13">
      <c r="A581" s="2">
        <f ca="1">IFERROR(__xludf.DUMMYFUNCTION("""COMPUTED_VALUE"""),586)</f>
        <v>586</v>
      </c>
      <c r="B581" s="2" t="str">
        <f ca="1">IFERROR(__xludf.DUMMYFUNCTION("""COMPUTED_VALUE"""),"Dell")</f>
        <v>Dell</v>
      </c>
      <c r="C581" s="2" t="str">
        <f ca="1">IFERROR(__xludf.DUMMYFUNCTION("""COMPUTED_VALUE"""),"Inspiron 3567")</f>
        <v>Inspiron 3567</v>
      </c>
      <c r="D581" s="2" t="str">
        <f ca="1">IFERROR(__xludf.DUMMYFUNCTION("""COMPUTED_VALUE"""),"Notebook")</f>
        <v>Notebook</v>
      </c>
      <c r="E581" s="2">
        <f ca="1">IFERROR(__xludf.DUMMYFUNCTION("""COMPUTED_VALUE"""),15.6)</f>
        <v>15.6</v>
      </c>
      <c r="F581" s="2" t="str">
        <f ca="1">IFERROR(__xludf.DUMMYFUNCTION("""COMPUTED_VALUE"""),"Full HD 1920x1080")</f>
        <v>Full HD 1920x1080</v>
      </c>
      <c r="G581" s="2" t="str">
        <f ca="1">IFERROR(__xludf.DUMMYFUNCTION("""COMPUTED_VALUE"""),"Intel Core i7 7500U 2.7GHz")</f>
        <v>Intel Core i7 7500U 2.7GHz</v>
      </c>
      <c r="H581" s="2" t="str">
        <f ca="1">IFERROR(__xludf.DUMMYFUNCTION("""COMPUTED_VALUE"""),"8GB")</f>
        <v>8GB</v>
      </c>
      <c r="I581" s="2" t="str">
        <f ca="1">IFERROR(__xludf.DUMMYFUNCTION("""COMPUTED_VALUE"""),"256GB SSD")</f>
        <v>256GB SSD</v>
      </c>
      <c r="J581" s="2" t="str">
        <f ca="1">IFERROR(__xludf.DUMMYFUNCTION("""COMPUTED_VALUE"""),"AMD Radeon R5 M430")</f>
        <v>AMD Radeon R5 M430</v>
      </c>
      <c r="K581" s="2" t="str">
        <f ca="1">IFERROR(__xludf.DUMMYFUNCTION("""COMPUTED_VALUE"""),"Linux")</f>
        <v>Linux</v>
      </c>
      <c r="L581" s="2" t="str">
        <f ca="1">IFERROR(__xludf.DUMMYFUNCTION("""COMPUTED_VALUE"""),"2.2kg")</f>
        <v>2.2kg</v>
      </c>
      <c r="M581" s="2">
        <f ca="1">IFERROR(__xludf.DUMMYFUNCTION("""COMPUTED_VALUE"""),749.01)</f>
        <v>749.01</v>
      </c>
    </row>
    <row r="582" spans="1:13">
      <c r="A582" s="2">
        <f ca="1">IFERROR(__xludf.DUMMYFUNCTION("""COMPUTED_VALUE"""),587)</f>
        <v>587</v>
      </c>
      <c r="B582" s="2" t="str">
        <f ca="1">IFERROR(__xludf.DUMMYFUNCTION("""COMPUTED_VALUE"""),"Mediacom")</f>
        <v>Mediacom</v>
      </c>
      <c r="C582" s="2" t="str">
        <f ca="1">IFERROR(__xludf.DUMMYFUNCTION("""COMPUTED_VALUE"""),"SmartBook Edge")</f>
        <v>SmartBook Edge</v>
      </c>
      <c r="D582" s="2" t="str">
        <f ca="1">IFERROR(__xludf.DUMMYFUNCTION("""COMPUTED_VALUE"""),"Notebook")</f>
        <v>Notebook</v>
      </c>
      <c r="E582" s="2">
        <f ca="1">IFERROR(__xludf.DUMMYFUNCTION("""COMPUTED_VALUE"""),14)</f>
        <v>14</v>
      </c>
      <c r="F582" s="2" t="str">
        <f ca="1">IFERROR(__xludf.DUMMYFUNCTION("""COMPUTED_VALUE"""),"IPS Panel Full HD 1920x1080")</f>
        <v>IPS Panel Full HD 1920x1080</v>
      </c>
      <c r="G582" s="2" t="str">
        <f ca="1">IFERROR(__xludf.DUMMYFUNCTION("""COMPUTED_VALUE"""),"Intel Celeron Quad Core N3450 1.1GHz")</f>
        <v>Intel Celeron Quad Core N3450 1.1GHz</v>
      </c>
      <c r="H582" s="2" t="str">
        <f ca="1">IFERROR(__xludf.DUMMYFUNCTION("""COMPUTED_VALUE"""),"4GB")</f>
        <v>4GB</v>
      </c>
      <c r="I582" s="2" t="str">
        <f ca="1">IFERROR(__xludf.DUMMYFUNCTION("""COMPUTED_VALUE"""),"32GB SSD")</f>
        <v>32GB SSD</v>
      </c>
      <c r="J582" s="2" t="str">
        <f ca="1">IFERROR(__xludf.DUMMYFUNCTION("""COMPUTED_VALUE"""),"Intel HD Graphics 500")</f>
        <v>Intel HD Graphics 500</v>
      </c>
      <c r="K582" s="2" t="str">
        <f ca="1">IFERROR(__xludf.DUMMYFUNCTION("""COMPUTED_VALUE"""),"Windows 10")</f>
        <v>Windows 10</v>
      </c>
      <c r="L582" s="2" t="str">
        <f ca="1">IFERROR(__xludf.DUMMYFUNCTION("""COMPUTED_VALUE"""),"1.45kg")</f>
        <v>1.45kg</v>
      </c>
      <c r="M582" s="2">
        <f ca="1">IFERROR(__xludf.DUMMYFUNCTION("""COMPUTED_VALUE"""),389)</f>
        <v>389</v>
      </c>
    </row>
    <row r="583" spans="1:13">
      <c r="A583" s="2">
        <f ca="1">IFERROR(__xludf.DUMMYFUNCTION("""COMPUTED_VALUE"""),588)</f>
        <v>588</v>
      </c>
      <c r="B583" s="2" t="str">
        <f ca="1">IFERROR(__xludf.DUMMYFUNCTION("""COMPUTED_VALUE"""),"Dell")</f>
        <v>Dell</v>
      </c>
      <c r="C583" s="2" t="str">
        <f ca="1">IFERROR(__xludf.DUMMYFUNCTION("""COMPUTED_VALUE"""),"Latitude 5580")</f>
        <v>Latitude 5580</v>
      </c>
      <c r="D583" s="2" t="str">
        <f ca="1">IFERROR(__xludf.DUMMYFUNCTION("""COMPUTED_VALUE"""),"Notebook")</f>
        <v>Notebook</v>
      </c>
      <c r="E583" s="2">
        <f ca="1">IFERROR(__xludf.DUMMYFUNCTION("""COMPUTED_VALUE"""),15.6)</f>
        <v>15.6</v>
      </c>
      <c r="F583" s="2" t="str">
        <f ca="1">IFERROR(__xludf.DUMMYFUNCTION("""COMPUTED_VALUE"""),"1366x768")</f>
        <v>1366x768</v>
      </c>
      <c r="G583" s="2" t="str">
        <f ca="1">IFERROR(__xludf.DUMMYFUNCTION("""COMPUTED_VALUE"""),"Intel Core i5 7300U 2.6GHz")</f>
        <v>Intel Core i5 7300U 2.6GHz</v>
      </c>
      <c r="H583" s="2" t="str">
        <f ca="1">IFERROR(__xludf.DUMMYFUNCTION("""COMPUTED_VALUE"""),"8GB")</f>
        <v>8GB</v>
      </c>
      <c r="I583" s="2" t="str">
        <f ca="1">IFERROR(__xludf.DUMMYFUNCTION("""COMPUTED_VALUE"""),"500GB HDD")</f>
        <v>500GB HDD</v>
      </c>
      <c r="J583" s="2" t="str">
        <f ca="1">IFERROR(__xludf.DUMMYFUNCTION("""COMPUTED_VALUE"""),"Intel HD Graphics 620")</f>
        <v>Intel HD Graphics 620</v>
      </c>
      <c r="K583" s="2" t="str">
        <f ca="1">IFERROR(__xludf.DUMMYFUNCTION("""COMPUTED_VALUE"""),"Windows 10")</f>
        <v>Windows 10</v>
      </c>
      <c r="L583" s="2" t="str">
        <f ca="1">IFERROR(__xludf.DUMMYFUNCTION("""COMPUTED_VALUE"""),"1.9kg")</f>
        <v>1.9kg</v>
      </c>
      <c r="M583" s="2">
        <f ca="1">IFERROR(__xludf.DUMMYFUNCTION("""COMPUTED_VALUE"""),1008.52)</f>
        <v>1008.52</v>
      </c>
    </row>
    <row r="584" spans="1:13">
      <c r="A584" s="2">
        <f ca="1">IFERROR(__xludf.DUMMYFUNCTION("""COMPUTED_VALUE"""),589)</f>
        <v>589</v>
      </c>
      <c r="B584" s="2" t="str">
        <f ca="1">IFERROR(__xludf.DUMMYFUNCTION("""COMPUTED_VALUE"""),"HP")</f>
        <v>HP</v>
      </c>
      <c r="C584" s="2" t="str">
        <f ca="1">IFERROR(__xludf.DUMMYFUNCTION("""COMPUTED_VALUE"""),"ProBook 430")</f>
        <v>ProBook 430</v>
      </c>
      <c r="D584" s="2" t="str">
        <f ca="1">IFERROR(__xludf.DUMMYFUNCTION("""COMPUTED_VALUE"""),"Notebook")</f>
        <v>Notebook</v>
      </c>
      <c r="E584" s="2">
        <f ca="1">IFERROR(__xludf.DUMMYFUNCTION("""COMPUTED_VALUE"""),13.3)</f>
        <v>13.3</v>
      </c>
      <c r="F584" s="2" t="str">
        <f ca="1">IFERROR(__xludf.DUMMYFUNCTION("""COMPUTED_VALUE"""),"Full HD 1920x1080")</f>
        <v>Full HD 1920x1080</v>
      </c>
      <c r="G584" s="2" t="str">
        <f ca="1">IFERROR(__xludf.DUMMYFUNCTION("""COMPUTED_VALUE"""),"Intel Core i3 7100U 2.4GHz")</f>
        <v>Intel Core i3 7100U 2.4GHz</v>
      </c>
      <c r="H584" s="2" t="str">
        <f ca="1">IFERROR(__xludf.DUMMYFUNCTION("""COMPUTED_VALUE"""),"4GB")</f>
        <v>4GB</v>
      </c>
      <c r="I584" s="2" t="str">
        <f ca="1">IFERROR(__xludf.DUMMYFUNCTION("""COMPUTED_VALUE"""),"128GB SSD")</f>
        <v>128GB SSD</v>
      </c>
      <c r="J584" s="2" t="str">
        <f ca="1">IFERROR(__xludf.DUMMYFUNCTION("""COMPUTED_VALUE"""),"Intel HD Graphics 620")</f>
        <v>Intel HD Graphics 620</v>
      </c>
      <c r="K584" s="2" t="str">
        <f ca="1">IFERROR(__xludf.DUMMYFUNCTION("""COMPUTED_VALUE"""),"Windows 10")</f>
        <v>Windows 10</v>
      </c>
      <c r="L584" s="2" t="str">
        <f ca="1">IFERROR(__xludf.DUMMYFUNCTION("""COMPUTED_VALUE"""),"1.49kg")</f>
        <v>1.49kg</v>
      </c>
      <c r="M584" s="2">
        <f ca="1">IFERROR(__xludf.DUMMYFUNCTION("""COMPUTED_VALUE"""),719)</f>
        <v>719</v>
      </c>
    </row>
    <row r="585" spans="1:13">
      <c r="A585" s="2">
        <f ca="1">IFERROR(__xludf.DUMMYFUNCTION("""COMPUTED_VALUE"""),590)</f>
        <v>590</v>
      </c>
      <c r="B585" s="2" t="str">
        <f ca="1">IFERROR(__xludf.DUMMYFUNCTION("""COMPUTED_VALUE"""),"Dell")</f>
        <v>Dell</v>
      </c>
      <c r="C585" s="2" t="str">
        <f ca="1">IFERROR(__xludf.DUMMYFUNCTION("""COMPUTED_VALUE"""),"Latitude 5580")</f>
        <v>Latitude 5580</v>
      </c>
      <c r="D585" s="2" t="str">
        <f ca="1">IFERROR(__xludf.DUMMYFUNCTION("""COMPUTED_VALUE"""),"Notebook")</f>
        <v>Notebook</v>
      </c>
      <c r="E585" s="2">
        <f ca="1">IFERROR(__xludf.DUMMYFUNCTION("""COMPUTED_VALUE"""),15.6)</f>
        <v>15.6</v>
      </c>
      <c r="F585" s="2" t="str">
        <f ca="1">IFERROR(__xludf.DUMMYFUNCTION("""COMPUTED_VALUE"""),"Full HD 1920x1080")</f>
        <v>Full HD 1920x1080</v>
      </c>
      <c r="G585" s="2" t="str">
        <f ca="1">IFERROR(__xludf.DUMMYFUNCTION("""COMPUTED_VALUE"""),"Intel Core i7 7600U 2.8GHz")</f>
        <v>Intel Core i7 7600U 2.8GHz</v>
      </c>
      <c r="H585" s="2" t="str">
        <f ca="1">IFERROR(__xludf.DUMMYFUNCTION("""COMPUTED_VALUE"""),"16GB")</f>
        <v>16GB</v>
      </c>
      <c r="I585" s="2" t="str">
        <f ca="1">IFERROR(__xludf.DUMMYFUNCTION("""COMPUTED_VALUE"""),"256GB SSD")</f>
        <v>256GB SSD</v>
      </c>
      <c r="J585" s="2" t="str">
        <f ca="1">IFERROR(__xludf.DUMMYFUNCTION("""COMPUTED_VALUE"""),"Nvidia GeForce 930MX")</f>
        <v>Nvidia GeForce 930MX</v>
      </c>
      <c r="K585" s="2" t="str">
        <f ca="1">IFERROR(__xludf.DUMMYFUNCTION("""COMPUTED_VALUE"""),"Windows 10")</f>
        <v>Windows 10</v>
      </c>
      <c r="L585" s="2" t="str">
        <f ca="1">IFERROR(__xludf.DUMMYFUNCTION("""COMPUTED_VALUE"""),"1.93kg")</f>
        <v>1.93kg</v>
      </c>
      <c r="M585" s="2">
        <f ca="1">IFERROR(__xludf.DUMMYFUNCTION("""COMPUTED_VALUE"""),1537.39)</f>
        <v>1537.39</v>
      </c>
    </row>
    <row r="586" spans="1:13">
      <c r="A586" s="2">
        <f ca="1">IFERROR(__xludf.DUMMYFUNCTION("""COMPUTED_VALUE"""),591)</f>
        <v>591</v>
      </c>
      <c r="B586" s="2" t="str">
        <f ca="1">IFERROR(__xludf.DUMMYFUNCTION("""COMPUTED_VALUE"""),"Dell")</f>
        <v>Dell</v>
      </c>
      <c r="C586" s="2" t="str">
        <f ca="1">IFERROR(__xludf.DUMMYFUNCTION("""COMPUTED_VALUE"""),"Chromebook 11")</f>
        <v>Chromebook 11</v>
      </c>
      <c r="D586" s="2" t="str">
        <f ca="1">IFERROR(__xludf.DUMMYFUNCTION("""COMPUTED_VALUE"""),"Netbook")</f>
        <v>Netbook</v>
      </c>
      <c r="E586" s="2">
        <f ca="1">IFERROR(__xludf.DUMMYFUNCTION("""COMPUTED_VALUE"""),11.6)</f>
        <v>11.6</v>
      </c>
      <c r="F586" s="2" t="str">
        <f ca="1">IFERROR(__xludf.DUMMYFUNCTION("""COMPUTED_VALUE"""),"1366x768")</f>
        <v>1366x768</v>
      </c>
      <c r="G586" s="2" t="str">
        <f ca="1">IFERROR(__xludf.DUMMYFUNCTION("""COMPUTED_VALUE"""),"Intel Celeron Dual Core N3060 1.6GHz")</f>
        <v>Intel Celeron Dual Core N3060 1.6GHz</v>
      </c>
      <c r="H586" s="2" t="str">
        <f ca="1">IFERROR(__xludf.DUMMYFUNCTION("""COMPUTED_VALUE"""),"4GB")</f>
        <v>4GB</v>
      </c>
      <c r="I586" s="2" t="str">
        <f ca="1">IFERROR(__xludf.DUMMYFUNCTION("""COMPUTED_VALUE"""),"16GB Flash Storage")</f>
        <v>16GB Flash Storage</v>
      </c>
      <c r="J586" s="2" t="str">
        <f ca="1">IFERROR(__xludf.DUMMYFUNCTION("""COMPUTED_VALUE"""),"Intel HD Graphics 400")</f>
        <v>Intel HD Graphics 400</v>
      </c>
      <c r="K586" s="2" t="str">
        <f ca="1">IFERROR(__xludf.DUMMYFUNCTION("""COMPUTED_VALUE"""),"Chrome OS")</f>
        <v>Chrome OS</v>
      </c>
      <c r="L586" s="2" t="str">
        <f ca="1">IFERROR(__xludf.DUMMYFUNCTION("""COMPUTED_VALUE"""),"1.26kg")</f>
        <v>1.26kg</v>
      </c>
      <c r="M586" s="2">
        <f ca="1">IFERROR(__xludf.DUMMYFUNCTION("""COMPUTED_VALUE"""),295)</f>
        <v>295</v>
      </c>
    </row>
    <row r="587" spans="1:13">
      <c r="A587" s="2">
        <f ca="1">IFERROR(__xludf.DUMMYFUNCTION("""COMPUTED_VALUE"""),592)</f>
        <v>592</v>
      </c>
      <c r="B587" s="2" t="str">
        <f ca="1">IFERROR(__xludf.DUMMYFUNCTION("""COMPUTED_VALUE"""),"MSI")</f>
        <v>MSI</v>
      </c>
      <c r="C587" s="2" t="str">
        <f ca="1">IFERROR(__xludf.DUMMYFUNCTION("""COMPUTED_VALUE"""),"GT80S 6QE")</f>
        <v>GT80S 6QE</v>
      </c>
      <c r="D587" s="2" t="str">
        <f ca="1">IFERROR(__xludf.DUMMYFUNCTION("""COMPUTED_VALUE"""),"Gaming")</f>
        <v>Gaming</v>
      </c>
      <c r="E587" s="2">
        <f ca="1">IFERROR(__xludf.DUMMYFUNCTION("""COMPUTED_VALUE"""),17.3)</f>
        <v>17.3</v>
      </c>
      <c r="F587" s="2" t="str">
        <f ca="1">IFERROR(__xludf.DUMMYFUNCTION("""COMPUTED_VALUE"""),"Full HD 1920x1080")</f>
        <v>Full HD 1920x1080</v>
      </c>
      <c r="G587" s="2" t="str">
        <f ca="1">IFERROR(__xludf.DUMMYFUNCTION("""COMPUTED_VALUE"""),"Intel Core i7 6820HK 2.7GHz")</f>
        <v>Intel Core i7 6820HK 2.7GHz</v>
      </c>
      <c r="H587" s="2" t="str">
        <f ca="1">IFERROR(__xludf.DUMMYFUNCTION("""COMPUTED_VALUE"""),"16GB")</f>
        <v>16GB</v>
      </c>
      <c r="I587" s="2" t="str">
        <f ca="1">IFERROR(__xludf.DUMMYFUNCTION("""COMPUTED_VALUE"""),"128GB SSD +  1TB HDD")</f>
        <v>128GB SSD +  1TB HDD</v>
      </c>
      <c r="J587" s="2" t="str">
        <f ca="1">IFERROR(__xludf.DUMMYFUNCTION("""COMPUTED_VALUE"""),"Nvidia GeForce GTX 980M")</f>
        <v>Nvidia GeForce GTX 980M</v>
      </c>
      <c r="K587" s="2" t="str">
        <f ca="1">IFERROR(__xludf.DUMMYFUNCTION("""COMPUTED_VALUE"""),"Windows 10")</f>
        <v>Windows 10</v>
      </c>
      <c r="L587" s="2" t="str">
        <f ca="1">IFERROR(__xludf.DUMMYFUNCTION("""COMPUTED_VALUE"""),"4.5kg")</f>
        <v>4.5kg</v>
      </c>
      <c r="M587" s="2">
        <f ca="1">IFERROR(__xludf.DUMMYFUNCTION("""COMPUTED_VALUE"""),2349)</f>
        <v>2349</v>
      </c>
    </row>
    <row r="588" spans="1:13">
      <c r="A588" s="2">
        <f ca="1">IFERROR(__xludf.DUMMYFUNCTION("""COMPUTED_VALUE"""),593)</f>
        <v>593</v>
      </c>
      <c r="B588" s="2" t="str">
        <f ca="1">IFERROR(__xludf.DUMMYFUNCTION("""COMPUTED_VALUE"""),"HP")</f>
        <v>HP</v>
      </c>
      <c r="C588" s="2" t="str">
        <f ca="1">IFERROR(__xludf.DUMMYFUNCTION("""COMPUTED_VALUE"""),"Omen 17-AN010nv")</f>
        <v>Omen 17-AN010nv</v>
      </c>
      <c r="D588" s="2" t="str">
        <f ca="1">IFERROR(__xludf.DUMMYFUNCTION("""COMPUTED_VALUE"""),"Gaming")</f>
        <v>Gaming</v>
      </c>
      <c r="E588" s="2">
        <f ca="1">IFERROR(__xludf.DUMMYFUNCTION("""COMPUTED_VALUE"""),17.3)</f>
        <v>17.3</v>
      </c>
      <c r="F588" s="2" t="str">
        <f ca="1">IFERROR(__xludf.DUMMYFUNCTION("""COMPUTED_VALUE"""),"IPS Panel Full HD 1920x1080")</f>
        <v>IPS Panel Full HD 1920x1080</v>
      </c>
      <c r="G588" s="2" t="str">
        <f ca="1">IFERROR(__xludf.DUMMYFUNCTION("""COMPUTED_VALUE"""),"Intel Core i7 7700HQ 2.8GHz")</f>
        <v>Intel Core i7 7700HQ 2.8GHz</v>
      </c>
      <c r="H588" s="2" t="str">
        <f ca="1">IFERROR(__xludf.DUMMYFUNCTION("""COMPUTED_VALUE"""),"16GB")</f>
        <v>16GB</v>
      </c>
      <c r="I588" s="2" t="str">
        <f ca="1">IFERROR(__xludf.DUMMYFUNCTION("""COMPUTED_VALUE"""),"256GB SSD +  1TB HDD")</f>
        <v>256GB SSD +  1TB HDD</v>
      </c>
      <c r="J588" s="2" t="str">
        <f ca="1">IFERROR(__xludf.DUMMYFUNCTION("""COMPUTED_VALUE"""),"Nvidia GeForce GTX 1050")</f>
        <v>Nvidia GeForce GTX 1050</v>
      </c>
      <c r="K588" s="2" t="str">
        <f ca="1">IFERROR(__xludf.DUMMYFUNCTION("""COMPUTED_VALUE"""),"Windows 10")</f>
        <v>Windows 10</v>
      </c>
      <c r="L588" s="2" t="str">
        <f ca="1">IFERROR(__xludf.DUMMYFUNCTION("""COMPUTED_VALUE"""),"3.78kg")</f>
        <v>3.78kg</v>
      </c>
      <c r="M588" s="2">
        <f ca="1">IFERROR(__xludf.DUMMYFUNCTION("""COMPUTED_VALUE"""),1498)</f>
        <v>1498</v>
      </c>
    </row>
    <row r="589" spans="1:13">
      <c r="A589" s="2">
        <f ca="1">IFERROR(__xludf.DUMMYFUNCTION("""COMPUTED_VALUE"""),594)</f>
        <v>594</v>
      </c>
      <c r="B589" s="2" t="str">
        <f ca="1">IFERROR(__xludf.DUMMYFUNCTION("""COMPUTED_VALUE"""),"Lenovo")</f>
        <v>Lenovo</v>
      </c>
      <c r="C589" s="2" t="str">
        <f ca="1">IFERROR(__xludf.DUMMYFUNCTION("""COMPUTED_VALUE"""),"Thinkpad T460s")</f>
        <v>Thinkpad T460s</v>
      </c>
      <c r="D589" s="2" t="str">
        <f ca="1">IFERROR(__xludf.DUMMYFUNCTION("""COMPUTED_VALUE"""),"Ultrabook")</f>
        <v>Ultrabook</v>
      </c>
      <c r="E589" s="2">
        <f ca="1">IFERROR(__xludf.DUMMYFUNCTION("""COMPUTED_VALUE"""),14)</f>
        <v>14</v>
      </c>
      <c r="F589" s="2" t="str">
        <f ca="1">IFERROR(__xludf.DUMMYFUNCTION("""COMPUTED_VALUE"""),"IPS Panel Full HD 1920x1080")</f>
        <v>IPS Panel Full HD 1920x1080</v>
      </c>
      <c r="G589" s="2" t="str">
        <f ca="1">IFERROR(__xludf.DUMMYFUNCTION("""COMPUTED_VALUE"""),"Intel Core i7 6600U 2.6GHz")</f>
        <v>Intel Core i7 6600U 2.6GHz</v>
      </c>
      <c r="H589" s="2" t="str">
        <f ca="1">IFERROR(__xludf.DUMMYFUNCTION("""COMPUTED_VALUE"""),"12GB")</f>
        <v>12GB</v>
      </c>
      <c r="I589" s="2" t="str">
        <f ca="1">IFERROR(__xludf.DUMMYFUNCTION("""COMPUTED_VALUE"""),"256GB SSD")</f>
        <v>256GB SSD</v>
      </c>
      <c r="J589" s="2" t="str">
        <f ca="1">IFERROR(__xludf.DUMMYFUNCTION("""COMPUTED_VALUE"""),"Intel HD Graphics 520")</f>
        <v>Intel HD Graphics 520</v>
      </c>
      <c r="K589" s="2" t="str">
        <f ca="1">IFERROR(__xludf.DUMMYFUNCTION("""COMPUTED_VALUE"""),"Windows 10")</f>
        <v>Windows 10</v>
      </c>
      <c r="L589" s="2" t="str">
        <f ca="1">IFERROR(__xludf.DUMMYFUNCTION("""COMPUTED_VALUE"""),"1.4kg")</f>
        <v>1.4kg</v>
      </c>
      <c r="M589" s="2">
        <f ca="1">IFERROR(__xludf.DUMMYFUNCTION("""COMPUTED_VALUE"""),1673)</f>
        <v>1673</v>
      </c>
    </row>
    <row r="590" spans="1:13">
      <c r="A590" s="2">
        <f ca="1">IFERROR(__xludf.DUMMYFUNCTION("""COMPUTED_VALUE"""),595)</f>
        <v>595</v>
      </c>
      <c r="B590" s="2" t="str">
        <f ca="1">IFERROR(__xludf.DUMMYFUNCTION("""COMPUTED_VALUE"""),"Lenovo")</f>
        <v>Lenovo</v>
      </c>
      <c r="C590" s="2" t="str">
        <f ca="1">IFERROR(__xludf.DUMMYFUNCTION("""COMPUTED_VALUE"""),"Ideapad 320-15IKBR")</f>
        <v>Ideapad 320-15IKBR</v>
      </c>
      <c r="D590" s="2" t="str">
        <f ca="1">IFERROR(__xludf.DUMMYFUNCTION("""COMPUTED_VALUE"""),"Notebook")</f>
        <v>Notebook</v>
      </c>
      <c r="E590" s="2">
        <f ca="1">IFERROR(__xludf.DUMMYFUNCTION("""COMPUTED_VALUE"""),15.6)</f>
        <v>15.6</v>
      </c>
      <c r="F590" s="2" t="str">
        <f ca="1">IFERROR(__xludf.DUMMYFUNCTION("""COMPUTED_VALUE"""),"Touchscreen 1366x768")</f>
        <v>Touchscreen 1366x768</v>
      </c>
      <c r="G590" s="2" t="str">
        <f ca="1">IFERROR(__xludf.DUMMYFUNCTION("""COMPUTED_VALUE"""),"Intel Core i7 8550U 1.8GHz")</f>
        <v>Intel Core i7 8550U 1.8GHz</v>
      </c>
      <c r="H590" s="2" t="str">
        <f ca="1">IFERROR(__xludf.DUMMYFUNCTION("""COMPUTED_VALUE"""),"12GB")</f>
        <v>12GB</v>
      </c>
      <c r="I590" s="2" t="str">
        <f ca="1">IFERROR(__xludf.DUMMYFUNCTION("""COMPUTED_VALUE"""),"1TB HDD")</f>
        <v>1TB HDD</v>
      </c>
      <c r="J590" s="2" t="str">
        <f ca="1">IFERROR(__xludf.DUMMYFUNCTION("""COMPUTED_VALUE"""),"Intel HD Graphics 620")</f>
        <v>Intel HD Graphics 620</v>
      </c>
      <c r="K590" s="2" t="str">
        <f ca="1">IFERROR(__xludf.DUMMYFUNCTION("""COMPUTED_VALUE"""),"Windows 10")</f>
        <v>Windows 10</v>
      </c>
      <c r="L590" s="2" t="str">
        <f ca="1">IFERROR(__xludf.DUMMYFUNCTION("""COMPUTED_VALUE"""),"2.2kg")</f>
        <v>2.2kg</v>
      </c>
      <c r="M590" s="2">
        <f ca="1">IFERROR(__xludf.DUMMYFUNCTION("""COMPUTED_VALUE"""),609)</f>
        <v>609</v>
      </c>
    </row>
    <row r="591" spans="1:13">
      <c r="A591" s="2">
        <f ca="1">IFERROR(__xludf.DUMMYFUNCTION("""COMPUTED_VALUE"""),596)</f>
        <v>596</v>
      </c>
      <c r="B591" s="2" t="str">
        <f ca="1">IFERROR(__xludf.DUMMYFUNCTION("""COMPUTED_VALUE"""),"Asus")</f>
        <v>Asus</v>
      </c>
      <c r="C591" s="2" t="str">
        <f ca="1">IFERROR(__xludf.DUMMYFUNCTION("""COMPUTED_VALUE"""),"ROG Strix")</f>
        <v>ROG Strix</v>
      </c>
      <c r="D591" s="2" t="str">
        <f ca="1">IFERROR(__xludf.DUMMYFUNCTION("""COMPUTED_VALUE"""),"Gaming")</f>
        <v>Gaming</v>
      </c>
      <c r="E591" s="2">
        <f ca="1">IFERROR(__xludf.DUMMYFUNCTION("""COMPUTED_VALUE"""),17.3)</f>
        <v>17.3</v>
      </c>
      <c r="F591" s="2" t="str">
        <f ca="1">IFERROR(__xludf.DUMMYFUNCTION("""COMPUTED_VALUE"""),"IPS Panel Full HD 1920x1080")</f>
        <v>IPS Panel Full HD 1920x1080</v>
      </c>
      <c r="G591" s="2" t="str">
        <f ca="1">IFERROR(__xludf.DUMMYFUNCTION("""COMPUTED_VALUE"""),"Intel Core i5 7300HQ 2.5GHz")</f>
        <v>Intel Core i5 7300HQ 2.5GHz</v>
      </c>
      <c r="H591" s="2" t="str">
        <f ca="1">IFERROR(__xludf.DUMMYFUNCTION("""COMPUTED_VALUE"""),"8GB")</f>
        <v>8GB</v>
      </c>
      <c r="I591" s="2" t="str">
        <f ca="1">IFERROR(__xludf.DUMMYFUNCTION("""COMPUTED_VALUE"""),"128GB SSD +  1TB HDD")</f>
        <v>128GB SSD +  1TB HDD</v>
      </c>
      <c r="J591" s="2" t="str">
        <f ca="1">IFERROR(__xludf.DUMMYFUNCTION("""COMPUTED_VALUE"""),"Nvidia GeForce GTX 1060")</f>
        <v>Nvidia GeForce GTX 1060</v>
      </c>
      <c r="K591" s="2" t="str">
        <f ca="1">IFERROR(__xludf.DUMMYFUNCTION("""COMPUTED_VALUE"""),"Windows 10")</f>
        <v>Windows 10</v>
      </c>
      <c r="L591" s="2" t="str">
        <f ca="1">IFERROR(__xludf.DUMMYFUNCTION("""COMPUTED_VALUE"""),"2.73kg")</f>
        <v>2.73kg</v>
      </c>
      <c r="M591" s="2">
        <f ca="1">IFERROR(__xludf.DUMMYFUNCTION("""COMPUTED_VALUE"""),1770)</f>
        <v>1770</v>
      </c>
    </row>
    <row r="592" spans="1:13">
      <c r="A592" s="2">
        <f ca="1">IFERROR(__xludf.DUMMYFUNCTION("""COMPUTED_VALUE"""),597)</f>
        <v>597</v>
      </c>
      <c r="B592" s="2" t="str">
        <f ca="1">IFERROR(__xludf.DUMMYFUNCTION("""COMPUTED_VALUE"""),"Asus")</f>
        <v>Asus</v>
      </c>
      <c r="C592" s="2" t="str">
        <f ca="1">IFERROR(__xludf.DUMMYFUNCTION("""COMPUTED_VALUE"""),"TP501UA-CJ131T (i5-7200U/8GB/1TB/W10)")</f>
        <v>TP501UA-CJ131T (i5-7200U/8GB/1TB/W10)</v>
      </c>
      <c r="D592" s="2" t="str">
        <f ca="1">IFERROR(__xludf.DUMMYFUNCTION("""COMPUTED_VALUE"""),"2 in 1 Convertible")</f>
        <v>2 in 1 Convertible</v>
      </c>
      <c r="E592" s="2">
        <f ca="1">IFERROR(__xludf.DUMMYFUNCTION("""COMPUTED_VALUE"""),15.6)</f>
        <v>15.6</v>
      </c>
      <c r="F592" s="2" t="str">
        <f ca="1">IFERROR(__xludf.DUMMYFUNCTION("""COMPUTED_VALUE"""),"Touchscreen 1366x768")</f>
        <v>Touchscreen 1366x768</v>
      </c>
      <c r="G592" s="2" t="str">
        <f ca="1">IFERROR(__xludf.DUMMYFUNCTION("""COMPUTED_VALUE"""),"Intel Core i5 7200U 2.5GHz")</f>
        <v>Intel Core i5 7200U 2.5GHz</v>
      </c>
      <c r="H592" s="2" t="str">
        <f ca="1">IFERROR(__xludf.DUMMYFUNCTION("""COMPUTED_VALUE"""),"8GB")</f>
        <v>8GB</v>
      </c>
      <c r="I592" s="2" t="str">
        <f ca="1">IFERROR(__xludf.DUMMYFUNCTION("""COMPUTED_VALUE"""),"1TB HDD")</f>
        <v>1TB HDD</v>
      </c>
      <c r="J592" s="2" t="str">
        <f ca="1">IFERROR(__xludf.DUMMYFUNCTION("""COMPUTED_VALUE"""),"Intel HD Graphics 520")</f>
        <v>Intel HD Graphics 520</v>
      </c>
      <c r="K592" s="2" t="str">
        <f ca="1">IFERROR(__xludf.DUMMYFUNCTION("""COMPUTED_VALUE"""),"Windows 10")</f>
        <v>Windows 10</v>
      </c>
      <c r="L592" s="2" t="str">
        <f ca="1">IFERROR(__xludf.DUMMYFUNCTION("""COMPUTED_VALUE"""),"2.2kg")</f>
        <v>2.2kg</v>
      </c>
      <c r="M592" s="2">
        <f ca="1">IFERROR(__xludf.DUMMYFUNCTION("""COMPUTED_VALUE"""),739)</f>
        <v>739</v>
      </c>
    </row>
    <row r="593" spans="1:13">
      <c r="A593" s="2">
        <f ca="1">IFERROR(__xludf.DUMMYFUNCTION("""COMPUTED_VALUE"""),598)</f>
        <v>598</v>
      </c>
      <c r="B593" s="2" t="str">
        <f ca="1">IFERROR(__xludf.DUMMYFUNCTION("""COMPUTED_VALUE"""),"Lenovo")</f>
        <v>Lenovo</v>
      </c>
      <c r="C593" s="2" t="str">
        <f ca="1">IFERROR(__xludf.DUMMYFUNCTION("""COMPUTED_VALUE"""),"IdeaPad 320-15ABR")</f>
        <v>IdeaPad 320-15ABR</v>
      </c>
      <c r="D593" s="2" t="str">
        <f ca="1">IFERROR(__xludf.DUMMYFUNCTION("""COMPUTED_VALUE"""),"Notebook")</f>
        <v>Notebook</v>
      </c>
      <c r="E593" s="2">
        <f ca="1">IFERROR(__xludf.DUMMYFUNCTION("""COMPUTED_VALUE"""),15.6)</f>
        <v>15.6</v>
      </c>
      <c r="F593" s="2" t="str">
        <f ca="1">IFERROR(__xludf.DUMMYFUNCTION("""COMPUTED_VALUE"""),"Full HD 1920x1080")</f>
        <v>Full HD 1920x1080</v>
      </c>
      <c r="G593" s="2" t="str">
        <f ca="1">IFERROR(__xludf.DUMMYFUNCTION("""COMPUTED_VALUE"""),"AMD A12-Series 9720P 3.6GHz")</f>
        <v>AMD A12-Series 9720P 3.6GHz</v>
      </c>
      <c r="H593" s="2" t="str">
        <f ca="1">IFERROR(__xludf.DUMMYFUNCTION("""COMPUTED_VALUE"""),"12GB")</f>
        <v>12GB</v>
      </c>
      <c r="I593" s="2" t="str">
        <f ca="1">IFERROR(__xludf.DUMMYFUNCTION("""COMPUTED_VALUE"""),"512GB SSD")</f>
        <v>512GB SSD</v>
      </c>
      <c r="J593" s="2" t="str">
        <f ca="1">IFERROR(__xludf.DUMMYFUNCTION("""COMPUTED_VALUE"""),"AMD Radeon 530")</f>
        <v>AMD Radeon 530</v>
      </c>
      <c r="K593" s="2" t="str">
        <f ca="1">IFERROR(__xludf.DUMMYFUNCTION("""COMPUTED_VALUE"""),"Windows 10")</f>
        <v>Windows 10</v>
      </c>
      <c r="L593" s="2" t="str">
        <f ca="1">IFERROR(__xludf.DUMMYFUNCTION("""COMPUTED_VALUE"""),"2.2kg")</f>
        <v>2.2kg</v>
      </c>
      <c r="M593" s="2">
        <f ca="1">IFERROR(__xludf.DUMMYFUNCTION("""COMPUTED_VALUE"""),949)</f>
        <v>949</v>
      </c>
    </row>
    <row r="594" spans="1:13">
      <c r="A594" s="2">
        <f ca="1">IFERROR(__xludf.DUMMYFUNCTION("""COMPUTED_VALUE"""),599)</f>
        <v>599</v>
      </c>
      <c r="B594" s="2" t="str">
        <f ca="1">IFERROR(__xludf.DUMMYFUNCTION("""COMPUTED_VALUE"""),"Dell")</f>
        <v>Dell</v>
      </c>
      <c r="C594" s="2" t="str">
        <f ca="1">IFERROR(__xludf.DUMMYFUNCTION("""COMPUTED_VALUE"""),"Inspiron 3179")</f>
        <v>Inspiron 3179</v>
      </c>
      <c r="D594" s="2" t="str">
        <f ca="1">IFERROR(__xludf.DUMMYFUNCTION("""COMPUTED_VALUE"""),"2 in 1 Convertible")</f>
        <v>2 in 1 Convertible</v>
      </c>
      <c r="E594" s="2">
        <f ca="1">IFERROR(__xludf.DUMMYFUNCTION("""COMPUTED_VALUE"""),11.6)</f>
        <v>11.6</v>
      </c>
      <c r="F594" s="2" t="str">
        <f ca="1">IFERROR(__xludf.DUMMYFUNCTION("""COMPUTED_VALUE"""),"Touchscreen 1366x768")</f>
        <v>Touchscreen 1366x768</v>
      </c>
      <c r="G594" s="2" t="str">
        <f ca="1">IFERROR(__xludf.DUMMYFUNCTION("""COMPUTED_VALUE"""),"Intel Core M 7Y30 1.0GHz")</f>
        <v>Intel Core M 7Y30 1.0GHz</v>
      </c>
      <c r="H594" s="2" t="str">
        <f ca="1">IFERROR(__xludf.DUMMYFUNCTION("""COMPUTED_VALUE"""),"4GB")</f>
        <v>4GB</v>
      </c>
      <c r="I594" s="2" t="str">
        <f ca="1">IFERROR(__xludf.DUMMYFUNCTION("""COMPUTED_VALUE"""),"128GB SSD")</f>
        <v>128GB SSD</v>
      </c>
      <c r="J594" s="2" t="str">
        <f ca="1">IFERROR(__xludf.DUMMYFUNCTION("""COMPUTED_VALUE"""),"Intel HD Graphics 615")</f>
        <v>Intel HD Graphics 615</v>
      </c>
      <c r="K594" s="2" t="str">
        <f ca="1">IFERROR(__xludf.DUMMYFUNCTION("""COMPUTED_VALUE"""),"Windows 10")</f>
        <v>Windows 10</v>
      </c>
      <c r="L594" s="2" t="str">
        <f ca="1">IFERROR(__xludf.DUMMYFUNCTION("""COMPUTED_VALUE"""),"1.39kg")</f>
        <v>1.39kg</v>
      </c>
      <c r="M594" s="2">
        <f ca="1">IFERROR(__xludf.DUMMYFUNCTION("""COMPUTED_VALUE"""),603)</f>
        <v>603</v>
      </c>
    </row>
    <row r="595" spans="1:13">
      <c r="A595" s="2">
        <f ca="1">IFERROR(__xludf.DUMMYFUNCTION("""COMPUTED_VALUE"""),600)</f>
        <v>600</v>
      </c>
      <c r="B595" s="2" t="str">
        <f ca="1">IFERROR(__xludf.DUMMYFUNCTION("""COMPUTED_VALUE"""),"Samsung")</f>
        <v>Samsung</v>
      </c>
      <c r="C595" s="2" t="str">
        <f ca="1">IFERROR(__xludf.DUMMYFUNCTION("""COMPUTED_VALUE"""),"Notebook Odyssey")</f>
        <v>Notebook Odyssey</v>
      </c>
      <c r="D595" s="2" t="str">
        <f ca="1">IFERROR(__xludf.DUMMYFUNCTION("""COMPUTED_VALUE"""),"Notebook")</f>
        <v>Notebook</v>
      </c>
      <c r="E595" s="2">
        <f ca="1">IFERROR(__xludf.DUMMYFUNCTION("""COMPUTED_VALUE"""),15.6)</f>
        <v>15.6</v>
      </c>
      <c r="F595" s="2" t="str">
        <f ca="1">IFERROR(__xludf.DUMMYFUNCTION("""COMPUTED_VALUE"""),"Full HD 1920x1080")</f>
        <v>Full HD 1920x1080</v>
      </c>
      <c r="G595" s="2" t="str">
        <f ca="1">IFERROR(__xludf.DUMMYFUNCTION("""COMPUTED_VALUE"""),"Intel Core i7 7700HQ 2.8GHz")</f>
        <v>Intel Core i7 7700HQ 2.8GHz</v>
      </c>
      <c r="H595" s="2" t="str">
        <f ca="1">IFERROR(__xludf.DUMMYFUNCTION("""COMPUTED_VALUE"""),"16GB")</f>
        <v>16GB</v>
      </c>
      <c r="I595" s="2" t="str">
        <f ca="1">IFERROR(__xludf.DUMMYFUNCTION("""COMPUTED_VALUE"""),"128GB SSD +  1TB HDD")</f>
        <v>128GB SSD +  1TB HDD</v>
      </c>
      <c r="J595" s="2" t="str">
        <f ca="1">IFERROR(__xludf.DUMMYFUNCTION("""COMPUTED_VALUE"""),"Nvidia GeForce GTX 1050")</f>
        <v>Nvidia GeForce GTX 1050</v>
      </c>
      <c r="K595" s="2" t="str">
        <f ca="1">IFERROR(__xludf.DUMMYFUNCTION("""COMPUTED_VALUE"""),"Windows 10")</f>
        <v>Windows 10</v>
      </c>
      <c r="L595" s="2" t="str">
        <f ca="1">IFERROR(__xludf.DUMMYFUNCTION("""COMPUTED_VALUE"""),"2.5kg")</f>
        <v>2.5kg</v>
      </c>
      <c r="M595" s="2">
        <f ca="1">IFERROR(__xludf.DUMMYFUNCTION("""COMPUTED_VALUE"""),1699)</f>
        <v>1699</v>
      </c>
    </row>
    <row r="596" spans="1:13">
      <c r="A596" s="2">
        <f ca="1">IFERROR(__xludf.DUMMYFUNCTION("""COMPUTED_VALUE"""),601)</f>
        <v>601</v>
      </c>
      <c r="B596" s="2" t="str">
        <f ca="1">IFERROR(__xludf.DUMMYFUNCTION("""COMPUTED_VALUE"""),"Lenovo")</f>
        <v>Lenovo</v>
      </c>
      <c r="C596" s="2" t="str">
        <f ca="1">IFERROR(__xludf.DUMMYFUNCTION("""COMPUTED_VALUE"""),"V320-17ISK (i3-6006U/4GB/500GB/FHD/No")</f>
        <v>V320-17ISK (i3-6006U/4GB/500GB/FHD/No</v>
      </c>
      <c r="D596" s="2" t="str">
        <f ca="1">IFERROR(__xludf.DUMMYFUNCTION("""COMPUTED_VALUE"""),"Notebook")</f>
        <v>Notebook</v>
      </c>
      <c r="E596" s="2">
        <f ca="1">IFERROR(__xludf.DUMMYFUNCTION("""COMPUTED_VALUE"""),17.3)</f>
        <v>17.3</v>
      </c>
      <c r="F596" s="2" t="str">
        <f ca="1">IFERROR(__xludf.DUMMYFUNCTION("""COMPUTED_VALUE"""),"Full HD 1920x1080")</f>
        <v>Full HD 1920x1080</v>
      </c>
      <c r="G596" s="2" t="str">
        <f ca="1">IFERROR(__xludf.DUMMYFUNCTION("""COMPUTED_VALUE"""),"Intel Core i3 6006U 2GHz")</f>
        <v>Intel Core i3 6006U 2GHz</v>
      </c>
      <c r="H596" s="2" t="str">
        <f ca="1">IFERROR(__xludf.DUMMYFUNCTION("""COMPUTED_VALUE"""),"4GB")</f>
        <v>4GB</v>
      </c>
      <c r="I596" s="2" t="str">
        <f ca="1">IFERROR(__xludf.DUMMYFUNCTION("""COMPUTED_VALUE"""),"500GB HDD")</f>
        <v>500GB HDD</v>
      </c>
      <c r="J596" s="2" t="str">
        <f ca="1">IFERROR(__xludf.DUMMYFUNCTION("""COMPUTED_VALUE"""),"Intel HD Graphics 520")</f>
        <v>Intel HD Graphics 520</v>
      </c>
      <c r="K596" s="2" t="str">
        <f ca="1">IFERROR(__xludf.DUMMYFUNCTION("""COMPUTED_VALUE"""),"No OS")</f>
        <v>No OS</v>
      </c>
      <c r="L596" s="2" t="str">
        <f ca="1">IFERROR(__xludf.DUMMYFUNCTION("""COMPUTED_VALUE"""),"2.8kg")</f>
        <v>2.8kg</v>
      </c>
      <c r="M596" s="2">
        <f ca="1">IFERROR(__xludf.DUMMYFUNCTION("""COMPUTED_VALUE"""),529)</f>
        <v>529</v>
      </c>
    </row>
    <row r="597" spans="1:13">
      <c r="A597" s="2">
        <f ca="1">IFERROR(__xludf.DUMMYFUNCTION("""COMPUTED_VALUE"""),602)</f>
        <v>602</v>
      </c>
      <c r="B597" s="2" t="str">
        <f ca="1">IFERROR(__xludf.DUMMYFUNCTION("""COMPUTED_VALUE"""),"Lenovo")</f>
        <v>Lenovo</v>
      </c>
      <c r="C597" s="2" t="str">
        <f ca="1">IFERROR(__xludf.DUMMYFUNCTION("""COMPUTED_VALUE"""),"IdeaPad 110-15ISK")</f>
        <v>IdeaPad 110-15ISK</v>
      </c>
      <c r="D597" s="2" t="str">
        <f ca="1">IFERROR(__xludf.DUMMYFUNCTION("""COMPUTED_VALUE"""),"Notebook")</f>
        <v>Notebook</v>
      </c>
      <c r="E597" s="2">
        <f ca="1">IFERROR(__xludf.DUMMYFUNCTION("""COMPUTED_VALUE"""),15.6)</f>
        <v>15.6</v>
      </c>
      <c r="F597" s="2" t="str">
        <f ca="1">IFERROR(__xludf.DUMMYFUNCTION("""COMPUTED_VALUE"""),"1366x768")</f>
        <v>1366x768</v>
      </c>
      <c r="G597" s="2" t="str">
        <f ca="1">IFERROR(__xludf.DUMMYFUNCTION("""COMPUTED_VALUE"""),"Intel Core i3 6100U 2.3GHz")</f>
        <v>Intel Core i3 6100U 2.3GHz</v>
      </c>
      <c r="H597" s="2" t="str">
        <f ca="1">IFERROR(__xludf.DUMMYFUNCTION("""COMPUTED_VALUE"""),"8GB")</f>
        <v>8GB</v>
      </c>
      <c r="I597" s="2" t="str">
        <f ca="1">IFERROR(__xludf.DUMMYFUNCTION("""COMPUTED_VALUE"""),"1TB HDD")</f>
        <v>1TB HDD</v>
      </c>
      <c r="J597" s="2" t="str">
        <f ca="1">IFERROR(__xludf.DUMMYFUNCTION("""COMPUTED_VALUE"""),"Intel HD Graphics 520")</f>
        <v>Intel HD Graphics 520</v>
      </c>
      <c r="K597" s="2" t="str">
        <f ca="1">IFERROR(__xludf.DUMMYFUNCTION("""COMPUTED_VALUE"""),"Windows 10")</f>
        <v>Windows 10</v>
      </c>
      <c r="L597" s="2" t="str">
        <f ca="1">IFERROR(__xludf.DUMMYFUNCTION("""COMPUTED_VALUE"""),"2.29kg")</f>
        <v>2.29kg</v>
      </c>
      <c r="M597" s="2">
        <f ca="1">IFERROR(__xludf.DUMMYFUNCTION("""COMPUTED_VALUE"""),459)</f>
        <v>459</v>
      </c>
    </row>
    <row r="598" spans="1:13">
      <c r="A598" s="2">
        <f ca="1">IFERROR(__xludf.DUMMYFUNCTION("""COMPUTED_VALUE"""),603)</f>
        <v>603</v>
      </c>
      <c r="B598" s="2" t="str">
        <f ca="1">IFERROR(__xludf.DUMMYFUNCTION("""COMPUTED_VALUE"""),"Lenovo")</f>
        <v>Lenovo</v>
      </c>
      <c r="C598" s="2" t="str">
        <f ca="1">IFERROR(__xludf.DUMMYFUNCTION("""COMPUTED_VALUE"""),"ThinkPad Yoga")</f>
        <v>ThinkPad Yoga</v>
      </c>
      <c r="D598" s="2" t="str">
        <f ca="1">IFERROR(__xludf.DUMMYFUNCTION("""COMPUTED_VALUE"""),"2 in 1 Convertible")</f>
        <v>2 in 1 Convertible</v>
      </c>
      <c r="E598" s="2">
        <f ca="1">IFERROR(__xludf.DUMMYFUNCTION("""COMPUTED_VALUE"""),13.3)</f>
        <v>13.3</v>
      </c>
      <c r="F598" s="2" t="str">
        <f ca="1">IFERROR(__xludf.DUMMYFUNCTION("""COMPUTED_VALUE"""),"IPS Panel Full HD / Touchscreen 1920x1080")</f>
        <v>IPS Panel Full HD / Touchscreen 1920x1080</v>
      </c>
      <c r="G598" s="2" t="str">
        <f ca="1">IFERROR(__xludf.DUMMYFUNCTION("""COMPUTED_VALUE"""),"Intel Core i7 7500U 2.7GHz")</f>
        <v>Intel Core i7 7500U 2.7GHz</v>
      </c>
      <c r="H598" s="2" t="str">
        <f ca="1">IFERROR(__xludf.DUMMYFUNCTION("""COMPUTED_VALUE"""),"8GB")</f>
        <v>8GB</v>
      </c>
      <c r="I598" s="2" t="str">
        <f ca="1">IFERROR(__xludf.DUMMYFUNCTION("""COMPUTED_VALUE"""),"512GB SSD")</f>
        <v>512GB SSD</v>
      </c>
      <c r="J598" s="2" t="str">
        <f ca="1">IFERROR(__xludf.DUMMYFUNCTION("""COMPUTED_VALUE"""),"Intel HD Graphics 620")</f>
        <v>Intel HD Graphics 620</v>
      </c>
      <c r="K598" s="2" t="str">
        <f ca="1">IFERROR(__xludf.DUMMYFUNCTION("""COMPUTED_VALUE"""),"Windows 10")</f>
        <v>Windows 10</v>
      </c>
      <c r="L598" s="2" t="str">
        <f ca="1">IFERROR(__xludf.DUMMYFUNCTION("""COMPUTED_VALUE"""),"1.37kg")</f>
        <v>1.37kg</v>
      </c>
      <c r="M598" s="2">
        <f ca="1">IFERROR(__xludf.DUMMYFUNCTION("""COMPUTED_VALUE"""),2025)</f>
        <v>2025</v>
      </c>
    </row>
    <row r="599" spans="1:13">
      <c r="A599" s="2">
        <f ca="1">IFERROR(__xludf.DUMMYFUNCTION("""COMPUTED_VALUE"""),604)</f>
        <v>604</v>
      </c>
      <c r="B599" s="2" t="str">
        <f ca="1">IFERROR(__xludf.DUMMYFUNCTION("""COMPUTED_VALUE"""),"Lenovo")</f>
        <v>Lenovo</v>
      </c>
      <c r="C599" s="2" t="str">
        <f ca="1">IFERROR(__xludf.DUMMYFUNCTION("""COMPUTED_VALUE"""),"Thinkpad T470p")</f>
        <v>Thinkpad T470p</v>
      </c>
      <c r="D599" s="2" t="str">
        <f ca="1">IFERROR(__xludf.DUMMYFUNCTION("""COMPUTED_VALUE"""),"Notebook")</f>
        <v>Notebook</v>
      </c>
      <c r="E599" s="2">
        <f ca="1">IFERROR(__xludf.DUMMYFUNCTION("""COMPUTED_VALUE"""),14)</f>
        <v>14</v>
      </c>
      <c r="F599" s="2" t="str">
        <f ca="1">IFERROR(__xludf.DUMMYFUNCTION("""COMPUTED_VALUE"""),"IPS Panel Full HD 1920x1080")</f>
        <v>IPS Panel Full HD 1920x1080</v>
      </c>
      <c r="G599" s="2" t="str">
        <f ca="1">IFERROR(__xludf.DUMMYFUNCTION("""COMPUTED_VALUE"""),"Intel Core i5 7300HQ 2.5GHz")</f>
        <v>Intel Core i5 7300HQ 2.5GHz</v>
      </c>
      <c r="H599" s="2" t="str">
        <f ca="1">IFERROR(__xludf.DUMMYFUNCTION("""COMPUTED_VALUE"""),"8GB")</f>
        <v>8GB</v>
      </c>
      <c r="I599" s="2" t="str">
        <f ca="1">IFERROR(__xludf.DUMMYFUNCTION("""COMPUTED_VALUE"""),"256GB SSD")</f>
        <v>256GB SSD</v>
      </c>
      <c r="J599" s="2" t="str">
        <f ca="1">IFERROR(__xludf.DUMMYFUNCTION("""COMPUTED_VALUE"""),"Intel HD Graphics 630")</f>
        <v>Intel HD Graphics 630</v>
      </c>
      <c r="K599" s="2" t="str">
        <f ca="1">IFERROR(__xludf.DUMMYFUNCTION("""COMPUTED_VALUE"""),"Windows 10")</f>
        <v>Windows 10</v>
      </c>
      <c r="L599" s="2" t="str">
        <f ca="1">IFERROR(__xludf.DUMMYFUNCTION("""COMPUTED_VALUE"""),"1.7kg")</f>
        <v>1.7kg</v>
      </c>
      <c r="M599" s="2">
        <f ca="1">IFERROR(__xludf.DUMMYFUNCTION("""COMPUTED_VALUE"""),1474)</f>
        <v>1474</v>
      </c>
    </row>
    <row r="600" spans="1:13">
      <c r="A600" s="2">
        <f ca="1">IFERROR(__xludf.DUMMYFUNCTION("""COMPUTED_VALUE"""),605)</f>
        <v>605</v>
      </c>
      <c r="B600" s="2" t="str">
        <f ca="1">IFERROR(__xludf.DUMMYFUNCTION("""COMPUTED_VALUE"""),"Dell")</f>
        <v>Dell</v>
      </c>
      <c r="C600" s="2" t="str">
        <f ca="1">IFERROR(__xludf.DUMMYFUNCTION("""COMPUTED_VALUE"""),"Latitude 5289")</f>
        <v>Latitude 5289</v>
      </c>
      <c r="D600" s="2" t="str">
        <f ca="1">IFERROR(__xludf.DUMMYFUNCTION("""COMPUTED_VALUE"""),"2 in 1 Convertible")</f>
        <v>2 in 1 Convertible</v>
      </c>
      <c r="E600" s="2">
        <f ca="1">IFERROR(__xludf.DUMMYFUNCTION("""COMPUTED_VALUE"""),12.5)</f>
        <v>12.5</v>
      </c>
      <c r="F600" s="2" t="str">
        <f ca="1">IFERROR(__xludf.DUMMYFUNCTION("""COMPUTED_VALUE"""),"Full HD / Touchscreen 1920x1080")</f>
        <v>Full HD / Touchscreen 1920x1080</v>
      </c>
      <c r="G600" s="2" t="str">
        <f ca="1">IFERROR(__xludf.DUMMYFUNCTION("""COMPUTED_VALUE"""),"Intel Core i5 7200U 2.5GHz")</f>
        <v>Intel Core i5 7200U 2.5GHz</v>
      </c>
      <c r="H600" s="2" t="str">
        <f ca="1">IFERROR(__xludf.DUMMYFUNCTION("""COMPUTED_VALUE"""),"8GB")</f>
        <v>8GB</v>
      </c>
      <c r="I600" s="2" t="str">
        <f ca="1">IFERROR(__xludf.DUMMYFUNCTION("""COMPUTED_VALUE"""),"256GB SSD")</f>
        <v>256GB SSD</v>
      </c>
      <c r="J600" s="2" t="str">
        <f ca="1">IFERROR(__xludf.DUMMYFUNCTION("""COMPUTED_VALUE"""),"Intel HD Graphics 620")</f>
        <v>Intel HD Graphics 620</v>
      </c>
      <c r="K600" s="2" t="str">
        <f ca="1">IFERROR(__xludf.DUMMYFUNCTION("""COMPUTED_VALUE"""),"Windows 10")</f>
        <v>Windows 10</v>
      </c>
      <c r="L600" s="2" t="str">
        <f ca="1">IFERROR(__xludf.DUMMYFUNCTION("""COMPUTED_VALUE"""),"1.34kg")</f>
        <v>1.34kg</v>
      </c>
      <c r="M600" s="2">
        <f ca="1">IFERROR(__xludf.DUMMYFUNCTION("""COMPUTED_VALUE"""),1670)</f>
        <v>1670</v>
      </c>
    </row>
    <row r="601" spans="1:13">
      <c r="A601" s="2">
        <f ca="1">IFERROR(__xludf.DUMMYFUNCTION("""COMPUTED_VALUE"""),606)</f>
        <v>606</v>
      </c>
      <c r="B601" s="2" t="str">
        <f ca="1">IFERROR(__xludf.DUMMYFUNCTION("""COMPUTED_VALUE"""),"Dell")</f>
        <v>Dell</v>
      </c>
      <c r="C601" s="2" t="str">
        <f ca="1">IFERROR(__xludf.DUMMYFUNCTION("""COMPUTED_VALUE"""),"Precision 3520")</f>
        <v>Precision 3520</v>
      </c>
      <c r="D601" s="2" t="str">
        <f ca="1">IFERROR(__xludf.DUMMYFUNCTION("""COMPUTED_VALUE"""),"Workstation")</f>
        <v>Workstation</v>
      </c>
      <c r="E601" s="2">
        <f ca="1">IFERROR(__xludf.DUMMYFUNCTION("""COMPUTED_VALUE"""),15.6)</f>
        <v>15.6</v>
      </c>
      <c r="F601" s="2" t="str">
        <f ca="1">IFERROR(__xludf.DUMMYFUNCTION("""COMPUTED_VALUE"""),"Full HD / Touchscreen 1920x1080")</f>
        <v>Full HD / Touchscreen 1920x1080</v>
      </c>
      <c r="G601" s="2" t="str">
        <f ca="1">IFERROR(__xludf.DUMMYFUNCTION("""COMPUTED_VALUE"""),"Intel Core i7 7700HQ 2.8GHz")</f>
        <v>Intel Core i7 7700HQ 2.8GHz</v>
      </c>
      <c r="H601" s="2" t="str">
        <f ca="1">IFERROR(__xludf.DUMMYFUNCTION("""COMPUTED_VALUE"""),"8GB")</f>
        <v>8GB</v>
      </c>
      <c r="I601" s="2" t="str">
        <f ca="1">IFERROR(__xludf.DUMMYFUNCTION("""COMPUTED_VALUE"""),"256GB SSD")</f>
        <v>256GB SSD</v>
      </c>
      <c r="J601" s="2" t="str">
        <f ca="1">IFERROR(__xludf.DUMMYFUNCTION("""COMPUTED_VALUE"""),"Nvidia Quadro M620")</f>
        <v>Nvidia Quadro M620</v>
      </c>
      <c r="K601" s="2" t="str">
        <f ca="1">IFERROR(__xludf.DUMMYFUNCTION("""COMPUTED_VALUE"""),"Windows 10")</f>
        <v>Windows 10</v>
      </c>
      <c r="L601" s="2" t="str">
        <f ca="1">IFERROR(__xludf.DUMMYFUNCTION("""COMPUTED_VALUE"""),"2.06kg")</f>
        <v>2.06kg</v>
      </c>
      <c r="M601" s="2">
        <f ca="1">IFERROR(__xludf.DUMMYFUNCTION("""COMPUTED_VALUE"""),1763)</f>
        <v>1763</v>
      </c>
    </row>
    <row r="602" spans="1:13">
      <c r="A602" s="2">
        <f ca="1">IFERROR(__xludf.DUMMYFUNCTION("""COMPUTED_VALUE"""),607)</f>
        <v>607</v>
      </c>
      <c r="B602" s="2" t="str">
        <f ca="1">IFERROR(__xludf.DUMMYFUNCTION("""COMPUTED_VALUE"""),"HP")</f>
        <v>HP</v>
      </c>
      <c r="C602" s="2" t="str">
        <f ca="1">IFERROR(__xludf.DUMMYFUNCTION("""COMPUTED_VALUE"""),"EliteBook 850")</f>
        <v>EliteBook 850</v>
      </c>
      <c r="D602" s="2" t="str">
        <f ca="1">IFERROR(__xludf.DUMMYFUNCTION("""COMPUTED_VALUE"""),"Notebook")</f>
        <v>Notebook</v>
      </c>
      <c r="E602" s="2">
        <f ca="1">IFERROR(__xludf.DUMMYFUNCTION("""COMPUTED_VALUE"""),15.6)</f>
        <v>15.6</v>
      </c>
      <c r="F602" s="2" t="str">
        <f ca="1">IFERROR(__xludf.DUMMYFUNCTION("""COMPUTED_VALUE"""),"Full HD 1920x1080")</f>
        <v>Full HD 1920x1080</v>
      </c>
      <c r="G602" s="2" t="str">
        <f ca="1">IFERROR(__xludf.DUMMYFUNCTION("""COMPUTED_VALUE"""),"Intel Core i7 7500U 2.7GHz")</f>
        <v>Intel Core i7 7500U 2.7GHz</v>
      </c>
      <c r="H602" s="2" t="str">
        <f ca="1">IFERROR(__xludf.DUMMYFUNCTION("""COMPUTED_VALUE"""),"8GB")</f>
        <v>8GB</v>
      </c>
      <c r="I602" s="2" t="str">
        <f ca="1">IFERROR(__xludf.DUMMYFUNCTION("""COMPUTED_VALUE"""),"256GB SSD")</f>
        <v>256GB SSD</v>
      </c>
      <c r="J602" s="2" t="str">
        <f ca="1">IFERROR(__xludf.DUMMYFUNCTION("""COMPUTED_VALUE"""),"Intel HD Graphics 620")</f>
        <v>Intel HD Graphics 620</v>
      </c>
      <c r="K602" s="2" t="str">
        <f ca="1">IFERROR(__xludf.DUMMYFUNCTION("""COMPUTED_VALUE"""),"Windows 10")</f>
        <v>Windows 10</v>
      </c>
      <c r="L602" s="2" t="str">
        <f ca="1">IFERROR(__xludf.DUMMYFUNCTION("""COMPUTED_VALUE"""),"1.84kg")</f>
        <v>1.84kg</v>
      </c>
      <c r="M602" s="2">
        <f ca="1">IFERROR(__xludf.DUMMYFUNCTION("""COMPUTED_VALUE"""),1219)</f>
        <v>1219</v>
      </c>
    </row>
    <row r="603" spans="1:13">
      <c r="A603" s="2">
        <f ca="1">IFERROR(__xludf.DUMMYFUNCTION("""COMPUTED_VALUE"""),608)</f>
        <v>608</v>
      </c>
      <c r="B603" s="2" t="str">
        <f ca="1">IFERROR(__xludf.DUMMYFUNCTION("""COMPUTED_VALUE"""),"HP")</f>
        <v>HP</v>
      </c>
      <c r="C603" s="2" t="str">
        <f ca="1">IFERROR(__xludf.DUMMYFUNCTION("""COMPUTED_VALUE"""),"ProBook 450")</f>
        <v>ProBook 450</v>
      </c>
      <c r="D603" s="2" t="str">
        <f ca="1">IFERROR(__xludf.DUMMYFUNCTION("""COMPUTED_VALUE"""),"Notebook")</f>
        <v>Notebook</v>
      </c>
      <c r="E603" s="2">
        <f ca="1">IFERROR(__xludf.DUMMYFUNCTION("""COMPUTED_VALUE"""),15.6)</f>
        <v>15.6</v>
      </c>
      <c r="F603" s="2" t="str">
        <f ca="1">IFERROR(__xludf.DUMMYFUNCTION("""COMPUTED_VALUE"""),"1366x768")</f>
        <v>1366x768</v>
      </c>
      <c r="G603" s="2" t="str">
        <f ca="1">IFERROR(__xludf.DUMMYFUNCTION("""COMPUTED_VALUE"""),"Intel Core i3 7100U 2.4GHz")</f>
        <v>Intel Core i3 7100U 2.4GHz</v>
      </c>
      <c r="H603" s="2" t="str">
        <f ca="1">IFERROR(__xludf.DUMMYFUNCTION("""COMPUTED_VALUE"""),"4GB")</f>
        <v>4GB</v>
      </c>
      <c r="I603" s="2" t="str">
        <f ca="1">IFERROR(__xludf.DUMMYFUNCTION("""COMPUTED_VALUE"""),"500GB HDD")</f>
        <v>500GB HDD</v>
      </c>
      <c r="J603" s="2" t="str">
        <f ca="1">IFERROR(__xludf.DUMMYFUNCTION("""COMPUTED_VALUE"""),"Intel HD Graphics 620")</f>
        <v>Intel HD Graphics 620</v>
      </c>
      <c r="K603" s="2" t="str">
        <f ca="1">IFERROR(__xludf.DUMMYFUNCTION("""COMPUTED_VALUE"""),"Windows 10")</f>
        <v>Windows 10</v>
      </c>
      <c r="L603" s="2" t="str">
        <f ca="1">IFERROR(__xludf.DUMMYFUNCTION("""COMPUTED_VALUE"""),"2.1kg")</f>
        <v>2.1kg</v>
      </c>
      <c r="M603" s="2">
        <f ca="1">IFERROR(__xludf.DUMMYFUNCTION("""COMPUTED_VALUE"""),668.48)</f>
        <v>668.48</v>
      </c>
    </row>
    <row r="604" spans="1:13">
      <c r="A604" s="2">
        <f ca="1">IFERROR(__xludf.DUMMYFUNCTION("""COMPUTED_VALUE"""),609)</f>
        <v>609</v>
      </c>
      <c r="B604" s="2" t="str">
        <f ca="1">IFERROR(__xludf.DUMMYFUNCTION("""COMPUTED_VALUE"""),"Acer")</f>
        <v>Acer</v>
      </c>
      <c r="C604" s="2" t="str">
        <f ca="1">IFERROR(__xludf.DUMMYFUNCTION("""COMPUTED_VALUE"""),"Aspire 1")</f>
        <v>Aspire 1</v>
      </c>
      <c r="D604" s="2" t="str">
        <f ca="1">IFERROR(__xludf.DUMMYFUNCTION("""COMPUTED_VALUE"""),"Notebook")</f>
        <v>Notebook</v>
      </c>
      <c r="E604" s="2">
        <f ca="1">IFERROR(__xludf.DUMMYFUNCTION("""COMPUTED_VALUE"""),14)</f>
        <v>14</v>
      </c>
      <c r="F604" s="2" t="str">
        <f ca="1">IFERROR(__xludf.DUMMYFUNCTION("""COMPUTED_VALUE"""),"Full HD 1920x1080")</f>
        <v>Full HD 1920x1080</v>
      </c>
      <c r="G604" s="2" t="str">
        <f ca="1">IFERROR(__xludf.DUMMYFUNCTION("""COMPUTED_VALUE"""),"Intel Celeron Quad Core N3450 1.1GHz")</f>
        <v>Intel Celeron Quad Core N3450 1.1GHz</v>
      </c>
      <c r="H604" s="2" t="str">
        <f ca="1">IFERROR(__xludf.DUMMYFUNCTION("""COMPUTED_VALUE"""),"4GB")</f>
        <v>4GB</v>
      </c>
      <c r="I604" s="2" t="str">
        <f ca="1">IFERROR(__xludf.DUMMYFUNCTION("""COMPUTED_VALUE"""),"32GB Flash Storage")</f>
        <v>32GB Flash Storage</v>
      </c>
      <c r="J604" s="2" t="str">
        <f ca="1">IFERROR(__xludf.DUMMYFUNCTION("""COMPUTED_VALUE"""),"Intel HD Graphics 500")</f>
        <v>Intel HD Graphics 500</v>
      </c>
      <c r="K604" s="2" t="str">
        <f ca="1">IFERROR(__xludf.DUMMYFUNCTION("""COMPUTED_VALUE"""),"Windows 10")</f>
        <v>Windows 10</v>
      </c>
      <c r="L604" s="2" t="str">
        <f ca="1">IFERROR(__xludf.DUMMYFUNCTION("""COMPUTED_VALUE"""),"1.6kg")</f>
        <v>1.6kg</v>
      </c>
      <c r="M604" s="2">
        <f ca="1">IFERROR(__xludf.DUMMYFUNCTION("""COMPUTED_VALUE"""),329)</f>
        <v>329</v>
      </c>
    </row>
    <row r="605" spans="1:13">
      <c r="A605" s="2">
        <f ca="1">IFERROR(__xludf.DUMMYFUNCTION("""COMPUTED_VALUE"""),610)</f>
        <v>610</v>
      </c>
      <c r="B605" s="2" t="str">
        <f ca="1">IFERROR(__xludf.DUMMYFUNCTION("""COMPUTED_VALUE"""),"MSI")</f>
        <v>MSI</v>
      </c>
      <c r="C605" s="2" t="str">
        <f ca="1">IFERROR(__xludf.DUMMYFUNCTION("""COMPUTED_VALUE"""),"Laptop MSI")</f>
        <v>Laptop MSI</v>
      </c>
      <c r="D605" s="2" t="str">
        <f ca="1">IFERROR(__xludf.DUMMYFUNCTION("""COMPUTED_VALUE"""),"Gaming")</f>
        <v>Gaming</v>
      </c>
      <c r="E605" s="2">
        <f ca="1">IFERROR(__xludf.DUMMYFUNCTION("""COMPUTED_VALUE"""),17.3)</f>
        <v>17.3</v>
      </c>
      <c r="F605" s="2" t="str">
        <f ca="1">IFERROR(__xludf.DUMMYFUNCTION("""COMPUTED_VALUE"""),"Full HD 1920x1080")</f>
        <v>Full HD 1920x1080</v>
      </c>
      <c r="G605" s="2" t="str">
        <f ca="1">IFERROR(__xludf.DUMMYFUNCTION("""COMPUTED_VALUE"""),"Intel Core i7 6820HK 2.7GHz")</f>
        <v>Intel Core i7 6820HK 2.7GHz</v>
      </c>
      <c r="H605" s="2" t="str">
        <f ca="1">IFERROR(__xludf.DUMMYFUNCTION("""COMPUTED_VALUE"""),"16GB")</f>
        <v>16GB</v>
      </c>
      <c r="I605" s="2" t="str">
        <f ca="1">IFERROR(__xludf.DUMMYFUNCTION("""COMPUTED_VALUE"""),"128GB SSD +  1TB HDD")</f>
        <v>128GB SSD +  1TB HDD</v>
      </c>
      <c r="J605" s="2" t="str">
        <f ca="1">IFERROR(__xludf.DUMMYFUNCTION("""COMPUTED_VALUE"""),"Nvidia GeForce GTX 970M")</f>
        <v>Nvidia GeForce GTX 970M</v>
      </c>
      <c r="K605" s="2" t="str">
        <f ca="1">IFERROR(__xludf.DUMMYFUNCTION("""COMPUTED_VALUE"""),"Windows 10")</f>
        <v>Windows 10</v>
      </c>
      <c r="L605" s="2" t="str">
        <f ca="1">IFERROR(__xludf.DUMMYFUNCTION("""COMPUTED_VALUE"""),"4.14kg")</f>
        <v>4.14kg</v>
      </c>
      <c r="M605" s="2">
        <f ca="1">IFERROR(__xludf.DUMMYFUNCTION("""COMPUTED_VALUE"""),2199)</f>
        <v>2199</v>
      </c>
    </row>
    <row r="606" spans="1:13">
      <c r="A606" s="2">
        <f ca="1">IFERROR(__xludf.DUMMYFUNCTION("""COMPUTED_VALUE"""),611)</f>
        <v>611</v>
      </c>
      <c r="B606" s="2" t="str">
        <f ca="1">IFERROR(__xludf.DUMMYFUNCTION("""COMPUTED_VALUE"""),"Dell")</f>
        <v>Dell</v>
      </c>
      <c r="C606" s="2" t="str">
        <f ca="1">IFERROR(__xludf.DUMMYFUNCTION("""COMPUTED_VALUE"""),"Vostro 3568")</f>
        <v>Vostro 3568</v>
      </c>
      <c r="D606" s="2" t="str">
        <f ca="1">IFERROR(__xludf.DUMMYFUNCTION("""COMPUTED_VALUE"""),"Notebook")</f>
        <v>Notebook</v>
      </c>
      <c r="E606" s="2">
        <f ca="1">IFERROR(__xludf.DUMMYFUNCTION("""COMPUTED_VALUE"""),15.6)</f>
        <v>15.6</v>
      </c>
      <c r="F606" s="2" t="str">
        <f ca="1">IFERROR(__xludf.DUMMYFUNCTION("""COMPUTED_VALUE"""),"1366x768")</f>
        <v>1366x768</v>
      </c>
      <c r="G606" s="2" t="str">
        <f ca="1">IFERROR(__xludf.DUMMYFUNCTION("""COMPUTED_VALUE"""),"Intel Core i3 6006U 2GHz")</f>
        <v>Intel Core i3 6006U 2GHz</v>
      </c>
      <c r="H606" s="2" t="str">
        <f ca="1">IFERROR(__xludf.DUMMYFUNCTION("""COMPUTED_VALUE"""),"4GB")</f>
        <v>4GB</v>
      </c>
      <c r="I606" s="2" t="str">
        <f ca="1">IFERROR(__xludf.DUMMYFUNCTION("""COMPUTED_VALUE"""),"1TB HDD")</f>
        <v>1TB HDD</v>
      </c>
      <c r="J606" s="2" t="str">
        <f ca="1">IFERROR(__xludf.DUMMYFUNCTION("""COMPUTED_VALUE"""),"AMD Radeon R5 M420")</f>
        <v>AMD Radeon R5 M420</v>
      </c>
      <c r="K606" s="2" t="str">
        <f ca="1">IFERROR(__xludf.DUMMYFUNCTION("""COMPUTED_VALUE"""),"Linux")</f>
        <v>Linux</v>
      </c>
      <c r="L606" s="2" t="str">
        <f ca="1">IFERROR(__xludf.DUMMYFUNCTION("""COMPUTED_VALUE"""),"2.18kg")</f>
        <v>2.18kg</v>
      </c>
      <c r="M606" s="2">
        <f ca="1">IFERROR(__xludf.DUMMYFUNCTION("""COMPUTED_VALUE"""),465)</f>
        <v>465</v>
      </c>
    </row>
    <row r="607" spans="1:13">
      <c r="A607" s="2">
        <f ca="1">IFERROR(__xludf.DUMMYFUNCTION("""COMPUTED_VALUE"""),612)</f>
        <v>612</v>
      </c>
      <c r="B607" s="2" t="str">
        <f ca="1">IFERROR(__xludf.DUMMYFUNCTION("""COMPUTED_VALUE"""),"MSI")</f>
        <v>MSI</v>
      </c>
      <c r="C607" s="2" t="str">
        <f ca="1">IFERROR(__xludf.DUMMYFUNCTION("""COMPUTED_VALUE"""),"GS63VR 7RF")</f>
        <v>GS63VR 7RF</v>
      </c>
      <c r="D607" s="2" t="str">
        <f ca="1">IFERROR(__xludf.DUMMYFUNCTION("""COMPUTED_VALUE"""),"Gaming")</f>
        <v>Gaming</v>
      </c>
      <c r="E607" s="2">
        <f ca="1">IFERROR(__xludf.DUMMYFUNCTION("""COMPUTED_VALUE"""),15.6)</f>
        <v>15.6</v>
      </c>
      <c r="F607" s="2" t="str">
        <f ca="1">IFERROR(__xludf.DUMMYFUNCTION("""COMPUTED_VALUE"""),"4K Ultra HD 3840x2160")</f>
        <v>4K Ultra HD 3840x2160</v>
      </c>
      <c r="G607" s="2" t="str">
        <f ca="1">IFERROR(__xludf.DUMMYFUNCTION("""COMPUTED_VALUE"""),"Intel Core i7 7700HQ 2.8GHz")</f>
        <v>Intel Core i7 7700HQ 2.8GHz</v>
      </c>
      <c r="H607" s="2" t="str">
        <f ca="1">IFERROR(__xludf.DUMMYFUNCTION("""COMPUTED_VALUE"""),"16GB")</f>
        <v>16GB</v>
      </c>
      <c r="I607" s="2" t="str">
        <f ca="1">IFERROR(__xludf.DUMMYFUNCTION("""COMPUTED_VALUE"""),"256GB SSD +  2TB HDD")</f>
        <v>256GB SSD +  2TB HDD</v>
      </c>
      <c r="J607" s="2" t="str">
        <f ca="1">IFERROR(__xludf.DUMMYFUNCTION("""COMPUTED_VALUE"""),"Nvidia GeForce GTX 1060")</f>
        <v>Nvidia GeForce GTX 1060</v>
      </c>
      <c r="K607" s="2" t="str">
        <f ca="1">IFERROR(__xludf.DUMMYFUNCTION("""COMPUTED_VALUE"""),"Windows 10")</f>
        <v>Windows 10</v>
      </c>
      <c r="L607" s="2" t="str">
        <f ca="1">IFERROR(__xludf.DUMMYFUNCTION("""COMPUTED_VALUE"""),"1.8kg")</f>
        <v>1.8kg</v>
      </c>
      <c r="M607" s="2">
        <f ca="1">IFERROR(__xludf.DUMMYFUNCTION("""COMPUTED_VALUE"""),2299)</f>
        <v>2299</v>
      </c>
    </row>
    <row r="608" spans="1:13">
      <c r="A608" s="2">
        <f ca="1">IFERROR(__xludf.DUMMYFUNCTION("""COMPUTED_VALUE"""),613)</f>
        <v>613</v>
      </c>
      <c r="B608" s="2" t="str">
        <f ca="1">IFERROR(__xludf.DUMMYFUNCTION("""COMPUTED_VALUE"""),"Toshiba")</f>
        <v>Toshiba</v>
      </c>
      <c r="C608" s="2" t="str">
        <f ca="1">IFERROR(__xludf.DUMMYFUNCTION("""COMPUTED_VALUE"""),"Tecra Z50-C-144")</f>
        <v>Tecra Z50-C-144</v>
      </c>
      <c r="D608" s="2" t="str">
        <f ca="1">IFERROR(__xludf.DUMMYFUNCTION("""COMPUTED_VALUE"""),"Notebook")</f>
        <v>Notebook</v>
      </c>
      <c r="E608" s="2">
        <f ca="1">IFERROR(__xludf.DUMMYFUNCTION("""COMPUTED_VALUE"""),15.6)</f>
        <v>15.6</v>
      </c>
      <c r="F608" s="2" t="str">
        <f ca="1">IFERROR(__xludf.DUMMYFUNCTION("""COMPUTED_VALUE"""),"IPS Panel Full HD 1920x1080")</f>
        <v>IPS Panel Full HD 1920x1080</v>
      </c>
      <c r="G608" s="2" t="str">
        <f ca="1">IFERROR(__xludf.DUMMYFUNCTION("""COMPUTED_VALUE"""),"Intel Core i7 6500U 2.5GHz")</f>
        <v>Intel Core i7 6500U 2.5GHz</v>
      </c>
      <c r="H608" s="2" t="str">
        <f ca="1">IFERROR(__xludf.DUMMYFUNCTION("""COMPUTED_VALUE"""),"8GB")</f>
        <v>8GB</v>
      </c>
      <c r="I608" s="2" t="str">
        <f ca="1">IFERROR(__xludf.DUMMYFUNCTION("""COMPUTED_VALUE"""),"256GB SSD")</f>
        <v>256GB SSD</v>
      </c>
      <c r="J608" s="2" t="str">
        <f ca="1">IFERROR(__xludf.DUMMYFUNCTION("""COMPUTED_VALUE"""),"Intel HD Graphics 520")</f>
        <v>Intel HD Graphics 520</v>
      </c>
      <c r="K608" s="2" t="str">
        <f ca="1">IFERROR(__xludf.DUMMYFUNCTION("""COMPUTED_VALUE"""),"Windows 10")</f>
        <v>Windows 10</v>
      </c>
      <c r="L608" s="2" t="str">
        <f ca="1">IFERROR(__xludf.DUMMYFUNCTION("""COMPUTED_VALUE"""),"2.2kg")</f>
        <v>2.2kg</v>
      </c>
      <c r="M608" s="2">
        <f ca="1">IFERROR(__xludf.DUMMYFUNCTION("""COMPUTED_VALUE"""),1399)</f>
        <v>1399</v>
      </c>
    </row>
    <row r="609" spans="1:13">
      <c r="A609" s="2">
        <f ca="1">IFERROR(__xludf.DUMMYFUNCTION("""COMPUTED_VALUE"""),614)</f>
        <v>614</v>
      </c>
      <c r="B609" s="2" t="str">
        <f ca="1">IFERROR(__xludf.DUMMYFUNCTION("""COMPUTED_VALUE"""),"Lenovo")</f>
        <v>Lenovo</v>
      </c>
      <c r="C609" s="2" t="str">
        <f ca="1">IFERROR(__xludf.DUMMYFUNCTION("""COMPUTED_VALUE"""),"IdeaPad 310-15IKB")</f>
        <v>IdeaPad 310-15IKB</v>
      </c>
      <c r="D609" s="2" t="str">
        <f ca="1">IFERROR(__xludf.DUMMYFUNCTION("""COMPUTED_VALUE"""),"Notebook")</f>
        <v>Notebook</v>
      </c>
      <c r="E609" s="2">
        <f ca="1">IFERROR(__xludf.DUMMYFUNCTION("""COMPUTED_VALUE"""),15.6)</f>
        <v>15.6</v>
      </c>
      <c r="F609" s="2" t="str">
        <f ca="1">IFERROR(__xludf.DUMMYFUNCTION("""COMPUTED_VALUE"""),"Full HD 1920x1080")</f>
        <v>Full HD 1920x1080</v>
      </c>
      <c r="G609" s="2" t="str">
        <f ca="1">IFERROR(__xludf.DUMMYFUNCTION("""COMPUTED_VALUE"""),"Intel Core i5 7200U 2.5GHz")</f>
        <v>Intel Core i5 7200U 2.5GHz</v>
      </c>
      <c r="H609" s="2" t="str">
        <f ca="1">IFERROR(__xludf.DUMMYFUNCTION("""COMPUTED_VALUE"""),"6GB")</f>
        <v>6GB</v>
      </c>
      <c r="I609" s="2" t="str">
        <f ca="1">IFERROR(__xludf.DUMMYFUNCTION("""COMPUTED_VALUE"""),"1TB HDD")</f>
        <v>1TB HDD</v>
      </c>
      <c r="J609" s="2" t="str">
        <f ca="1">IFERROR(__xludf.DUMMYFUNCTION("""COMPUTED_VALUE"""),"Intel HD Graphics 620")</f>
        <v>Intel HD Graphics 620</v>
      </c>
      <c r="K609" s="2" t="str">
        <f ca="1">IFERROR(__xludf.DUMMYFUNCTION("""COMPUTED_VALUE"""),"Windows 10")</f>
        <v>Windows 10</v>
      </c>
      <c r="L609" s="2" t="str">
        <f ca="1">IFERROR(__xludf.DUMMYFUNCTION("""COMPUTED_VALUE"""),"2.4kg")</f>
        <v>2.4kg</v>
      </c>
      <c r="M609" s="2">
        <f ca="1">IFERROR(__xludf.DUMMYFUNCTION("""COMPUTED_VALUE"""),564)</f>
        <v>564</v>
      </c>
    </row>
    <row r="610" spans="1:13">
      <c r="A610" s="2">
        <f ca="1">IFERROR(__xludf.DUMMYFUNCTION("""COMPUTED_VALUE"""),615)</f>
        <v>615</v>
      </c>
      <c r="B610" s="2" t="str">
        <f ca="1">IFERROR(__xludf.DUMMYFUNCTION("""COMPUTED_VALUE"""),"Lenovo")</f>
        <v>Lenovo</v>
      </c>
      <c r="C610" s="2" t="str">
        <f ca="1">IFERROR(__xludf.DUMMYFUNCTION("""COMPUTED_VALUE"""),"Yoga 720-15IKB")</f>
        <v>Yoga 720-15IKB</v>
      </c>
      <c r="D610" s="2" t="str">
        <f ca="1">IFERROR(__xludf.DUMMYFUNCTION("""COMPUTED_VALUE"""),"2 in 1 Convertible")</f>
        <v>2 in 1 Convertible</v>
      </c>
      <c r="E610" s="2">
        <f ca="1">IFERROR(__xludf.DUMMYFUNCTION("""COMPUTED_VALUE"""),15.6)</f>
        <v>15.6</v>
      </c>
      <c r="F610" s="2" t="str">
        <f ca="1">IFERROR(__xludf.DUMMYFUNCTION("""COMPUTED_VALUE"""),"IPS Panel Full HD / Touchscreen 1920x1080")</f>
        <v>IPS Panel Full HD / Touchscreen 1920x1080</v>
      </c>
      <c r="G610" s="2" t="str">
        <f ca="1">IFERROR(__xludf.DUMMYFUNCTION("""COMPUTED_VALUE"""),"Intel Core i7 7700HQ 2.8GHz")</f>
        <v>Intel Core i7 7700HQ 2.8GHz</v>
      </c>
      <c r="H610" s="2" t="str">
        <f ca="1">IFERROR(__xludf.DUMMYFUNCTION("""COMPUTED_VALUE"""),"8GB")</f>
        <v>8GB</v>
      </c>
      <c r="I610" s="2" t="str">
        <f ca="1">IFERROR(__xludf.DUMMYFUNCTION("""COMPUTED_VALUE"""),"256GB SSD")</f>
        <v>256GB SSD</v>
      </c>
      <c r="J610" s="2" t="str">
        <f ca="1">IFERROR(__xludf.DUMMYFUNCTION("""COMPUTED_VALUE"""),"Intel HD Graphics 630")</f>
        <v>Intel HD Graphics 630</v>
      </c>
      <c r="K610" s="2" t="str">
        <f ca="1">IFERROR(__xludf.DUMMYFUNCTION("""COMPUTED_VALUE"""),"Windows 10")</f>
        <v>Windows 10</v>
      </c>
      <c r="L610" s="2" t="str">
        <f ca="1">IFERROR(__xludf.DUMMYFUNCTION("""COMPUTED_VALUE"""),"2kg")</f>
        <v>2kg</v>
      </c>
      <c r="M610" s="2">
        <f ca="1">IFERROR(__xludf.DUMMYFUNCTION("""COMPUTED_VALUE"""),1299)</f>
        <v>1299</v>
      </c>
    </row>
    <row r="611" spans="1:13">
      <c r="A611" s="2">
        <f ca="1">IFERROR(__xludf.DUMMYFUNCTION("""COMPUTED_VALUE"""),616)</f>
        <v>616</v>
      </c>
      <c r="B611" s="2" t="str">
        <f ca="1">IFERROR(__xludf.DUMMYFUNCTION("""COMPUTED_VALUE"""),"Acer")</f>
        <v>Acer</v>
      </c>
      <c r="C611" s="2" t="str">
        <f ca="1">IFERROR(__xludf.DUMMYFUNCTION("""COMPUTED_VALUE"""),"Swift SF114-31-P5HY")</f>
        <v>Swift SF114-31-P5HY</v>
      </c>
      <c r="D611" s="2" t="str">
        <f ca="1">IFERROR(__xludf.DUMMYFUNCTION("""COMPUTED_VALUE"""),"Notebook")</f>
        <v>Notebook</v>
      </c>
      <c r="E611" s="2">
        <f ca="1">IFERROR(__xludf.DUMMYFUNCTION("""COMPUTED_VALUE"""),14)</f>
        <v>14</v>
      </c>
      <c r="F611" s="2" t="str">
        <f ca="1">IFERROR(__xludf.DUMMYFUNCTION("""COMPUTED_VALUE"""),"1366x768")</f>
        <v>1366x768</v>
      </c>
      <c r="G611" s="2" t="str">
        <f ca="1">IFERROR(__xludf.DUMMYFUNCTION("""COMPUTED_VALUE"""),"Intel Pentium Quad Core N3710 1.6GHz")</f>
        <v>Intel Pentium Quad Core N3710 1.6GHz</v>
      </c>
      <c r="H611" s="2" t="str">
        <f ca="1">IFERROR(__xludf.DUMMYFUNCTION("""COMPUTED_VALUE"""),"4GB")</f>
        <v>4GB</v>
      </c>
      <c r="I611" s="2" t="str">
        <f ca="1">IFERROR(__xludf.DUMMYFUNCTION("""COMPUTED_VALUE"""),"128GB Flash Storage")</f>
        <v>128GB Flash Storage</v>
      </c>
      <c r="J611" s="2" t="str">
        <f ca="1">IFERROR(__xludf.DUMMYFUNCTION("""COMPUTED_VALUE"""),"Intel HD Graphics 405")</f>
        <v>Intel HD Graphics 405</v>
      </c>
      <c r="K611" s="2" t="str">
        <f ca="1">IFERROR(__xludf.DUMMYFUNCTION("""COMPUTED_VALUE"""),"Windows 10")</f>
        <v>Windows 10</v>
      </c>
      <c r="L611" s="2" t="str">
        <f ca="1">IFERROR(__xludf.DUMMYFUNCTION("""COMPUTED_VALUE"""),"1.6kg")</f>
        <v>1.6kg</v>
      </c>
      <c r="M611" s="2">
        <f ca="1">IFERROR(__xludf.DUMMYFUNCTION("""COMPUTED_VALUE"""),349)</f>
        <v>349</v>
      </c>
    </row>
    <row r="612" spans="1:13">
      <c r="A612" s="2">
        <f ca="1">IFERROR(__xludf.DUMMYFUNCTION("""COMPUTED_VALUE"""),617)</f>
        <v>617</v>
      </c>
      <c r="B612" s="2" t="str">
        <f ca="1">IFERROR(__xludf.DUMMYFUNCTION("""COMPUTED_VALUE"""),"Lenovo")</f>
        <v>Lenovo</v>
      </c>
      <c r="C612" s="2" t="str">
        <f ca="1">IFERROR(__xludf.DUMMYFUNCTION("""COMPUTED_VALUE"""),"Thinkpad P51")</f>
        <v>Thinkpad P51</v>
      </c>
      <c r="D612" s="2" t="str">
        <f ca="1">IFERROR(__xludf.DUMMYFUNCTION("""COMPUTED_VALUE"""),"Notebook")</f>
        <v>Notebook</v>
      </c>
      <c r="E612" s="2">
        <f ca="1">IFERROR(__xludf.DUMMYFUNCTION("""COMPUTED_VALUE"""),15.6)</f>
        <v>15.6</v>
      </c>
      <c r="F612" s="2" t="str">
        <f ca="1">IFERROR(__xludf.DUMMYFUNCTION("""COMPUTED_VALUE"""),"IPS Panel 4K Ultra HD 3840x2160")</f>
        <v>IPS Panel 4K Ultra HD 3840x2160</v>
      </c>
      <c r="G612" s="2" t="str">
        <f ca="1">IFERROR(__xludf.DUMMYFUNCTION("""COMPUTED_VALUE"""),"Intel Xeon E3-1535M v6 3.1GHz")</f>
        <v>Intel Xeon E3-1535M v6 3.1GHz</v>
      </c>
      <c r="H612" s="2" t="str">
        <f ca="1">IFERROR(__xludf.DUMMYFUNCTION("""COMPUTED_VALUE"""),"32GB")</f>
        <v>32GB</v>
      </c>
      <c r="I612" s="2" t="str">
        <f ca="1">IFERROR(__xludf.DUMMYFUNCTION("""COMPUTED_VALUE"""),"1TB SSD")</f>
        <v>1TB SSD</v>
      </c>
      <c r="J612" s="2" t="str">
        <f ca="1">IFERROR(__xludf.DUMMYFUNCTION("""COMPUTED_VALUE"""),"Nvidia Quadro M2200M")</f>
        <v>Nvidia Quadro M2200M</v>
      </c>
      <c r="K612" s="2" t="str">
        <f ca="1">IFERROR(__xludf.DUMMYFUNCTION("""COMPUTED_VALUE"""),"Windows 10")</f>
        <v>Windows 10</v>
      </c>
      <c r="L612" s="2" t="str">
        <f ca="1">IFERROR(__xludf.DUMMYFUNCTION("""COMPUTED_VALUE"""),"2.5kg")</f>
        <v>2.5kg</v>
      </c>
      <c r="M612" s="2">
        <f ca="1">IFERROR(__xludf.DUMMYFUNCTION("""COMPUTED_VALUE"""),4899)</f>
        <v>4899</v>
      </c>
    </row>
    <row r="613" spans="1:13">
      <c r="A613" s="2">
        <f ca="1">IFERROR(__xludf.DUMMYFUNCTION("""COMPUTED_VALUE"""),618)</f>
        <v>618</v>
      </c>
      <c r="B613" s="2" t="str">
        <f ca="1">IFERROR(__xludf.DUMMYFUNCTION("""COMPUTED_VALUE"""),"Dell")</f>
        <v>Dell</v>
      </c>
      <c r="C613" s="2" t="str">
        <f ca="1">IFERROR(__xludf.DUMMYFUNCTION("""COMPUTED_VALUE"""),"Inspiron 7559")</f>
        <v>Inspiron 7559</v>
      </c>
      <c r="D613" s="2" t="str">
        <f ca="1">IFERROR(__xludf.DUMMYFUNCTION("""COMPUTED_VALUE"""),"Gaming")</f>
        <v>Gaming</v>
      </c>
      <c r="E613" s="2">
        <f ca="1">IFERROR(__xludf.DUMMYFUNCTION("""COMPUTED_VALUE"""),15.6)</f>
        <v>15.6</v>
      </c>
      <c r="F613" s="2" t="str">
        <f ca="1">IFERROR(__xludf.DUMMYFUNCTION("""COMPUTED_VALUE"""),"Full HD 1920x1080")</f>
        <v>Full HD 1920x1080</v>
      </c>
      <c r="G613" s="2" t="str">
        <f ca="1">IFERROR(__xludf.DUMMYFUNCTION("""COMPUTED_VALUE"""),"Intel Core i7 6700HQ 2.6GHz")</f>
        <v>Intel Core i7 6700HQ 2.6GHz</v>
      </c>
      <c r="H613" s="2" t="str">
        <f ca="1">IFERROR(__xludf.DUMMYFUNCTION("""COMPUTED_VALUE"""),"16GB")</f>
        <v>16GB</v>
      </c>
      <c r="I613" s="2" t="str">
        <f ca="1">IFERROR(__xludf.DUMMYFUNCTION("""COMPUTED_VALUE"""),"1TB HDD")</f>
        <v>1TB HDD</v>
      </c>
      <c r="J613" s="2" t="str">
        <f ca="1">IFERROR(__xludf.DUMMYFUNCTION("""COMPUTED_VALUE"""),"Nvidia GeForce GTX 960&lt;U+039C&gt;")</f>
        <v>Nvidia GeForce GTX 960&lt;U+039C&gt;</v>
      </c>
      <c r="K613" s="2" t="str">
        <f ca="1">IFERROR(__xludf.DUMMYFUNCTION("""COMPUTED_VALUE"""),"Windows 10")</f>
        <v>Windows 10</v>
      </c>
      <c r="L613" s="2" t="str">
        <f ca="1">IFERROR(__xludf.DUMMYFUNCTION("""COMPUTED_VALUE"""),"2.59kg")</f>
        <v>2.59kg</v>
      </c>
      <c r="M613" s="2">
        <f ca="1">IFERROR(__xludf.DUMMYFUNCTION("""COMPUTED_VALUE"""),879.01)</f>
        <v>879.01</v>
      </c>
    </row>
    <row r="614" spans="1:13">
      <c r="A614" s="2">
        <f ca="1">IFERROR(__xludf.DUMMYFUNCTION("""COMPUTED_VALUE"""),619)</f>
        <v>619</v>
      </c>
      <c r="B614" s="2" t="str">
        <f ca="1">IFERROR(__xludf.DUMMYFUNCTION("""COMPUTED_VALUE"""),"Dell")</f>
        <v>Dell</v>
      </c>
      <c r="C614" s="2" t="str">
        <f ca="1">IFERROR(__xludf.DUMMYFUNCTION("""COMPUTED_VALUE"""),"Vostro 3568")</f>
        <v>Vostro 3568</v>
      </c>
      <c r="D614" s="2" t="str">
        <f ca="1">IFERROR(__xludf.DUMMYFUNCTION("""COMPUTED_VALUE"""),"Notebook")</f>
        <v>Notebook</v>
      </c>
      <c r="E614" s="2">
        <f ca="1">IFERROR(__xludf.DUMMYFUNCTION("""COMPUTED_VALUE"""),15.6)</f>
        <v>15.6</v>
      </c>
      <c r="F614" s="2" t="str">
        <f ca="1">IFERROR(__xludf.DUMMYFUNCTION("""COMPUTED_VALUE"""),"1366x768")</f>
        <v>1366x768</v>
      </c>
      <c r="G614" s="2" t="str">
        <f ca="1">IFERROR(__xludf.DUMMYFUNCTION("""COMPUTED_VALUE"""),"Intel Core i3 6006U 2.0GHz")</f>
        <v>Intel Core i3 6006U 2.0GHz</v>
      </c>
      <c r="H614" s="2" t="str">
        <f ca="1">IFERROR(__xludf.DUMMYFUNCTION("""COMPUTED_VALUE"""),"4GB")</f>
        <v>4GB</v>
      </c>
      <c r="I614" s="2" t="str">
        <f ca="1">IFERROR(__xludf.DUMMYFUNCTION("""COMPUTED_VALUE"""),"1TB HDD")</f>
        <v>1TB HDD</v>
      </c>
      <c r="J614" s="2" t="str">
        <f ca="1">IFERROR(__xludf.DUMMYFUNCTION("""COMPUTED_VALUE"""),"Intel HD Graphics 520")</f>
        <v>Intel HD Graphics 520</v>
      </c>
      <c r="K614" s="2" t="str">
        <f ca="1">IFERROR(__xludf.DUMMYFUNCTION("""COMPUTED_VALUE"""),"Linux")</f>
        <v>Linux</v>
      </c>
      <c r="L614" s="2" t="str">
        <f ca="1">IFERROR(__xludf.DUMMYFUNCTION("""COMPUTED_VALUE"""),"2.18kg")</f>
        <v>2.18kg</v>
      </c>
      <c r="M614" s="2">
        <f ca="1">IFERROR(__xludf.DUMMYFUNCTION("""COMPUTED_VALUE"""),443.9)</f>
        <v>443.9</v>
      </c>
    </row>
    <row r="615" spans="1:13">
      <c r="A615" s="2">
        <f ca="1">IFERROR(__xludf.DUMMYFUNCTION("""COMPUTED_VALUE"""),620)</f>
        <v>620</v>
      </c>
      <c r="B615" s="2" t="str">
        <f ca="1">IFERROR(__xludf.DUMMYFUNCTION("""COMPUTED_VALUE"""),"Dell")</f>
        <v>Dell</v>
      </c>
      <c r="C615" s="2" t="str">
        <f ca="1">IFERROR(__xludf.DUMMYFUNCTION("""COMPUTED_VALUE"""),"Inspiron 3567")</f>
        <v>Inspiron 3567</v>
      </c>
      <c r="D615" s="2" t="str">
        <f ca="1">IFERROR(__xludf.DUMMYFUNCTION("""COMPUTED_VALUE"""),"Notebook")</f>
        <v>Notebook</v>
      </c>
      <c r="E615" s="2">
        <f ca="1">IFERROR(__xludf.DUMMYFUNCTION("""COMPUTED_VALUE"""),15.6)</f>
        <v>15.6</v>
      </c>
      <c r="F615" s="2" t="str">
        <f ca="1">IFERROR(__xludf.DUMMYFUNCTION("""COMPUTED_VALUE"""),"1366x768")</f>
        <v>1366x768</v>
      </c>
      <c r="G615" s="2" t="str">
        <f ca="1">IFERROR(__xludf.DUMMYFUNCTION("""COMPUTED_VALUE"""),"Intel Core i3 6006U 2.0GHz")</f>
        <v>Intel Core i3 6006U 2.0GHz</v>
      </c>
      <c r="H615" s="2" t="str">
        <f ca="1">IFERROR(__xludf.DUMMYFUNCTION("""COMPUTED_VALUE"""),"4GB")</f>
        <v>4GB</v>
      </c>
      <c r="I615" s="2" t="str">
        <f ca="1">IFERROR(__xludf.DUMMYFUNCTION("""COMPUTED_VALUE"""),"1TB HDD")</f>
        <v>1TB HDD</v>
      </c>
      <c r="J615" s="2" t="str">
        <f ca="1">IFERROR(__xludf.DUMMYFUNCTION("""COMPUTED_VALUE"""),"Intel HD Graphics 520")</f>
        <v>Intel HD Graphics 520</v>
      </c>
      <c r="K615" s="2" t="str">
        <f ca="1">IFERROR(__xludf.DUMMYFUNCTION("""COMPUTED_VALUE"""),"Linux")</f>
        <v>Linux</v>
      </c>
      <c r="L615" s="2" t="str">
        <f ca="1">IFERROR(__xludf.DUMMYFUNCTION("""COMPUTED_VALUE"""),"2.25kg")</f>
        <v>2.25kg</v>
      </c>
      <c r="M615" s="2">
        <f ca="1">IFERROR(__xludf.DUMMYFUNCTION("""COMPUTED_VALUE"""),359)</f>
        <v>359</v>
      </c>
    </row>
    <row r="616" spans="1:13">
      <c r="A616" s="2">
        <f ca="1">IFERROR(__xludf.DUMMYFUNCTION("""COMPUTED_VALUE"""),621)</f>
        <v>621</v>
      </c>
      <c r="B616" s="2" t="str">
        <f ca="1">IFERROR(__xludf.DUMMYFUNCTION("""COMPUTED_VALUE"""),"Dell")</f>
        <v>Dell</v>
      </c>
      <c r="C616" s="2" t="str">
        <f ca="1">IFERROR(__xludf.DUMMYFUNCTION("""COMPUTED_VALUE"""),"Latitude 5580")</f>
        <v>Latitude 5580</v>
      </c>
      <c r="D616" s="2" t="str">
        <f ca="1">IFERROR(__xludf.DUMMYFUNCTION("""COMPUTED_VALUE"""),"Notebook")</f>
        <v>Notebook</v>
      </c>
      <c r="E616" s="2">
        <f ca="1">IFERROR(__xludf.DUMMYFUNCTION("""COMPUTED_VALUE"""),15.6)</f>
        <v>15.6</v>
      </c>
      <c r="F616" s="2" t="str">
        <f ca="1">IFERROR(__xludf.DUMMYFUNCTION("""COMPUTED_VALUE"""),"1366x768")</f>
        <v>1366x768</v>
      </c>
      <c r="G616" s="2" t="str">
        <f ca="1">IFERROR(__xludf.DUMMYFUNCTION("""COMPUTED_VALUE"""),"Intel Core i5 7300U 2.6GHz")</f>
        <v>Intel Core i5 7300U 2.6GHz</v>
      </c>
      <c r="H616" s="2" t="str">
        <f ca="1">IFERROR(__xludf.DUMMYFUNCTION("""COMPUTED_VALUE"""),"4GB")</f>
        <v>4GB</v>
      </c>
      <c r="I616" s="2" t="str">
        <f ca="1">IFERROR(__xludf.DUMMYFUNCTION("""COMPUTED_VALUE"""),"500GB HDD")</f>
        <v>500GB HDD</v>
      </c>
      <c r="J616" s="2" t="str">
        <f ca="1">IFERROR(__xludf.DUMMYFUNCTION("""COMPUTED_VALUE"""),"Intel HD Graphics 620")</f>
        <v>Intel HD Graphics 620</v>
      </c>
      <c r="K616" s="2" t="str">
        <f ca="1">IFERROR(__xludf.DUMMYFUNCTION("""COMPUTED_VALUE"""),"Linux")</f>
        <v>Linux</v>
      </c>
      <c r="L616" s="2" t="str">
        <f ca="1">IFERROR(__xludf.DUMMYFUNCTION("""COMPUTED_VALUE"""),"1.93kg")</f>
        <v>1.93kg</v>
      </c>
      <c r="M616" s="2">
        <f ca="1">IFERROR(__xludf.DUMMYFUNCTION("""COMPUTED_VALUE"""),869)</f>
        <v>869</v>
      </c>
    </row>
    <row r="617" spans="1:13">
      <c r="A617" s="2">
        <f ca="1">IFERROR(__xludf.DUMMYFUNCTION("""COMPUTED_VALUE"""),622)</f>
        <v>622</v>
      </c>
      <c r="B617" s="2" t="str">
        <f ca="1">IFERROR(__xludf.DUMMYFUNCTION("""COMPUTED_VALUE"""),"Asus")</f>
        <v>Asus</v>
      </c>
      <c r="C617" s="2" t="str">
        <f ca="1">IFERROR(__xludf.DUMMYFUNCTION("""COMPUTED_VALUE"""),"FX753VD-GC007T (i7-7700HQ/8GB/1TB")</f>
        <v>FX753VD-GC007T (i7-7700HQ/8GB/1TB</v>
      </c>
      <c r="D617" s="2" t="str">
        <f ca="1">IFERROR(__xludf.DUMMYFUNCTION("""COMPUTED_VALUE"""),"Gaming")</f>
        <v>Gaming</v>
      </c>
      <c r="E617" s="2">
        <f ca="1">IFERROR(__xludf.DUMMYFUNCTION("""COMPUTED_VALUE"""),17.3)</f>
        <v>17.3</v>
      </c>
      <c r="F617" s="2" t="str">
        <f ca="1">IFERROR(__xludf.DUMMYFUNCTION("""COMPUTED_VALUE"""),"Full HD 1920x1080")</f>
        <v>Full HD 1920x1080</v>
      </c>
      <c r="G617" s="2" t="str">
        <f ca="1">IFERROR(__xludf.DUMMYFUNCTION("""COMPUTED_VALUE"""),"Intel Core i7 7700HQ 2.8GHz")</f>
        <v>Intel Core i7 7700HQ 2.8GHz</v>
      </c>
      <c r="H617" s="2" t="str">
        <f ca="1">IFERROR(__xludf.DUMMYFUNCTION("""COMPUTED_VALUE"""),"8GB")</f>
        <v>8GB</v>
      </c>
      <c r="I617" s="2" t="str">
        <f ca="1">IFERROR(__xludf.DUMMYFUNCTION("""COMPUTED_VALUE"""),"128GB SSD +  1TB HDD")</f>
        <v>128GB SSD +  1TB HDD</v>
      </c>
      <c r="J617" s="2" t="str">
        <f ca="1">IFERROR(__xludf.DUMMYFUNCTION("""COMPUTED_VALUE"""),"Nvidia GeForce GTX 1050")</f>
        <v>Nvidia GeForce GTX 1050</v>
      </c>
      <c r="K617" s="2" t="str">
        <f ca="1">IFERROR(__xludf.DUMMYFUNCTION("""COMPUTED_VALUE"""),"Windows 10")</f>
        <v>Windows 10</v>
      </c>
      <c r="L617" s="2" t="str">
        <f ca="1">IFERROR(__xludf.DUMMYFUNCTION("""COMPUTED_VALUE"""),"3kg")</f>
        <v>3kg</v>
      </c>
      <c r="M617" s="2">
        <f ca="1">IFERROR(__xludf.DUMMYFUNCTION("""COMPUTED_VALUE"""),1168)</f>
        <v>1168</v>
      </c>
    </row>
    <row r="618" spans="1:13">
      <c r="A618" s="2">
        <f ca="1">IFERROR(__xludf.DUMMYFUNCTION("""COMPUTED_VALUE"""),623)</f>
        <v>623</v>
      </c>
      <c r="B618" s="2" t="str">
        <f ca="1">IFERROR(__xludf.DUMMYFUNCTION("""COMPUTED_VALUE"""),"Dell")</f>
        <v>Dell</v>
      </c>
      <c r="C618" s="2" t="str">
        <f ca="1">IFERROR(__xludf.DUMMYFUNCTION("""COMPUTED_VALUE"""),"Vostro 3568")</f>
        <v>Vostro 3568</v>
      </c>
      <c r="D618" s="2" t="str">
        <f ca="1">IFERROR(__xludf.DUMMYFUNCTION("""COMPUTED_VALUE"""),"Notebook")</f>
        <v>Notebook</v>
      </c>
      <c r="E618" s="2">
        <f ca="1">IFERROR(__xludf.DUMMYFUNCTION("""COMPUTED_VALUE"""),15.6)</f>
        <v>15.6</v>
      </c>
      <c r="F618" s="2" t="str">
        <f ca="1">IFERROR(__xludf.DUMMYFUNCTION("""COMPUTED_VALUE"""),"Full HD 1920x1080")</f>
        <v>Full HD 1920x1080</v>
      </c>
      <c r="G618" s="2" t="str">
        <f ca="1">IFERROR(__xludf.DUMMYFUNCTION("""COMPUTED_VALUE"""),"Intel Core i5 7200U 2.5GHz")</f>
        <v>Intel Core i5 7200U 2.5GHz</v>
      </c>
      <c r="H618" s="2" t="str">
        <f ca="1">IFERROR(__xludf.DUMMYFUNCTION("""COMPUTED_VALUE"""),"4GB")</f>
        <v>4GB</v>
      </c>
      <c r="I618" s="2" t="str">
        <f ca="1">IFERROR(__xludf.DUMMYFUNCTION("""COMPUTED_VALUE"""),"128GB SSD")</f>
        <v>128GB SSD</v>
      </c>
      <c r="J618" s="2" t="str">
        <f ca="1">IFERROR(__xludf.DUMMYFUNCTION("""COMPUTED_VALUE"""),"AMD Radeon R5 M420")</f>
        <v>AMD Radeon R5 M420</v>
      </c>
      <c r="K618" s="2" t="str">
        <f ca="1">IFERROR(__xludf.DUMMYFUNCTION("""COMPUTED_VALUE"""),"Linux")</f>
        <v>Linux</v>
      </c>
      <c r="L618" s="2" t="str">
        <f ca="1">IFERROR(__xludf.DUMMYFUNCTION("""COMPUTED_VALUE"""),"2.18kg")</f>
        <v>2.18kg</v>
      </c>
      <c r="M618" s="2">
        <f ca="1">IFERROR(__xludf.DUMMYFUNCTION("""COMPUTED_VALUE"""),569)</f>
        <v>569</v>
      </c>
    </row>
    <row r="619" spans="1:13">
      <c r="A619" s="2">
        <f ca="1">IFERROR(__xludf.DUMMYFUNCTION("""COMPUTED_VALUE"""),624)</f>
        <v>624</v>
      </c>
      <c r="B619" s="2" t="str">
        <f ca="1">IFERROR(__xludf.DUMMYFUNCTION("""COMPUTED_VALUE"""),"HP")</f>
        <v>HP</v>
      </c>
      <c r="C619" s="2" t="str">
        <f ca="1">IFERROR(__xludf.DUMMYFUNCTION("""COMPUTED_VALUE"""),"EliteBook 850")</f>
        <v>EliteBook 850</v>
      </c>
      <c r="D619" s="2" t="str">
        <f ca="1">IFERROR(__xludf.DUMMYFUNCTION("""COMPUTED_VALUE"""),"Ultrabook")</f>
        <v>Ultrabook</v>
      </c>
      <c r="E619" s="2">
        <f ca="1">IFERROR(__xludf.DUMMYFUNCTION("""COMPUTED_VALUE"""),15.6)</f>
        <v>15.6</v>
      </c>
      <c r="F619" s="2" t="str">
        <f ca="1">IFERROR(__xludf.DUMMYFUNCTION("""COMPUTED_VALUE"""),"Full HD 1920x1080")</f>
        <v>Full HD 1920x1080</v>
      </c>
      <c r="G619" s="2" t="str">
        <f ca="1">IFERROR(__xludf.DUMMYFUNCTION("""COMPUTED_VALUE"""),"Intel Core i7 7500U 2.7GHz")</f>
        <v>Intel Core i7 7500U 2.7GHz</v>
      </c>
      <c r="H619" s="2" t="str">
        <f ca="1">IFERROR(__xludf.DUMMYFUNCTION("""COMPUTED_VALUE"""),"8GB")</f>
        <v>8GB</v>
      </c>
      <c r="I619" s="2" t="str">
        <f ca="1">IFERROR(__xludf.DUMMYFUNCTION("""COMPUTED_VALUE"""),"512GB SSD")</f>
        <v>512GB SSD</v>
      </c>
      <c r="J619" s="2" t="str">
        <f ca="1">IFERROR(__xludf.DUMMYFUNCTION("""COMPUTED_VALUE"""),"Intel HD Graphics 620")</f>
        <v>Intel HD Graphics 620</v>
      </c>
      <c r="K619" s="2" t="str">
        <f ca="1">IFERROR(__xludf.DUMMYFUNCTION("""COMPUTED_VALUE"""),"Windows 10")</f>
        <v>Windows 10</v>
      </c>
      <c r="L619" s="2" t="str">
        <f ca="1">IFERROR(__xludf.DUMMYFUNCTION("""COMPUTED_VALUE"""),"1.84kg")</f>
        <v>1.84kg</v>
      </c>
      <c r="M619" s="2">
        <f ca="1">IFERROR(__xludf.DUMMYFUNCTION("""COMPUTED_VALUE"""),1389)</f>
        <v>1389</v>
      </c>
    </row>
    <row r="620" spans="1:13">
      <c r="A620" s="2">
        <f ca="1">IFERROR(__xludf.DUMMYFUNCTION("""COMPUTED_VALUE"""),625)</f>
        <v>625</v>
      </c>
      <c r="B620" s="2" t="str">
        <f ca="1">IFERROR(__xludf.DUMMYFUNCTION("""COMPUTED_VALUE"""),"MSI")</f>
        <v>MSI</v>
      </c>
      <c r="C620" s="2" t="str">
        <f ca="1">IFERROR(__xludf.DUMMYFUNCTION("""COMPUTED_VALUE"""),"GT62VR 7RE")</f>
        <v>GT62VR 7RE</v>
      </c>
      <c r="D620" s="2" t="str">
        <f ca="1">IFERROR(__xludf.DUMMYFUNCTION("""COMPUTED_VALUE"""),"Gaming")</f>
        <v>Gaming</v>
      </c>
      <c r="E620" s="2">
        <f ca="1">IFERROR(__xludf.DUMMYFUNCTION("""COMPUTED_VALUE"""),15.6)</f>
        <v>15.6</v>
      </c>
      <c r="F620" s="2" t="str">
        <f ca="1">IFERROR(__xludf.DUMMYFUNCTION("""COMPUTED_VALUE"""),"Full HD 1920x1080")</f>
        <v>Full HD 1920x1080</v>
      </c>
      <c r="G620" s="2" t="str">
        <f ca="1">IFERROR(__xludf.DUMMYFUNCTION("""COMPUTED_VALUE"""),"Intel Core i7 7700HQ 2.8GHz")</f>
        <v>Intel Core i7 7700HQ 2.8GHz</v>
      </c>
      <c r="H620" s="2" t="str">
        <f ca="1">IFERROR(__xludf.DUMMYFUNCTION("""COMPUTED_VALUE"""),"16GB")</f>
        <v>16GB</v>
      </c>
      <c r="I620" s="2" t="str">
        <f ca="1">IFERROR(__xludf.DUMMYFUNCTION("""COMPUTED_VALUE"""),"256GB SSD +  1TB HDD")</f>
        <v>256GB SSD +  1TB HDD</v>
      </c>
      <c r="J620" s="2" t="str">
        <f ca="1">IFERROR(__xludf.DUMMYFUNCTION("""COMPUTED_VALUE"""),"Nvidia GeForce GTX 1070")</f>
        <v>Nvidia GeForce GTX 1070</v>
      </c>
      <c r="K620" s="2" t="str">
        <f ca="1">IFERROR(__xludf.DUMMYFUNCTION("""COMPUTED_VALUE"""),"Windows 10")</f>
        <v>Windows 10</v>
      </c>
      <c r="L620" s="2" t="str">
        <f ca="1">IFERROR(__xludf.DUMMYFUNCTION("""COMPUTED_VALUE"""),"2.94kg")</f>
        <v>2.94kg</v>
      </c>
      <c r="M620" s="2">
        <f ca="1">IFERROR(__xludf.DUMMYFUNCTION("""COMPUTED_VALUE"""),2267.86)</f>
        <v>2267.86</v>
      </c>
    </row>
    <row r="621" spans="1:13">
      <c r="A621" s="2">
        <f ca="1">IFERROR(__xludf.DUMMYFUNCTION("""COMPUTED_VALUE"""),626)</f>
        <v>626</v>
      </c>
      <c r="B621" s="2" t="str">
        <f ca="1">IFERROR(__xludf.DUMMYFUNCTION("""COMPUTED_VALUE"""),"Acer")</f>
        <v>Acer</v>
      </c>
      <c r="C621" s="2" t="str">
        <f ca="1">IFERROR(__xludf.DUMMYFUNCTION("""COMPUTED_VALUE"""),"CB5-132T-C9KK (N3160/4GB/32GB/Chrome")</f>
        <v>CB5-132T-C9KK (N3160/4GB/32GB/Chrome</v>
      </c>
      <c r="D621" s="2" t="str">
        <f ca="1">IFERROR(__xludf.DUMMYFUNCTION("""COMPUTED_VALUE"""),"2 in 1 Convertible")</f>
        <v>2 in 1 Convertible</v>
      </c>
      <c r="E621" s="2">
        <f ca="1">IFERROR(__xludf.DUMMYFUNCTION("""COMPUTED_VALUE"""),11.6)</f>
        <v>11.6</v>
      </c>
      <c r="F621" s="2" t="str">
        <f ca="1">IFERROR(__xludf.DUMMYFUNCTION("""COMPUTED_VALUE"""),"IPS Panel Touchscreen 1366x768")</f>
        <v>IPS Panel Touchscreen 1366x768</v>
      </c>
      <c r="G621" s="2" t="str">
        <f ca="1">IFERROR(__xludf.DUMMYFUNCTION("""COMPUTED_VALUE"""),"Intel Celeron Quad Core N3160 1.6GHz")</f>
        <v>Intel Celeron Quad Core N3160 1.6GHz</v>
      </c>
      <c r="H621" s="2" t="str">
        <f ca="1">IFERROR(__xludf.DUMMYFUNCTION("""COMPUTED_VALUE"""),"4GB")</f>
        <v>4GB</v>
      </c>
      <c r="I621" s="2" t="str">
        <f ca="1">IFERROR(__xludf.DUMMYFUNCTION("""COMPUTED_VALUE"""),"32GB Flash Storage")</f>
        <v>32GB Flash Storage</v>
      </c>
      <c r="J621" s="2" t="str">
        <f ca="1">IFERROR(__xludf.DUMMYFUNCTION("""COMPUTED_VALUE"""),"Intel HD Graphics 400")</f>
        <v>Intel HD Graphics 400</v>
      </c>
      <c r="K621" s="2" t="str">
        <f ca="1">IFERROR(__xludf.DUMMYFUNCTION("""COMPUTED_VALUE"""),"Chrome OS")</f>
        <v>Chrome OS</v>
      </c>
      <c r="L621" s="2" t="str">
        <f ca="1">IFERROR(__xludf.DUMMYFUNCTION("""COMPUTED_VALUE"""),"1.25kg")</f>
        <v>1.25kg</v>
      </c>
      <c r="M621" s="2">
        <f ca="1">IFERROR(__xludf.DUMMYFUNCTION("""COMPUTED_VALUE"""),379)</f>
        <v>379</v>
      </c>
    </row>
    <row r="622" spans="1:13">
      <c r="A622" s="2">
        <f ca="1">IFERROR(__xludf.DUMMYFUNCTION("""COMPUTED_VALUE"""),627)</f>
        <v>627</v>
      </c>
      <c r="B622" s="2" t="str">
        <f ca="1">IFERROR(__xludf.DUMMYFUNCTION("""COMPUTED_VALUE"""),"HP")</f>
        <v>HP</v>
      </c>
      <c r="C622" s="2" t="str">
        <f ca="1">IFERROR(__xludf.DUMMYFUNCTION("""COMPUTED_VALUE"""),"ProBook 650")</f>
        <v>ProBook 650</v>
      </c>
      <c r="D622" s="2" t="str">
        <f ca="1">IFERROR(__xludf.DUMMYFUNCTION("""COMPUTED_VALUE"""),"Notebook")</f>
        <v>Notebook</v>
      </c>
      <c r="E622" s="2">
        <f ca="1">IFERROR(__xludf.DUMMYFUNCTION("""COMPUTED_VALUE"""),14)</f>
        <v>14</v>
      </c>
      <c r="F622" s="2" t="str">
        <f ca="1">IFERROR(__xludf.DUMMYFUNCTION("""COMPUTED_VALUE"""),"1366x768")</f>
        <v>1366x768</v>
      </c>
      <c r="G622" s="2" t="str">
        <f ca="1">IFERROR(__xludf.DUMMYFUNCTION("""COMPUTED_VALUE"""),"Intel Core i5 7300U 2.6GHz")</f>
        <v>Intel Core i5 7300U 2.6GHz</v>
      </c>
      <c r="H622" s="2" t="str">
        <f ca="1">IFERROR(__xludf.DUMMYFUNCTION("""COMPUTED_VALUE"""),"8GB")</f>
        <v>8GB</v>
      </c>
      <c r="I622" s="2" t="str">
        <f ca="1">IFERROR(__xludf.DUMMYFUNCTION("""COMPUTED_VALUE"""),"256GB SSD")</f>
        <v>256GB SSD</v>
      </c>
      <c r="J622" s="2" t="str">
        <f ca="1">IFERROR(__xludf.DUMMYFUNCTION("""COMPUTED_VALUE"""),"Intel HD Graphics 620")</f>
        <v>Intel HD Graphics 620</v>
      </c>
      <c r="K622" s="2" t="str">
        <f ca="1">IFERROR(__xludf.DUMMYFUNCTION("""COMPUTED_VALUE"""),"Windows 10")</f>
        <v>Windows 10</v>
      </c>
      <c r="L622" s="2" t="str">
        <f ca="1">IFERROR(__xludf.DUMMYFUNCTION("""COMPUTED_VALUE"""),"2.31kg")</f>
        <v>2.31kg</v>
      </c>
      <c r="M622" s="2">
        <f ca="1">IFERROR(__xludf.DUMMYFUNCTION("""COMPUTED_VALUE"""),1124)</f>
        <v>1124</v>
      </c>
    </row>
    <row r="623" spans="1:13">
      <c r="A623" s="2">
        <f ca="1">IFERROR(__xludf.DUMMYFUNCTION("""COMPUTED_VALUE"""),628)</f>
        <v>628</v>
      </c>
      <c r="B623" s="2" t="str">
        <f ca="1">IFERROR(__xludf.DUMMYFUNCTION("""COMPUTED_VALUE"""),"Lenovo")</f>
        <v>Lenovo</v>
      </c>
      <c r="C623" s="2" t="str">
        <f ca="1">IFERROR(__xludf.DUMMYFUNCTION("""COMPUTED_VALUE"""),"ThinkPad T470")</f>
        <v>ThinkPad T470</v>
      </c>
      <c r="D623" s="2" t="str">
        <f ca="1">IFERROR(__xludf.DUMMYFUNCTION("""COMPUTED_VALUE"""),"Notebook")</f>
        <v>Notebook</v>
      </c>
      <c r="E623" s="2">
        <f ca="1">IFERROR(__xludf.DUMMYFUNCTION("""COMPUTED_VALUE"""),14)</f>
        <v>14</v>
      </c>
      <c r="F623" s="2" t="str">
        <f ca="1">IFERROR(__xludf.DUMMYFUNCTION("""COMPUTED_VALUE"""),"Full HD 1920x1080")</f>
        <v>Full HD 1920x1080</v>
      </c>
      <c r="G623" s="2" t="str">
        <f ca="1">IFERROR(__xludf.DUMMYFUNCTION("""COMPUTED_VALUE"""),"Intel Core i5 6200U 2.3GHz")</f>
        <v>Intel Core i5 6200U 2.3GHz</v>
      </c>
      <c r="H623" s="2" t="str">
        <f ca="1">IFERROR(__xludf.DUMMYFUNCTION("""COMPUTED_VALUE"""),"8GB")</f>
        <v>8GB</v>
      </c>
      <c r="I623" s="2" t="str">
        <f ca="1">IFERROR(__xludf.DUMMYFUNCTION("""COMPUTED_VALUE"""),"256GB SSD")</f>
        <v>256GB SSD</v>
      </c>
      <c r="J623" s="2" t="str">
        <f ca="1">IFERROR(__xludf.DUMMYFUNCTION("""COMPUTED_VALUE"""),"Intel HD Graphics 520")</f>
        <v>Intel HD Graphics 520</v>
      </c>
      <c r="K623" s="2" t="str">
        <f ca="1">IFERROR(__xludf.DUMMYFUNCTION("""COMPUTED_VALUE"""),"Windows 7")</f>
        <v>Windows 7</v>
      </c>
      <c r="L623" s="2" t="str">
        <f ca="1">IFERROR(__xludf.DUMMYFUNCTION("""COMPUTED_VALUE"""),"1.65kg")</f>
        <v>1.65kg</v>
      </c>
      <c r="M623" s="2">
        <f ca="1">IFERROR(__xludf.DUMMYFUNCTION("""COMPUTED_VALUE"""),1465)</f>
        <v>1465</v>
      </c>
    </row>
    <row r="624" spans="1:13">
      <c r="A624" s="2">
        <f ca="1">IFERROR(__xludf.DUMMYFUNCTION("""COMPUTED_VALUE"""),629)</f>
        <v>629</v>
      </c>
      <c r="B624" s="2" t="str">
        <f ca="1">IFERROR(__xludf.DUMMYFUNCTION("""COMPUTED_VALUE"""),"Dell")</f>
        <v>Dell</v>
      </c>
      <c r="C624" s="2" t="str">
        <f ca="1">IFERROR(__xludf.DUMMYFUNCTION("""COMPUTED_VALUE"""),"Inspiron 5570")</f>
        <v>Inspiron 5570</v>
      </c>
      <c r="D624" s="2" t="str">
        <f ca="1">IFERROR(__xludf.DUMMYFUNCTION("""COMPUTED_VALUE"""),"Notebook")</f>
        <v>Notebook</v>
      </c>
      <c r="E624" s="2">
        <f ca="1">IFERROR(__xludf.DUMMYFUNCTION("""COMPUTED_VALUE"""),15.6)</f>
        <v>15.6</v>
      </c>
      <c r="F624" s="2" t="str">
        <f ca="1">IFERROR(__xludf.DUMMYFUNCTION("""COMPUTED_VALUE"""),"Full HD 1920x1080")</f>
        <v>Full HD 1920x1080</v>
      </c>
      <c r="G624" s="2" t="str">
        <f ca="1">IFERROR(__xludf.DUMMYFUNCTION("""COMPUTED_VALUE"""),"Intel Core i5 8250U 1.6GHz")</f>
        <v>Intel Core i5 8250U 1.6GHz</v>
      </c>
      <c r="H624" s="2" t="str">
        <f ca="1">IFERROR(__xludf.DUMMYFUNCTION("""COMPUTED_VALUE"""),"4GB")</f>
        <v>4GB</v>
      </c>
      <c r="I624" s="2" t="str">
        <f ca="1">IFERROR(__xludf.DUMMYFUNCTION("""COMPUTED_VALUE"""),"1TB HDD")</f>
        <v>1TB HDD</v>
      </c>
      <c r="J624" s="2" t="str">
        <f ca="1">IFERROR(__xludf.DUMMYFUNCTION("""COMPUTED_VALUE"""),"AMD Radeon 530")</f>
        <v>AMD Radeon 530</v>
      </c>
      <c r="K624" s="2" t="str">
        <f ca="1">IFERROR(__xludf.DUMMYFUNCTION("""COMPUTED_VALUE"""),"Windows 10")</f>
        <v>Windows 10</v>
      </c>
      <c r="L624" s="2" t="str">
        <f ca="1">IFERROR(__xludf.DUMMYFUNCTION("""COMPUTED_VALUE"""),"2.2kg")</f>
        <v>2.2kg</v>
      </c>
      <c r="M624" s="2">
        <f ca="1">IFERROR(__xludf.DUMMYFUNCTION("""COMPUTED_VALUE"""),776)</f>
        <v>776</v>
      </c>
    </row>
    <row r="625" spans="1:13">
      <c r="A625" s="2">
        <f ca="1">IFERROR(__xludf.DUMMYFUNCTION("""COMPUTED_VALUE"""),630)</f>
        <v>630</v>
      </c>
      <c r="B625" s="2" t="str">
        <f ca="1">IFERROR(__xludf.DUMMYFUNCTION("""COMPUTED_VALUE"""),"Fujitsu")</f>
        <v>Fujitsu</v>
      </c>
      <c r="C625" s="2" t="str">
        <f ca="1">IFERROR(__xludf.DUMMYFUNCTION("""COMPUTED_VALUE"""),"LifeBook A557")</f>
        <v>LifeBook A557</v>
      </c>
      <c r="D625" s="2" t="str">
        <f ca="1">IFERROR(__xludf.DUMMYFUNCTION("""COMPUTED_VALUE"""),"Notebook")</f>
        <v>Notebook</v>
      </c>
      <c r="E625" s="2">
        <f ca="1">IFERROR(__xludf.DUMMYFUNCTION("""COMPUTED_VALUE"""),15.6)</f>
        <v>15.6</v>
      </c>
      <c r="F625" s="2" t="str">
        <f ca="1">IFERROR(__xludf.DUMMYFUNCTION("""COMPUTED_VALUE"""),"1366x768")</f>
        <v>1366x768</v>
      </c>
      <c r="G625" s="2" t="str">
        <f ca="1">IFERROR(__xludf.DUMMYFUNCTION("""COMPUTED_VALUE"""),"Intel Core i5 7200U 2.5GHz")</f>
        <v>Intel Core i5 7200U 2.5GHz</v>
      </c>
      <c r="H625" s="2" t="str">
        <f ca="1">IFERROR(__xludf.DUMMYFUNCTION("""COMPUTED_VALUE"""),"8GB")</f>
        <v>8GB</v>
      </c>
      <c r="I625" s="2" t="str">
        <f ca="1">IFERROR(__xludf.DUMMYFUNCTION("""COMPUTED_VALUE"""),"256GB SSD")</f>
        <v>256GB SSD</v>
      </c>
      <c r="J625" s="2" t="str">
        <f ca="1">IFERROR(__xludf.DUMMYFUNCTION("""COMPUTED_VALUE"""),"Intel HD Graphics 620")</f>
        <v>Intel HD Graphics 620</v>
      </c>
      <c r="K625" s="2" t="str">
        <f ca="1">IFERROR(__xludf.DUMMYFUNCTION("""COMPUTED_VALUE"""),"Windows 10")</f>
        <v>Windows 10</v>
      </c>
      <c r="L625" s="2" t="str">
        <f ca="1">IFERROR(__xludf.DUMMYFUNCTION("""COMPUTED_VALUE"""),"2.2kg")</f>
        <v>2.2kg</v>
      </c>
      <c r="M625" s="2">
        <f ca="1">IFERROR(__xludf.DUMMYFUNCTION("""COMPUTED_VALUE"""),799)</f>
        <v>799</v>
      </c>
    </row>
    <row r="626" spans="1:13">
      <c r="A626" s="2">
        <f ca="1">IFERROR(__xludf.DUMMYFUNCTION("""COMPUTED_VALUE"""),631)</f>
        <v>631</v>
      </c>
      <c r="B626" s="2" t="str">
        <f ca="1">IFERROR(__xludf.DUMMYFUNCTION("""COMPUTED_VALUE"""),"HP")</f>
        <v>HP</v>
      </c>
      <c r="C626" s="2" t="str">
        <f ca="1">IFERROR(__xludf.DUMMYFUNCTION("""COMPUTED_VALUE"""),"EliteBook 850")</f>
        <v>EliteBook 850</v>
      </c>
      <c r="D626" s="2" t="str">
        <f ca="1">IFERROR(__xludf.DUMMYFUNCTION("""COMPUTED_VALUE"""),"Notebook")</f>
        <v>Notebook</v>
      </c>
      <c r="E626" s="2">
        <f ca="1">IFERROR(__xludf.DUMMYFUNCTION("""COMPUTED_VALUE"""),15.6)</f>
        <v>15.6</v>
      </c>
      <c r="F626" s="2" t="str">
        <f ca="1">IFERROR(__xludf.DUMMYFUNCTION("""COMPUTED_VALUE"""),"1366x768")</f>
        <v>1366x768</v>
      </c>
      <c r="G626" s="2" t="str">
        <f ca="1">IFERROR(__xludf.DUMMYFUNCTION("""COMPUTED_VALUE"""),"Intel Core i5 6200U 2.3GHz")</f>
        <v>Intel Core i5 6200U 2.3GHz</v>
      </c>
      <c r="H626" s="2" t="str">
        <f ca="1">IFERROR(__xludf.DUMMYFUNCTION("""COMPUTED_VALUE"""),"4GB")</f>
        <v>4GB</v>
      </c>
      <c r="I626" s="2" t="str">
        <f ca="1">IFERROR(__xludf.DUMMYFUNCTION("""COMPUTED_VALUE"""),"500GB HDD")</f>
        <v>500GB HDD</v>
      </c>
      <c r="J626" s="2" t="str">
        <f ca="1">IFERROR(__xludf.DUMMYFUNCTION("""COMPUTED_VALUE"""),"Intel HD Graphics 520")</f>
        <v>Intel HD Graphics 520</v>
      </c>
      <c r="K626" s="2" t="str">
        <f ca="1">IFERROR(__xludf.DUMMYFUNCTION("""COMPUTED_VALUE"""),"Windows 7")</f>
        <v>Windows 7</v>
      </c>
      <c r="L626" s="2" t="str">
        <f ca="1">IFERROR(__xludf.DUMMYFUNCTION("""COMPUTED_VALUE"""),"1.88kg")</f>
        <v>1.88kg</v>
      </c>
      <c r="M626" s="2">
        <f ca="1">IFERROR(__xludf.DUMMYFUNCTION("""COMPUTED_VALUE"""),932)</f>
        <v>932</v>
      </c>
    </row>
    <row r="627" spans="1:13">
      <c r="A627" s="2">
        <f ca="1">IFERROR(__xludf.DUMMYFUNCTION("""COMPUTED_VALUE"""),632)</f>
        <v>632</v>
      </c>
      <c r="B627" s="2" t="str">
        <f ca="1">IFERROR(__xludf.DUMMYFUNCTION("""COMPUTED_VALUE"""),"Lenovo")</f>
        <v>Lenovo</v>
      </c>
      <c r="C627" s="2" t="str">
        <f ca="1">IFERROR(__xludf.DUMMYFUNCTION("""COMPUTED_VALUE"""),"IdeaPad 320-15IKB")</f>
        <v>IdeaPad 320-15IKB</v>
      </c>
      <c r="D627" s="2" t="str">
        <f ca="1">IFERROR(__xludf.DUMMYFUNCTION("""COMPUTED_VALUE"""),"Notebook")</f>
        <v>Notebook</v>
      </c>
      <c r="E627" s="2">
        <f ca="1">IFERROR(__xludf.DUMMYFUNCTION("""COMPUTED_VALUE"""),15.6)</f>
        <v>15.6</v>
      </c>
      <c r="F627" s="2" t="str">
        <f ca="1">IFERROR(__xludf.DUMMYFUNCTION("""COMPUTED_VALUE"""),"Full HD 1920x1080")</f>
        <v>Full HD 1920x1080</v>
      </c>
      <c r="G627" s="2" t="str">
        <f ca="1">IFERROR(__xludf.DUMMYFUNCTION("""COMPUTED_VALUE"""),"Intel Core i7 7500U 2.7GHz")</f>
        <v>Intel Core i7 7500U 2.7GHz</v>
      </c>
      <c r="H627" s="2" t="str">
        <f ca="1">IFERROR(__xludf.DUMMYFUNCTION("""COMPUTED_VALUE"""),"8GB")</f>
        <v>8GB</v>
      </c>
      <c r="I627" s="2" t="str">
        <f ca="1">IFERROR(__xludf.DUMMYFUNCTION("""COMPUTED_VALUE"""),"1TB HDD")</f>
        <v>1TB HDD</v>
      </c>
      <c r="J627" s="2" t="str">
        <f ca="1">IFERROR(__xludf.DUMMYFUNCTION("""COMPUTED_VALUE"""),"Nvidia GeForce 920MX")</f>
        <v>Nvidia GeForce 920MX</v>
      </c>
      <c r="K627" s="2" t="str">
        <f ca="1">IFERROR(__xludf.DUMMYFUNCTION("""COMPUTED_VALUE"""),"Windows 10")</f>
        <v>Windows 10</v>
      </c>
      <c r="L627" s="2" t="str">
        <f ca="1">IFERROR(__xludf.DUMMYFUNCTION("""COMPUTED_VALUE"""),"2.2kg")</f>
        <v>2.2kg</v>
      </c>
      <c r="M627" s="2">
        <f ca="1">IFERROR(__xludf.DUMMYFUNCTION("""COMPUTED_VALUE"""),899)</f>
        <v>899</v>
      </c>
    </row>
    <row r="628" spans="1:13">
      <c r="A628" s="2">
        <f ca="1">IFERROR(__xludf.DUMMYFUNCTION("""COMPUTED_VALUE"""),633)</f>
        <v>633</v>
      </c>
      <c r="B628" s="2" t="str">
        <f ca="1">IFERROR(__xludf.DUMMYFUNCTION("""COMPUTED_VALUE"""),"Mediacom")</f>
        <v>Mediacom</v>
      </c>
      <c r="C628" s="2" t="str">
        <f ca="1">IFERROR(__xludf.DUMMYFUNCTION("""COMPUTED_VALUE"""),"SmartBook 140")</f>
        <v>SmartBook 140</v>
      </c>
      <c r="D628" s="2" t="str">
        <f ca="1">IFERROR(__xludf.DUMMYFUNCTION("""COMPUTED_VALUE"""),"Notebook")</f>
        <v>Notebook</v>
      </c>
      <c r="E628" s="2">
        <f ca="1">IFERROR(__xludf.DUMMYFUNCTION("""COMPUTED_VALUE"""),14)</f>
        <v>14</v>
      </c>
      <c r="F628" s="2" t="str">
        <f ca="1">IFERROR(__xludf.DUMMYFUNCTION("""COMPUTED_VALUE"""),"Full HD 1920x1080")</f>
        <v>Full HD 1920x1080</v>
      </c>
      <c r="G628" s="2" t="str">
        <f ca="1">IFERROR(__xludf.DUMMYFUNCTION("""COMPUTED_VALUE"""),"Intel Atom x5-Z8350 1.44GHz")</f>
        <v>Intel Atom x5-Z8350 1.44GHz</v>
      </c>
      <c r="H628" s="2" t="str">
        <f ca="1">IFERROR(__xludf.DUMMYFUNCTION("""COMPUTED_VALUE"""),"2GB")</f>
        <v>2GB</v>
      </c>
      <c r="I628" s="2" t="str">
        <f ca="1">IFERROR(__xludf.DUMMYFUNCTION("""COMPUTED_VALUE"""),"32GB Flash Storage")</f>
        <v>32GB Flash Storage</v>
      </c>
      <c r="J628" s="2" t="str">
        <f ca="1">IFERROR(__xludf.DUMMYFUNCTION("""COMPUTED_VALUE"""),"Intel HD Graphics")</f>
        <v>Intel HD Graphics</v>
      </c>
      <c r="K628" s="2" t="str">
        <f ca="1">IFERROR(__xludf.DUMMYFUNCTION("""COMPUTED_VALUE"""),"Windows 10")</f>
        <v>Windows 10</v>
      </c>
      <c r="L628" s="2" t="str">
        <f ca="1">IFERROR(__xludf.DUMMYFUNCTION("""COMPUTED_VALUE"""),"1.4kg")</f>
        <v>1.4kg</v>
      </c>
      <c r="M628" s="2">
        <f ca="1">IFERROR(__xludf.DUMMYFUNCTION("""COMPUTED_VALUE"""),239)</f>
        <v>239</v>
      </c>
    </row>
    <row r="629" spans="1:13">
      <c r="A629" s="2">
        <f ca="1">IFERROR(__xludf.DUMMYFUNCTION("""COMPUTED_VALUE"""),634)</f>
        <v>634</v>
      </c>
      <c r="B629" s="2" t="str">
        <f ca="1">IFERROR(__xludf.DUMMYFUNCTION("""COMPUTED_VALUE"""),"Lenovo")</f>
        <v>Lenovo</v>
      </c>
      <c r="C629" s="2" t="str">
        <f ca="1">IFERROR(__xludf.DUMMYFUNCTION("""COMPUTED_VALUE"""),"IdeaPad 320-15IKBN")</f>
        <v>IdeaPad 320-15IKBN</v>
      </c>
      <c r="D629" s="2" t="str">
        <f ca="1">IFERROR(__xludf.DUMMYFUNCTION("""COMPUTED_VALUE"""),"Notebook")</f>
        <v>Notebook</v>
      </c>
      <c r="E629" s="2">
        <f ca="1">IFERROR(__xludf.DUMMYFUNCTION("""COMPUTED_VALUE"""),15.6)</f>
        <v>15.6</v>
      </c>
      <c r="F629" s="2" t="str">
        <f ca="1">IFERROR(__xludf.DUMMYFUNCTION("""COMPUTED_VALUE"""),"Full HD 1920x1080")</f>
        <v>Full HD 1920x1080</v>
      </c>
      <c r="G629" s="2" t="str">
        <f ca="1">IFERROR(__xludf.DUMMYFUNCTION("""COMPUTED_VALUE"""),"Intel Core i5 7200U 2.5GHz")</f>
        <v>Intel Core i5 7200U 2.5GHz</v>
      </c>
      <c r="H629" s="2" t="str">
        <f ca="1">IFERROR(__xludf.DUMMYFUNCTION("""COMPUTED_VALUE"""),"4GB")</f>
        <v>4GB</v>
      </c>
      <c r="I629" s="2" t="str">
        <f ca="1">IFERROR(__xludf.DUMMYFUNCTION("""COMPUTED_VALUE"""),"128GB SSD")</f>
        <v>128GB SSD</v>
      </c>
      <c r="J629" s="2" t="str">
        <f ca="1">IFERROR(__xludf.DUMMYFUNCTION("""COMPUTED_VALUE"""),"Intel HD Graphics 620")</f>
        <v>Intel HD Graphics 620</v>
      </c>
      <c r="K629" s="2" t="str">
        <f ca="1">IFERROR(__xludf.DUMMYFUNCTION("""COMPUTED_VALUE"""),"No OS")</f>
        <v>No OS</v>
      </c>
      <c r="L629" s="2" t="str">
        <f ca="1">IFERROR(__xludf.DUMMYFUNCTION("""COMPUTED_VALUE"""),"2.2kg")</f>
        <v>2.2kg</v>
      </c>
      <c r="M629" s="2">
        <f ca="1">IFERROR(__xludf.DUMMYFUNCTION("""COMPUTED_VALUE"""),468)</f>
        <v>468</v>
      </c>
    </row>
    <row r="630" spans="1:13">
      <c r="A630" s="2">
        <f ca="1">IFERROR(__xludf.DUMMYFUNCTION("""COMPUTED_VALUE"""),635)</f>
        <v>635</v>
      </c>
      <c r="B630" s="2" t="str">
        <f ca="1">IFERROR(__xludf.DUMMYFUNCTION("""COMPUTED_VALUE"""),"Asus")</f>
        <v>Asus</v>
      </c>
      <c r="C630" s="2" t="str">
        <f ca="1">IFERROR(__xludf.DUMMYFUNCTION("""COMPUTED_VALUE"""),"Q304UA-BHI5T11 (i5-7200U/6GB/1TB/FHD/W10)")</f>
        <v>Q304UA-BHI5T11 (i5-7200U/6GB/1TB/FHD/W10)</v>
      </c>
      <c r="D630" s="2" t="str">
        <f ca="1">IFERROR(__xludf.DUMMYFUNCTION("""COMPUTED_VALUE"""),"2 in 1 Convertible")</f>
        <v>2 in 1 Convertible</v>
      </c>
      <c r="E630" s="2">
        <f ca="1">IFERROR(__xludf.DUMMYFUNCTION("""COMPUTED_VALUE"""),13.3)</f>
        <v>13.3</v>
      </c>
      <c r="F630" s="2" t="str">
        <f ca="1">IFERROR(__xludf.DUMMYFUNCTION("""COMPUTED_VALUE"""),"Full HD / Touchscreen 1920x1080")</f>
        <v>Full HD / Touchscreen 1920x1080</v>
      </c>
      <c r="G630" s="2" t="str">
        <f ca="1">IFERROR(__xludf.DUMMYFUNCTION("""COMPUTED_VALUE"""),"Intel Core i5 7200U 2.5GHz")</f>
        <v>Intel Core i5 7200U 2.5GHz</v>
      </c>
      <c r="H630" s="2" t="str">
        <f ca="1">IFERROR(__xludf.DUMMYFUNCTION("""COMPUTED_VALUE"""),"6GB")</f>
        <v>6GB</v>
      </c>
      <c r="I630" s="2" t="str">
        <f ca="1">IFERROR(__xludf.DUMMYFUNCTION("""COMPUTED_VALUE"""),"1TB HDD")</f>
        <v>1TB HDD</v>
      </c>
      <c r="J630" s="2" t="str">
        <f ca="1">IFERROR(__xludf.DUMMYFUNCTION("""COMPUTED_VALUE"""),"Intel HD Graphics 620")</f>
        <v>Intel HD Graphics 620</v>
      </c>
      <c r="K630" s="2" t="str">
        <f ca="1">IFERROR(__xludf.DUMMYFUNCTION("""COMPUTED_VALUE"""),"Windows 10")</f>
        <v>Windows 10</v>
      </c>
      <c r="L630" s="2" t="str">
        <f ca="1">IFERROR(__xludf.DUMMYFUNCTION("""COMPUTED_VALUE"""),"1.5kg")</f>
        <v>1.5kg</v>
      </c>
      <c r="M630" s="2">
        <f ca="1">IFERROR(__xludf.DUMMYFUNCTION("""COMPUTED_VALUE"""),639.01)</f>
        <v>639.01</v>
      </c>
    </row>
    <row r="631" spans="1:13">
      <c r="A631" s="2">
        <f ca="1">IFERROR(__xludf.DUMMYFUNCTION("""COMPUTED_VALUE"""),636)</f>
        <v>636</v>
      </c>
      <c r="B631" s="2" t="str">
        <f ca="1">IFERROR(__xludf.DUMMYFUNCTION("""COMPUTED_VALUE"""),"Dell")</f>
        <v>Dell</v>
      </c>
      <c r="C631" s="2" t="str">
        <f ca="1">IFERROR(__xludf.DUMMYFUNCTION("""COMPUTED_VALUE"""),"XPS 15")</f>
        <v>XPS 15</v>
      </c>
      <c r="D631" s="2" t="str">
        <f ca="1">IFERROR(__xludf.DUMMYFUNCTION("""COMPUTED_VALUE"""),"Notebook")</f>
        <v>Notebook</v>
      </c>
      <c r="E631" s="2">
        <f ca="1">IFERROR(__xludf.DUMMYFUNCTION("""COMPUTED_VALUE"""),15.6)</f>
        <v>15.6</v>
      </c>
      <c r="F631" s="2" t="str">
        <f ca="1">IFERROR(__xludf.DUMMYFUNCTION("""COMPUTED_VALUE"""),"Full HD 1920x1080")</f>
        <v>Full HD 1920x1080</v>
      </c>
      <c r="G631" s="2" t="str">
        <f ca="1">IFERROR(__xludf.DUMMYFUNCTION("""COMPUTED_VALUE"""),"Intel Core i7 7700HQ 2.8GHz")</f>
        <v>Intel Core i7 7700HQ 2.8GHz</v>
      </c>
      <c r="H631" s="2" t="str">
        <f ca="1">IFERROR(__xludf.DUMMYFUNCTION("""COMPUTED_VALUE"""),"8GB")</f>
        <v>8GB</v>
      </c>
      <c r="I631" s="2" t="str">
        <f ca="1">IFERROR(__xludf.DUMMYFUNCTION("""COMPUTED_VALUE"""),"256GB SSD")</f>
        <v>256GB SSD</v>
      </c>
      <c r="J631" s="2" t="str">
        <f ca="1">IFERROR(__xludf.DUMMYFUNCTION("""COMPUTED_VALUE"""),"Nvidia GeForce GTX 1050")</f>
        <v>Nvidia GeForce GTX 1050</v>
      </c>
      <c r="K631" s="2" t="str">
        <f ca="1">IFERROR(__xludf.DUMMYFUNCTION("""COMPUTED_VALUE"""),"Windows 10")</f>
        <v>Windows 10</v>
      </c>
      <c r="L631" s="2" t="str">
        <f ca="1">IFERROR(__xludf.DUMMYFUNCTION("""COMPUTED_VALUE"""),"2kg")</f>
        <v>2kg</v>
      </c>
      <c r="M631" s="2">
        <f ca="1">IFERROR(__xludf.DUMMYFUNCTION("""COMPUTED_VALUE"""),1820)</f>
        <v>1820</v>
      </c>
    </row>
    <row r="632" spans="1:13">
      <c r="A632" s="2">
        <f ca="1">IFERROR(__xludf.DUMMYFUNCTION("""COMPUTED_VALUE"""),637)</f>
        <v>637</v>
      </c>
      <c r="B632" s="2" t="str">
        <f ca="1">IFERROR(__xludf.DUMMYFUNCTION("""COMPUTED_VALUE"""),"Asus")</f>
        <v>Asus</v>
      </c>
      <c r="C632" s="2" t="str">
        <f ca="1">IFERROR(__xludf.DUMMYFUNCTION("""COMPUTED_VALUE"""),"ZenBook 3")</f>
        <v>ZenBook 3</v>
      </c>
      <c r="D632" s="2" t="str">
        <f ca="1">IFERROR(__xludf.DUMMYFUNCTION("""COMPUTED_VALUE"""),"Ultrabook")</f>
        <v>Ultrabook</v>
      </c>
      <c r="E632" s="2">
        <f ca="1">IFERROR(__xludf.DUMMYFUNCTION("""COMPUTED_VALUE"""),14)</f>
        <v>14</v>
      </c>
      <c r="F632" s="2" t="str">
        <f ca="1">IFERROR(__xludf.DUMMYFUNCTION("""COMPUTED_VALUE"""),"Full HD 1920x1080")</f>
        <v>Full HD 1920x1080</v>
      </c>
      <c r="G632" s="2" t="str">
        <f ca="1">IFERROR(__xludf.DUMMYFUNCTION("""COMPUTED_VALUE"""),"Intel Core i7 7500U 2.7GHz")</f>
        <v>Intel Core i7 7500U 2.7GHz</v>
      </c>
      <c r="H632" s="2" t="str">
        <f ca="1">IFERROR(__xludf.DUMMYFUNCTION("""COMPUTED_VALUE"""),"16GB")</f>
        <v>16GB</v>
      </c>
      <c r="I632" s="2" t="str">
        <f ca="1">IFERROR(__xludf.DUMMYFUNCTION("""COMPUTED_VALUE"""),"512GB SSD")</f>
        <v>512GB SSD</v>
      </c>
      <c r="J632" s="2" t="str">
        <f ca="1">IFERROR(__xludf.DUMMYFUNCTION("""COMPUTED_VALUE"""),"Intel HD Graphics 620")</f>
        <v>Intel HD Graphics 620</v>
      </c>
      <c r="K632" s="2" t="str">
        <f ca="1">IFERROR(__xludf.DUMMYFUNCTION("""COMPUTED_VALUE"""),"Windows 10")</f>
        <v>Windows 10</v>
      </c>
      <c r="L632" s="2" t="str">
        <f ca="1">IFERROR(__xludf.DUMMYFUNCTION("""COMPUTED_VALUE"""),"1.1kg")</f>
        <v>1.1kg</v>
      </c>
      <c r="M632" s="2">
        <f ca="1">IFERROR(__xludf.DUMMYFUNCTION("""COMPUTED_VALUE"""),1900)</f>
        <v>1900</v>
      </c>
    </row>
    <row r="633" spans="1:13">
      <c r="A633" s="2">
        <f ca="1">IFERROR(__xludf.DUMMYFUNCTION("""COMPUTED_VALUE"""),639)</f>
        <v>639</v>
      </c>
      <c r="B633" s="2" t="str">
        <f ca="1">IFERROR(__xludf.DUMMYFUNCTION("""COMPUTED_VALUE"""),"Dell")</f>
        <v>Dell</v>
      </c>
      <c r="C633" s="2" t="str">
        <f ca="1">IFERROR(__xludf.DUMMYFUNCTION("""COMPUTED_VALUE"""),"Inspiron 7567")</f>
        <v>Inspiron 7567</v>
      </c>
      <c r="D633" s="2" t="str">
        <f ca="1">IFERROR(__xludf.DUMMYFUNCTION("""COMPUTED_VALUE"""),"Gaming")</f>
        <v>Gaming</v>
      </c>
      <c r="E633" s="2">
        <f ca="1">IFERROR(__xludf.DUMMYFUNCTION("""COMPUTED_VALUE"""),15.6)</f>
        <v>15.6</v>
      </c>
      <c r="F633" s="2" t="str">
        <f ca="1">IFERROR(__xludf.DUMMYFUNCTION("""COMPUTED_VALUE"""),"Full HD 1920x1080")</f>
        <v>Full HD 1920x1080</v>
      </c>
      <c r="G633" s="2" t="str">
        <f ca="1">IFERROR(__xludf.DUMMYFUNCTION("""COMPUTED_VALUE"""),"Intel Core i7 7700HQ 2.8GHz")</f>
        <v>Intel Core i7 7700HQ 2.8GHz</v>
      </c>
      <c r="H633" s="2" t="str">
        <f ca="1">IFERROR(__xludf.DUMMYFUNCTION("""COMPUTED_VALUE"""),"16GB")</f>
        <v>16GB</v>
      </c>
      <c r="I633" s="2" t="str">
        <f ca="1">IFERROR(__xludf.DUMMYFUNCTION("""COMPUTED_VALUE"""),"256GB SSD +  1TB HDD")</f>
        <v>256GB SSD +  1TB HDD</v>
      </c>
      <c r="J633" s="2" t="str">
        <f ca="1">IFERROR(__xludf.DUMMYFUNCTION("""COMPUTED_VALUE"""),"Nvidia GeForce GTX 1050 Ti")</f>
        <v>Nvidia GeForce GTX 1050 Ti</v>
      </c>
      <c r="K633" s="2" t="str">
        <f ca="1">IFERROR(__xludf.DUMMYFUNCTION("""COMPUTED_VALUE"""),"Windows 10")</f>
        <v>Windows 10</v>
      </c>
      <c r="L633" s="2" t="str">
        <f ca="1">IFERROR(__xludf.DUMMYFUNCTION("""COMPUTED_VALUE"""),"2.62kg")</f>
        <v>2.62kg</v>
      </c>
      <c r="M633" s="2">
        <f ca="1">IFERROR(__xludf.DUMMYFUNCTION("""COMPUTED_VALUE"""),1479)</f>
        <v>1479</v>
      </c>
    </row>
    <row r="634" spans="1:13">
      <c r="A634" s="2">
        <f ca="1">IFERROR(__xludf.DUMMYFUNCTION("""COMPUTED_VALUE"""),640)</f>
        <v>640</v>
      </c>
      <c r="B634" s="2" t="str">
        <f ca="1">IFERROR(__xludf.DUMMYFUNCTION("""COMPUTED_VALUE"""),"Lenovo")</f>
        <v>Lenovo</v>
      </c>
      <c r="C634" s="2" t="str">
        <f ca="1">IFERROR(__xludf.DUMMYFUNCTION("""COMPUTED_VALUE"""),"V330-15IKB (i5-8250U/4GB/256GB/FHD/W10)")</f>
        <v>V330-15IKB (i5-8250U/4GB/256GB/FHD/W10)</v>
      </c>
      <c r="D634" s="2" t="str">
        <f ca="1">IFERROR(__xludf.DUMMYFUNCTION("""COMPUTED_VALUE"""),"Notebook")</f>
        <v>Notebook</v>
      </c>
      <c r="E634" s="2">
        <f ca="1">IFERROR(__xludf.DUMMYFUNCTION("""COMPUTED_VALUE"""),15.6)</f>
        <v>15.6</v>
      </c>
      <c r="F634" s="2" t="str">
        <f ca="1">IFERROR(__xludf.DUMMYFUNCTION("""COMPUTED_VALUE"""),"Full HD 1920x1080")</f>
        <v>Full HD 1920x1080</v>
      </c>
      <c r="G634" s="2" t="str">
        <f ca="1">IFERROR(__xludf.DUMMYFUNCTION("""COMPUTED_VALUE"""),"Intel Core i5 8250U 1.6GHz")</f>
        <v>Intel Core i5 8250U 1.6GHz</v>
      </c>
      <c r="H634" s="2" t="str">
        <f ca="1">IFERROR(__xludf.DUMMYFUNCTION("""COMPUTED_VALUE"""),"4GB")</f>
        <v>4GB</v>
      </c>
      <c r="I634" s="2" t="str">
        <f ca="1">IFERROR(__xludf.DUMMYFUNCTION("""COMPUTED_VALUE"""),"256GB SSD")</f>
        <v>256GB SSD</v>
      </c>
      <c r="J634" s="2" t="str">
        <f ca="1">IFERROR(__xludf.DUMMYFUNCTION("""COMPUTED_VALUE"""),"Intel UHD Graphics 620")</f>
        <v>Intel UHD Graphics 620</v>
      </c>
      <c r="K634" s="2" t="str">
        <f ca="1">IFERROR(__xludf.DUMMYFUNCTION("""COMPUTED_VALUE"""),"Windows 10")</f>
        <v>Windows 10</v>
      </c>
      <c r="L634" s="2" t="str">
        <f ca="1">IFERROR(__xludf.DUMMYFUNCTION("""COMPUTED_VALUE"""),"1.8kg")</f>
        <v>1.8kg</v>
      </c>
      <c r="M634" s="2">
        <f ca="1">IFERROR(__xludf.DUMMYFUNCTION("""COMPUTED_VALUE"""),829)</f>
        <v>829</v>
      </c>
    </row>
    <row r="635" spans="1:13">
      <c r="A635" s="2">
        <f ca="1">IFERROR(__xludf.DUMMYFUNCTION("""COMPUTED_VALUE"""),641)</f>
        <v>641</v>
      </c>
      <c r="B635" s="2" t="str">
        <f ca="1">IFERROR(__xludf.DUMMYFUNCTION("""COMPUTED_VALUE"""),"Lenovo")</f>
        <v>Lenovo</v>
      </c>
      <c r="C635" s="2" t="str">
        <f ca="1">IFERROR(__xludf.DUMMYFUNCTION("""COMPUTED_VALUE"""),"Ideapad 320-15ISK")</f>
        <v>Ideapad 320-15ISK</v>
      </c>
      <c r="D635" s="2" t="str">
        <f ca="1">IFERROR(__xludf.DUMMYFUNCTION("""COMPUTED_VALUE"""),"Notebook")</f>
        <v>Notebook</v>
      </c>
      <c r="E635" s="2">
        <f ca="1">IFERROR(__xludf.DUMMYFUNCTION("""COMPUTED_VALUE"""),15.6)</f>
        <v>15.6</v>
      </c>
      <c r="F635" s="2" t="str">
        <f ca="1">IFERROR(__xludf.DUMMYFUNCTION("""COMPUTED_VALUE"""),"Full HD 1920x1080")</f>
        <v>Full HD 1920x1080</v>
      </c>
      <c r="G635" s="2" t="str">
        <f ca="1">IFERROR(__xludf.DUMMYFUNCTION("""COMPUTED_VALUE"""),"Intel Core i3 6006U 2GHz")</f>
        <v>Intel Core i3 6006U 2GHz</v>
      </c>
      <c r="H635" s="2" t="str">
        <f ca="1">IFERROR(__xludf.DUMMYFUNCTION("""COMPUTED_VALUE"""),"4GB")</f>
        <v>4GB</v>
      </c>
      <c r="I635" s="2" t="str">
        <f ca="1">IFERROR(__xludf.DUMMYFUNCTION("""COMPUTED_VALUE"""),"1TB HDD")</f>
        <v>1TB HDD</v>
      </c>
      <c r="J635" s="2" t="str">
        <f ca="1">IFERROR(__xludf.DUMMYFUNCTION("""COMPUTED_VALUE"""),"Nvidia GeForce 920MX ")</f>
        <v xml:space="preserve">Nvidia GeForce 920MX </v>
      </c>
      <c r="K635" s="2" t="str">
        <f ca="1">IFERROR(__xludf.DUMMYFUNCTION("""COMPUTED_VALUE"""),"Windows 10")</f>
        <v>Windows 10</v>
      </c>
      <c r="L635" s="2" t="str">
        <f ca="1">IFERROR(__xludf.DUMMYFUNCTION("""COMPUTED_VALUE"""),"2.2kg")</f>
        <v>2.2kg</v>
      </c>
      <c r="M635" s="2">
        <f ca="1">IFERROR(__xludf.DUMMYFUNCTION("""COMPUTED_VALUE"""),579)</f>
        <v>579</v>
      </c>
    </row>
    <row r="636" spans="1:13">
      <c r="A636" s="2">
        <f ca="1">IFERROR(__xludf.DUMMYFUNCTION("""COMPUTED_VALUE"""),642)</f>
        <v>642</v>
      </c>
      <c r="B636" s="2" t="str">
        <f ca="1">IFERROR(__xludf.DUMMYFUNCTION("""COMPUTED_VALUE"""),"Asus")</f>
        <v>Asus</v>
      </c>
      <c r="C636" s="2" t="str">
        <f ca="1">IFERROR(__xludf.DUMMYFUNCTION("""COMPUTED_VALUE"""),"X541NA-GO414T (N3350/8GB/1TB/W10)")</f>
        <v>X541NA-GO414T (N3350/8GB/1TB/W10)</v>
      </c>
      <c r="D636" s="2" t="str">
        <f ca="1">IFERROR(__xludf.DUMMYFUNCTION("""COMPUTED_VALUE"""),"Notebook")</f>
        <v>Notebook</v>
      </c>
      <c r="E636" s="2">
        <f ca="1">IFERROR(__xludf.DUMMYFUNCTION("""COMPUTED_VALUE"""),15.6)</f>
        <v>15.6</v>
      </c>
      <c r="F636" s="2" t="str">
        <f ca="1">IFERROR(__xludf.DUMMYFUNCTION("""COMPUTED_VALUE"""),"1366x768")</f>
        <v>1366x768</v>
      </c>
      <c r="G636" s="2" t="str">
        <f ca="1">IFERROR(__xludf.DUMMYFUNCTION("""COMPUTED_VALUE"""),"Intel Celeron Dual Core N3350 1.1GHz")</f>
        <v>Intel Celeron Dual Core N3350 1.1GHz</v>
      </c>
      <c r="H636" s="2" t="str">
        <f ca="1">IFERROR(__xludf.DUMMYFUNCTION("""COMPUTED_VALUE"""),"8GB")</f>
        <v>8GB</v>
      </c>
      <c r="I636" s="2" t="str">
        <f ca="1">IFERROR(__xludf.DUMMYFUNCTION("""COMPUTED_VALUE"""),"1TB HDD")</f>
        <v>1TB HDD</v>
      </c>
      <c r="J636" s="2" t="str">
        <f ca="1">IFERROR(__xludf.DUMMYFUNCTION("""COMPUTED_VALUE"""),"Intel HD Graphics 500")</f>
        <v>Intel HD Graphics 500</v>
      </c>
      <c r="K636" s="2" t="str">
        <f ca="1">IFERROR(__xludf.DUMMYFUNCTION("""COMPUTED_VALUE"""),"Windows 10")</f>
        <v>Windows 10</v>
      </c>
      <c r="L636" s="2" t="str">
        <f ca="1">IFERROR(__xludf.DUMMYFUNCTION("""COMPUTED_VALUE"""),"2kg")</f>
        <v>2kg</v>
      </c>
      <c r="M636" s="2">
        <f ca="1">IFERROR(__xludf.DUMMYFUNCTION("""COMPUTED_VALUE"""),399)</f>
        <v>399</v>
      </c>
    </row>
    <row r="637" spans="1:13">
      <c r="A637" s="2">
        <f ca="1">IFERROR(__xludf.DUMMYFUNCTION("""COMPUTED_VALUE"""),643)</f>
        <v>643</v>
      </c>
      <c r="B637" s="2" t="str">
        <f ca="1">IFERROR(__xludf.DUMMYFUNCTION("""COMPUTED_VALUE"""),"Asus")</f>
        <v>Asus</v>
      </c>
      <c r="C637" s="2" t="str">
        <f ca="1">IFERROR(__xludf.DUMMYFUNCTION("""COMPUTED_VALUE"""),"VivoBook Pro")</f>
        <v>VivoBook Pro</v>
      </c>
      <c r="D637" s="2" t="str">
        <f ca="1">IFERROR(__xludf.DUMMYFUNCTION("""COMPUTED_VALUE"""),"Notebook")</f>
        <v>Notebook</v>
      </c>
      <c r="E637" s="2">
        <f ca="1">IFERROR(__xludf.DUMMYFUNCTION("""COMPUTED_VALUE"""),15.6)</f>
        <v>15.6</v>
      </c>
      <c r="F637" s="2" t="str">
        <f ca="1">IFERROR(__xludf.DUMMYFUNCTION("""COMPUTED_VALUE"""),"Full HD 1920x1080")</f>
        <v>Full HD 1920x1080</v>
      </c>
      <c r="G637" s="2" t="str">
        <f ca="1">IFERROR(__xludf.DUMMYFUNCTION("""COMPUTED_VALUE"""),"Intel Core i5 7300HQ 2.5GHz")</f>
        <v>Intel Core i5 7300HQ 2.5GHz</v>
      </c>
      <c r="H637" s="2" t="str">
        <f ca="1">IFERROR(__xludf.DUMMYFUNCTION("""COMPUTED_VALUE"""),"8GB")</f>
        <v>8GB</v>
      </c>
      <c r="I637" s="2" t="str">
        <f ca="1">IFERROR(__xludf.DUMMYFUNCTION("""COMPUTED_VALUE"""),"1TB HDD")</f>
        <v>1TB HDD</v>
      </c>
      <c r="J637" s="2" t="str">
        <f ca="1">IFERROR(__xludf.DUMMYFUNCTION("""COMPUTED_VALUE"""),"Nvidia GeForce GTX 1050")</f>
        <v>Nvidia GeForce GTX 1050</v>
      </c>
      <c r="K637" s="2" t="str">
        <f ca="1">IFERROR(__xludf.DUMMYFUNCTION("""COMPUTED_VALUE"""),"Windows 10")</f>
        <v>Windows 10</v>
      </c>
      <c r="L637" s="2" t="str">
        <f ca="1">IFERROR(__xludf.DUMMYFUNCTION("""COMPUTED_VALUE"""),"1.99kg")</f>
        <v>1.99kg</v>
      </c>
      <c r="M637" s="2">
        <f ca="1">IFERROR(__xludf.DUMMYFUNCTION("""COMPUTED_VALUE"""),906.62)</f>
        <v>906.62</v>
      </c>
    </row>
    <row r="638" spans="1:13">
      <c r="A638" s="2">
        <f ca="1">IFERROR(__xludf.DUMMYFUNCTION("""COMPUTED_VALUE"""),644)</f>
        <v>644</v>
      </c>
      <c r="B638" s="2" t="str">
        <f ca="1">IFERROR(__xludf.DUMMYFUNCTION("""COMPUTED_VALUE"""),"Dell")</f>
        <v>Dell</v>
      </c>
      <c r="C638" s="2" t="str">
        <f ca="1">IFERROR(__xludf.DUMMYFUNCTION("""COMPUTED_VALUE"""),"XPS 13")</f>
        <v>XPS 13</v>
      </c>
      <c r="D638" s="2" t="str">
        <f ca="1">IFERROR(__xludf.DUMMYFUNCTION("""COMPUTED_VALUE"""),"Ultrabook")</f>
        <v>Ultrabook</v>
      </c>
      <c r="E638" s="2">
        <f ca="1">IFERROR(__xludf.DUMMYFUNCTION("""COMPUTED_VALUE"""),13.3)</f>
        <v>13.3</v>
      </c>
      <c r="F638" s="2" t="str">
        <f ca="1">IFERROR(__xludf.DUMMYFUNCTION("""COMPUTED_VALUE"""),"Quad HD+ / Touchscreen 3200x1800")</f>
        <v>Quad HD+ / Touchscreen 3200x1800</v>
      </c>
      <c r="G638" s="2" t="str">
        <f ca="1">IFERROR(__xludf.DUMMYFUNCTION("""COMPUTED_VALUE"""),"Intel Core i5 8250U 1.6GHz")</f>
        <v>Intel Core i5 8250U 1.6GHz</v>
      </c>
      <c r="H638" s="2" t="str">
        <f ca="1">IFERROR(__xludf.DUMMYFUNCTION("""COMPUTED_VALUE"""),"8GB")</f>
        <v>8GB</v>
      </c>
      <c r="I638" s="2" t="str">
        <f ca="1">IFERROR(__xludf.DUMMYFUNCTION("""COMPUTED_VALUE"""),"256GB SSD")</f>
        <v>256GB SSD</v>
      </c>
      <c r="J638" s="2" t="str">
        <f ca="1">IFERROR(__xludf.DUMMYFUNCTION("""COMPUTED_VALUE"""),"Intel UHD Graphics 620")</f>
        <v>Intel UHD Graphics 620</v>
      </c>
      <c r="K638" s="2" t="str">
        <f ca="1">IFERROR(__xludf.DUMMYFUNCTION("""COMPUTED_VALUE"""),"Windows 10")</f>
        <v>Windows 10</v>
      </c>
      <c r="L638" s="2" t="str">
        <f ca="1">IFERROR(__xludf.DUMMYFUNCTION("""COMPUTED_VALUE"""),"1.23kg")</f>
        <v>1.23kg</v>
      </c>
      <c r="M638" s="2">
        <f ca="1">IFERROR(__xludf.DUMMYFUNCTION("""COMPUTED_VALUE"""),1869)</f>
        <v>1869</v>
      </c>
    </row>
    <row r="639" spans="1:13">
      <c r="A639" s="2">
        <f ca="1">IFERROR(__xludf.DUMMYFUNCTION("""COMPUTED_VALUE"""),645)</f>
        <v>645</v>
      </c>
      <c r="B639" s="2" t="str">
        <f ca="1">IFERROR(__xludf.DUMMYFUNCTION("""COMPUTED_VALUE"""),"Lenovo")</f>
        <v>Lenovo</v>
      </c>
      <c r="C639" s="2" t="str">
        <f ca="1">IFERROR(__xludf.DUMMYFUNCTION("""COMPUTED_VALUE"""),"IdeaPad 100S-14IBR")</f>
        <v>IdeaPad 100S-14IBR</v>
      </c>
      <c r="D639" s="2" t="str">
        <f ca="1">IFERROR(__xludf.DUMMYFUNCTION("""COMPUTED_VALUE"""),"Notebook")</f>
        <v>Notebook</v>
      </c>
      <c r="E639" s="2">
        <f ca="1">IFERROR(__xludf.DUMMYFUNCTION("""COMPUTED_VALUE"""),14)</f>
        <v>14</v>
      </c>
      <c r="F639" s="2" t="str">
        <f ca="1">IFERROR(__xludf.DUMMYFUNCTION("""COMPUTED_VALUE"""),"1366x768")</f>
        <v>1366x768</v>
      </c>
      <c r="G639" s="2" t="str">
        <f ca="1">IFERROR(__xludf.DUMMYFUNCTION("""COMPUTED_VALUE"""),"Intel Celeron Dual Core N3060 1.6GHz")</f>
        <v>Intel Celeron Dual Core N3060 1.6GHz</v>
      </c>
      <c r="H639" s="2" t="str">
        <f ca="1">IFERROR(__xludf.DUMMYFUNCTION("""COMPUTED_VALUE"""),"2GB")</f>
        <v>2GB</v>
      </c>
      <c r="I639" s="2" t="str">
        <f ca="1">IFERROR(__xludf.DUMMYFUNCTION("""COMPUTED_VALUE"""),"32GB Flash Storage")</f>
        <v>32GB Flash Storage</v>
      </c>
      <c r="J639" s="2" t="str">
        <f ca="1">IFERROR(__xludf.DUMMYFUNCTION("""COMPUTED_VALUE"""),"Intel HD Graphics 400")</f>
        <v>Intel HD Graphics 400</v>
      </c>
      <c r="K639" s="2" t="str">
        <f ca="1">IFERROR(__xludf.DUMMYFUNCTION("""COMPUTED_VALUE"""),"Windows 10")</f>
        <v>Windows 10</v>
      </c>
      <c r="L639" s="2" t="str">
        <f ca="1">IFERROR(__xludf.DUMMYFUNCTION("""COMPUTED_VALUE"""),"1.42kg")</f>
        <v>1.42kg</v>
      </c>
      <c r="M639" s="2">
        <f ca="1">IFERROR(__xludf.DUMMYFUNCTION("""COMPUTED_VALUE"""),249)</f>
        <v>249</v>
      </c>
    </row>
    <row r="640" spans="1:13">
      <c r="A640" s="2">
        <f ca="1">IFERROR(__xludf.DUMMYFUNCTION("""COMPUTED_VALUE"""),646)</f>
        <v>646</v>
      </c>
      <c r="B640" s="2" t="str">
        <f ca="1">IFERROR(__xludf.DUMMYFUNCTION("""COMPUTED_VALUE"""),"Lenovo")</f>
        <v>Lenovo</v>
      </c>
      <c r="C640" s="2" t="str">
        <f ca="1">IFERROR(__xludf.DUMMYFUNCTION("""COMPUTED_VALUE"""),"Thinkpad Yoga")</f>
        <v>Thinkpad Yoga</v>
      </c>
      <c r="D640" s="2" t="str">
        <f ca="1">IFERROR(__xludf.DUMMYFUNCTION("""COMPUTED_VALUE"""),"2 in 1 Convertible")</f>
        <v>2 in 1 Convertible</v>
      </c>
      <c r="E640" s="2">
        <f ca="1">IFERROR(__xludf.DUMMYFUNCTION("""COMPUTED_VALUE"""),13.3)</f>
        <v>13.3</v>
      </c>
      <c r="F640" s="2" t="str">
        <f ca="1">IFERROR(__xludf.DUMMYFUNCTION("""COMPUTED_VALUE"""),"IPS Panel Full HD / Touchscreen 1920x1080")</f>
        <v>IPS Panel Full HD / Touchscreen 1920x1080</v>
      </c>
      <c r="G640" s="2" t="str">
        <f ca="1">IFERROR(__xludf.DUMMYFUNCTION("""COMPUTED_VALUE"""),"Intel Core i7 7500U 2.7GHz")</f>
        <v>Intel Core i7 7500U 2.7GHz</v>
      </c>
      <c r="H640" s="2" t="str">
        <f ca="1">IFERROR(__xludf.DUMMYFUNCTION("""COMPUTED_VALUE"""),"8GB")</f>
        <v>8GB</v>
      </c>
      <c r="I640" s="2" t="str">
        <f ca="1">IFERROR(__xludf.DUMMYFUNCTION("""COMPUTED_VALUE"""),"256GB SSD")</f>
        <v>256GB SSD</v>
      </c>
      <c r="J640" s="2" t="str">
        <f ca="1">IFERROR(__xludf.DUMMYFUNCTION("""COMPUTED_VALUE"""),"Intel HD Graphics 620")</f>
        <v>Intel HD Graphics 620</v>
      </c>
      <c r="K640" s="2" t="str">
        <f ca="1">IFERROR(__xludf.DUMMYFUNCTION("""COMPUTED_VALUE"""),"Windows 10")</f>
        <v>Windows 10</v>
      </c>
      <c r="L640" s="2" t="str">
        <f ca="1">IFERROR(__xludf.DUMMYFUNCTION("""COMPUTED_VALUE"""),"1.37kg")</f>
        <v>1.37kg</v>
      </c>
      <c r="M640" s="2">
        <f ca="1">IFERROR(__xludf.DUMMYFUNCTION("""COMPUTED_VALUE"""),1757.42)</f>
        <v>1757.42</v>
      </c>
    </row>
    <row r="641" spans="1:13">
      <c r="A641" s="2">
        <f ca="1">IFERROR(__xludf.DUMMYFUNCTION("""COMPUTED_VALUE"""),647)</f>
        <v>647</v>
      </c>
      <c r="B641" s="2" t="str">
        <f ca="1">IFERROR(__xludf.DUMMYFUNCTION("""COMPUTED_VALUE"""),"Dell")</f>
        <v>Dell</v>
      </c>
      <c r="C641" s="2" t="str">
        <f ca="1">IFERROR(__xludf.DUMMYFUNCTION("""COMPUTED_VALUE"""),"XPS 15")</f>
        <v>XPS 15</v>
      </c>
      <c r="D641" s="2" t="str">
        <f ca="1">IFERROR(__xludf.DUMMYFUNCTION("""COMPUTED_VALUE"""),"Notebook")</f>
        <v>Notebook</v>
      </c>
      <c r="E641" s="2">
        <f ca="1">IFERROR(__xludf.DUMMYFUNCTION("""COMPUTED_VALUE"""),15.6)</f>
        <v>15.6</v>
      </c>
      <c r="F641" s="2" t="str">
        <f ca="1">IFERROR(__xludf.DUMMYFUNCTION("""COMPUTED_VALUE"""),"4K Ultra HD / Touchscreen 3840x2160")</f>
        <v>4K Ultra HD / Touchscreen 3840x2160</v>
      </c>
      <c r="G641" s="2" t="str">
        <f ca="1">IFERROR(__xludf.DUMMYFUNCTION("""COMPUTED_VALUE"""),"Intel Core i7 7700HQ 2.8GHz")</f>
        <v>Intel Core i7 7700HQ 2.8GHz</v>
      </c>
      <c r="H641" s="2" t="str">
        <f ca="1">IFERROR(__xludf.DUMMYFUNCTION("""COMPUTED_VALUE"""),"16GB")</f>
        <v>16GB</v>
      </c>
      <c r="I641" s="2" t="str">
        <f ca="1">IFERROR(__xludf.DUMMYFUNCTION("""COMPUTED_VALUE"""),"1TB SSD")</f>
        <v>1TB SSD</v>
      </c>
      <c r="J641" s="2" t="str">
        <f ca="1">IFERROR(__xludf.DUMMYFUNCTION("""COMPUTED_VALUE"""),"Nvidia GeForce GTX 1050")</f>
        <v>Nvidia GeForce GTX 1050</v>
      </c>
      <c r="K641" s="2" t="str">
        <f ca="1">IFERROR(__xludf.DUMMYFUNCTION("""COMPUTED_VALUE"""),"Windows 10")</f>
        <v>Windows 10</v>
      </c>
      <c r="L641" s="2" t="str">
        <f ca="1">IFERROR(__xludf.DUMMYFUNCTION("""COMPUTED_VALUE"""),"2.06kg")</f>
        <v>2.06kg</v>
      </c>
      <c r="M641" s="2">
        <f ca="1">IFERROR(__xludf.DUMMYFUNCTION("""COMPUTED_VALUE"""),2399)</f>
        <v>2399</v>
      </c>
    </row>
    <row r="642" spans="1:13">
      <c r="A642" s="2">
        <f ca="1">IFERROR(__xludf.DUMMYFUNCTION("""COMPUTED_VALUE"""),648)</f>
        <v>648</v>
      </c>
      <c r="B642" s="2" t="str">
        <f ca="1">IFERROR(__xludf.DUMMYFUNCTION("""COMPUTED_VALUE"""),"Lenovo")</f>
        <v>Lenovo</v>
      </c>
      <c r="C642" s="2" t="str">
        <f ca="1">IFERROR(__xludf.DUMMYFUNCTION("""COMPUTED_VALUE"""),"Legion Y520-15IKBN")</f>
        <v>Legion Y520-15IKBN</v>
      </c>
      <c r="D642" s="2" t="str">
        <f ca="1">IFERROR(__xludf.DUMMYFUNCTION("""COMPUTED_VALUE"""),"Gaming")</f>
        <v>Gaming</v>
      </c>
      <c r="E642" s="2">
        <f ca="1">IFERROR(__xludf.DUMMYFUNCTION("""COMPUTED_VALUE"""),15.6)</f>
        <v>15.6</v>
      </c>
      <c r="F642" s="2" t="str">
        <f ca="1">IFERROR(__xludf.DUMMYFUNCTION("""COMPUTED_VALUE"""),"IPS Panel Full HD 1920x1080")</f>
        <v>IPS Panel Full HD 1920x1080</v>
      </c>
      <c r="G642" s="2" t="str">
        <f ca="1">IFERROR(__xludf.DUMMYFUNCTION("""COMPUTED_VALUE"""),"Intel Core i7 7700HQ 2.8GHz")</f>
        <v>Intel Core i7 7700HQ 2.8GHz</v>
      </c>
      <c r="H642" s="2" t="str">
        <f ca="1">IFERROR(__xludf.DUMMYFUNCTION("""COMPUTED_VALUE"""),"8GB")</f>
        <v>8GB</v>
      </c>
      <c r="I642" s="2" t="str">
        <f ca="1">IFERROR(__xludf.DUMMYFUNCTION("""COMPUTED_VALUE"""),"128GB SSD +  1TB HDD")</f>
        <v>128GB SSD +  1TB HDD</v>
      </c>
      <c r="J642" s="2" t="str">
        <f ca="1">IFERROR(__xludf.DUMMYFUNCTION("""COMPUTED_VALUE"""),"Nvidia GeForce GTX 1050M")</f>
        <v>Nvidia GeForce GTX 1050M</v>
      </c>
      <c r="K642" s="2" t="str">
        <f ca="1">IFERROR(__xludf.DUMMYFUNCTION("""COMPUTED_VALUE"""),"Windows 10")</f>
        <v>Windows 10</v>
      </c>
      <c r="L642" s="2" t="str">
        <f ca="1">IFERROR(__xludf.DUMMYFUNCTION("""COMPUTED_VALUE"""),"2.5kg")</f>
        <v>2.5kg</v>
      </c>
      <c r="M642" s="2">
        <f ca="1">IFERROR(__xludf.DUMMYFUNCTION("""COMPUTED_VALUE"""),1109)</f>
        <v>1109</v>
      </c>
    </row>
    <row r="643" spans="1:13">
      <c r="A643" s="2">
        <f ca="1">IFERROR(__xludf.DUMMYFUNCTION("""COMPUTED_VALUE"""),649)</f>
        <v>649</v>
      </c>
      <c r="B643" s="2" t="str">
        <f ca="1">IFERROR(__xludf.DUMMYFUNCTION("""COMPUTED_VALUE"""),"HP")</f>
        <v>HP</v>
      </c>
      <c r="C643" s="2" t="str">
        <f ca="1">IFERROR(__xludf.DUMMYFUNCTION("""COMPUTED_VALUE"""),"17-AK091ND (A9-9420/8GB/1TB/W10)")</f>
        <v>17-AK091ND (A9-9420/8GB/1TB/W10)</v>
      </c>
      <c r="D643" s="2" t="str">
        <f ca="1">IFERROR(__xludf.DUMMYFUNCTION("""COMPUTED_VALUE"""),"Notebook")</f>
        <v>Notebook</v>
      </c>
      <c r="E643" s="2">
        <f ca="1">IFERROR(__xludf.DUMMYFUNCTION("""COMPUTED_VALUE"""),17)</f>
        <v>17</v>
      </c>
      <c r="F643" s="2" t="str">
        <f ca="1">IFERROR(__xludf.DUMMYFUNCTION("""COMPUTED_VALUE"""),"1600x900")</f>
        <v>1600x900</v>
      </c>
      <c r="G643" s="2" t="str">
        <f ca="1">IFERROR(__xludf.DUMMYFUNCTION("""COMPUTED_VALUE"""),"AMD A9-Series 9420 3GHz")</f>
        <v>AMD A9-Series 9420 3GHz</v>
      </c>
      <c r="H643" s="2" t="str">
        <f ca="1">IFERROR(__xludf.DUMMYFUNCTION("""COMPUTED_VALUE"""),"8GB")</f>
        <v>8GB</v>
      </c>
      <c r="I643" s="2" t="str">
        <f ca="1">IFERROR(__xludf.DUMMYFUNCTION("""COMPUTED_VALUE"""),"1TB HDD")</f>
        <v>1TB HDD</v>
      </c>
      <c r="J643" s="2" t="str">
        <f ca="1">IFERROR(__xludf.DUMMYFUNCTION("""COMPUTED_VALUE"""),"AMD Radeon R5")</f>
        <v>AMD Radeon R5</v>
      </c>
      <c r="K643" s="2" t="str">
        <f ca="1">IFERROR(__xludf.DUMMYFUNCTION("""COMPUTED_VALUE"""),"Windows 10")</f>
        <v>Windows 10</v>
      </c>
      <c r="L643" s="2" t="str">
        <f ca="1">IFERROR(__xludf.DUMMYFUNCTION("""COMPUTED_VALUE"""),"2.6kg")</f>
        <v>2.6kg</v>
      </c>
      <c r="M643" s="2">
        <f ca="1">IFERROR(__xludf.DUMMYFUNCTION("""COMPUTED_VALUE"""),520.9)</f>
        <v>520.9</v>
      </c>
    </row>
    <row r="644" spans="1:13">
      <c r="A644" s="2">
        <f ca="1">IFERROR(__xludf.DUMMYFUNCTION("""COMPUTED_VALUE"""),650)</f>
        <v>650</v>
      </c>
      <c r="B644" s="2" t="str">
        <f ca="1">IFERROR(__xludf.DUMMYFUNCTION("""COMPUTED_VALUE"""),"Lenovo")</f>
        <v>Lenovo</v>
      </c>
      <c r="C644" s="2" t="str">
        <f ca="1">IFERROR(__xludf.DUMMYFUNCTION("""COMPUTED_VALUE"""),"ThinkPad X1")</f>
        <v>ThinkPad X1</v>
      </c>
      <c r="D644" s="2" t="str">
        <f ca="1">IFERROR(__xludf.DUMMYFUNCTION("""COMPUTED_VALUE"""),"Ultrabook")</f>
        <v>Ultrabook</v>
      </c>
      <c r="E644" s="2">
        <f ca="1">IFERROR(__xludf.DUMMYFUNCTION("""COMPUTED_VALUE"""),14)</f>
        <v>14</v>
      </c>
      <c r="F644" s="2" t="str">
        <f ca="1">IFERROR(__xludf.DUMMYFUNCTION("""COMPUTED_VALUE"""),"IPS Panel Full HD 1920x1080")</f>
        <v>IPS Panel Full HD 1920x1080</v>
      </c>
      <c r="G644" s="2" t="str">
        <f ca="1">IFERROR(__xludf.DUMMYFUNCTION("""COMPUTED_VALUE"""),"Intel Core i7 7500U 2.7GHz")</f>
        <v>Intel Core i7 7500U 2.7GHz</v>
      </c>
      <c r="H644" s="2" t="str">
        <f ca="1">IFERROR(__xludf.DUMMYFUNCTION("""COMPUTED_VALUE"""),"16GB")</f>
        <v>16GB</v>
      </c>
      <c r="I644" s="2" t="str">
        <f ca="1">IFERROR(__xludf.DUMMYFUNCTION("""COMPUTED_VALUE"""),"512GB SSD")</f>
        <v>512GB SSD</v>
      </c>
      <c r="J644" s="2" t="str">
        <f ca="1">IFERROR(__xludf.DUMMYFUNCTION("""COMPUTED_VALUE"""),"Intel HD Graphics 620")</f>
        <v>Intel HD Graphics 620</v>
      </c>
      <c r="K644" s="2" t="str">
        <f ca="1">IFERROR(__xludf.DUMMYFUNCTION("""COMPUTED_VALUE"""),"Windows 10")</f>
        <v>Windows 10</v>
      </c>
      <c r="L644" s="2" t="str">
        <f ca="1">IFERROR(__xludf.DUMMYFUNCTION("""COMPUTED_VALUE"""),"1.14kg")</f>
        <v>1.14kg</v>
      </c>
      <c r="M644" s="2">
        <f ca="1">IFERROR(__xludf.DUMMYFUNCTION("""COMPUTED_VALUE"""),2450)</f>
        <v>2450</v>
      </c>
    </row>
    <row r="645" spans="1:13">
      <c r="A645" s="2">
        <f ca="1">IFERROR(__xludf.DUMMYFUNCTION("""COMPUTED_VALUE"""),651)</f>
        <v>651</v>
      </c>
      <c r="B645" s="2" t="str">
        <f ca="1">IFERROR(__xludf.DUMMYFUNCTION("""COMPUTED_VALUE"""),"Asus")</f>
        <v>Asus</v>
      </c>
      <c r="C645" s="2" t="str">
        <f ca="1">IFERROR(__xludf.DUMMYFUNCTION("""COMPUTED_VALUE"""),"ROG GL553VE-FY022")</f>
        <v>ROG GL553VE-FY022</v>
      </c>
      <c r="D645" s="2" t="str">
        <f ca="1">IFERROR(__xludf.DUMMYFUNCTION("""COMPUTED_VALUE"""),"Gaming")</f>
        <v>Gaming</v>
      </c>
      <c r="E645" s="2">
        <f ca="1">IFERROR(__xludf.DUMMYFUNCTION("""COMPUTED_VALUE"""),15.6)</f>
        <v>15.6</v>
      </c>
      <c r="F645" s="2" t="str">
        <f ca="1">IFERROR(__xludf.DUMMYFUNCTION("""COMPUTED_VALUE"""),"IPS Panel Full HD 1920x1080")</f>
        <v>IPS Panel Full HD 1920x1080</v>
      </c>
      <c r="G645" s="2" t="str">
        <f ca="1">IFERROR(__xludf.DUMMYFUNCTION("""COMPUTED_VALUE"""),"Intel Core i7 7700HQ 2.8GHz")</f>
        <v>Intel Core i7 7700HQ 2.8GHz</v>
      </c>
      <c r="H645" s="2" t="str">
        <f ca="1">IFERROR(__xludf.DUMMYFUNCTION("""COMPUTED_VALUE"""),"8GB")</f>
        <v>8GB</v>
      </c>
      <c r="I645" s="2" t="str">
        <f ca="1">IFERROR(__xludf.DUMMYFUNCTION("""COMPUTED_VALUE"""),"1TB HDD")</f>
        <v>1TB HDD</v>
      </c>
      <c r="J645" s="2" t="str">
        <f ca="1">IFERROR(__xludf.DUMMYFUNCTION("""COMPUTED_VALUE"""),"Nvidia GeForce GTX 1050 Ti")</f>
        <v>Nvidia GeForce GTX 1050 Ti</v>
      </c>
      <c r="K645" s="2" t="str">
        <f ca="1">IFERROR(__xludf.DUMMYFUNCTION("""COMPUTED_VALUE"""),"No OS")</f>
        <v>No OS</v>
      </c>
      <c r="L645" s="2" t="str">
        <f ca="1">IFERROR(__xludf.DUMMYFUNCTION("""COMPUTED_VALUE"""),"2.5kg")</f>
        <v>2.5kg</v>
      </c>
      <c r="M645" s="2">
        <f ca="1">IFERROR(__xludf.DUMMYFUNCTION("""COMPUTED_VALUE"""),1169)</f>
        <v>1169</v>
      </c>
    </row>
    <row r="646" spans="1:13">
      <c r="A646" s="2">
        <f ca="1">IFERROR(__xludf.DUMMYFUNCTION("""COMPUTED_VALUE"""),652)</f>
        <v>652</v>
      </c>
      <c r="B646" s="2" t="str">
        <f ca="1">IFERROR(__xludf.DUMMYFUNCTION("""COMPUTED_VALUE"""),"Acer")</f>
        <v>Acer</v>
      </c>
      <c r="C646" s="2" t="str">
        <f ca="1">IFERROR(__xludf.DUMMYFUNCTION("""COMPUTED_VALUE"""),"Extensa EX2540")</f>
        <v>Extensa EX2540</v>
      </c>
      <c r="D646" s="2" t="str">
        <f ca="1">IFERROR(__xludf.DUMMYFUNCTION("""COMPUTED_VALUE"""),"Notebook")</f>
        <v>Notebook</v>
      </c>
      <c r="E646" s="2">
        <f ca="1">IFERROR(__xludf.DUMMYFUNCTION("""COMPUTED_VALUE"""),15.6)</f>
        <v>15.6</v>
      </c>
      <c r="F646" s="2" t="str">
        <f ca="1">IFERROR(__xludf.DUMMYFUNCTION("""COMPUTED_VALUE"""),"1366x768")</f>
        <v>1366x768</v>
      </c>
      <c r="G646" s="2" t="str">
        <f ca="1">IFERROR(__xludf.DUMMYFUNCTION("""COMPUTED_VALUE"""),"Intel Core i3 6006U 2GHz")</f>
        <v>Intel Core i3 6006U 2GHz</v>
      </c>
      <c r="H646" s="2" t="str">
        <f ca="1">IFERROR(__xludf.DUMMYFUNCTION("""COMPUTED_VALUE"""),"4GB")</f>
        <v>4GB</v>
      </c>
      <c r="I646" s="2" t="str">
        <f ca="1">IFERROR(__xludf.DUMMYFUNCTION("""COMPUTED_VALUE"""),"500GB HDD")</f>
        <v>500GB HDD</v>
      </c>
      <c r="J646" s="2" t="str">
        <f ca="1">IFERROR(__xludf.DUMMYFUNCTION("""COMPUTED_VALUE"""),"Intel HD Graphics 520")</f>
        <v>Intel HD Graphics 520</v>
      </c>
      <c r="K646" s="2" t="str">
        <f ca="1">IFERROR(__xludf.DUMMYFUNCTION("""COMPUTED_VALUE"""),"Windows 10")</f>
        <v>Windows 10</v>
      </c>
      <c r="L646" s="2" t="str">
        <f ca="1">IFERROR(__xludf.DUMMYFUNCTION("""COMPUTED_VALUE"""),"2.4kg")</f>
        <v>2.4kg</v>
      </c>
      <c r="M646" s="2">
        <f ca="1">IFERROR(__xludf.DUMMYFUNCTION("""COMPUTED_VALUE"""),450)</f>
        <v>450</v>
      </c>
    </row>
    <row r="647" spans="1:13">
      <c r="A647" s="2">
        <f ca="1">IFERROR(__xludf.DUMMYFUNCTION("""COMPUTED_VALUE"""),653)</f>
        <v>653</v>
      </c>
      <c r="B647" s="2" t="str">
        <f ca="1">IFERROR(__xludf.DUMMYFUNCTION("""COMPUTED_VALUE"""),"Lenovo")</f>
        <v>Lenovo</v>
      </c>
      <c r="C647" s="2" t="str">
        <f ca="1">IFERROR(__xludf.DUMMYFUNCTION("""COMPUTED_VALUE"""),"IdeaPad 100S-14IBR")</f>
        <v>IdeaPad 100S-14IBR</v>
      </c>
      <c r="D647" s="2" t="str">
        <f ca="1">IFERROR(__xludf.DUMMYFUNCTION("""COMPUTED_VALUE"""),"Notebook")</f>
        <v>Notebook</v>
      </c>
      <c r="E647" s="2">
        <f ca="1">IFERROR(__xludf.DUMMYFUNCTION("""COMPUTED_VALUE"""),14)</f>
        <v>14</v>
      </c>
      <c r="F647" s="2" t="str">
        <f ca="1">IFERROR(__xludf.DUMMYFUNCTION("""COMPUTED_VALUE"""),"1366x768")</f>
        <v>1366x768</v>
      </c>
      <c r="G647" s="2" t="str">
        <f ca="1">IFERROR(__xludf.DUMMYFUNCTION("""COMPUTED_VALUE"""),"Intel Celeron Dual Core N3060 1.6GHz")</f>
        <v>Intel Celeron Dual Core N3060 1.6GHz</v>
      </c>
      <c r="H647" s="2" t="str">
        <f ca="1">IFERROR(__xludf.DUMMYFUNCTION("""COMPUTED_VALUE"""),"4GB")</f>
        <v>4GB</v>
      </c>
      <c r="I647" s="2" t="str">
        <f ca="1">IFERROR(__xludf.DUMMYFUNCTION("""COMPUTED_VALUE"""),"32GB Flash Storage")</f>
        <v>32GB Flash Storage</v>
      </c>
      <c r="J647" s="2" t="str">
        <f ca="1">IFERROR(__xludf.DUMMYFUNCTION("""COMPUTED_VALUE"""),"Intel HD Graphics")</f>
        <v>Intel HD Graphics</v>
      </c>
      <c r="K647" s="2" t="str">
        <f ca="1">IFERROR(__xludf.DUMMYFUNCTION("""COMPUTED_VALUE"""),"Windows 10")</f>
        <v>Windows 10</v>
      </c>
      <c r="L647" s="2" t="str">
        <f ca="1">IFERROR(__xludf.DUMMYFUNCTION("""COMPUTED_VALUE"""),"1.43kg")</f>
        <v>1.43kg</v>
      </c>
      <c r="M647" s="2">
        <f ca="1">IFERROR(__xludf.DUMMYFUNCTION("""COMPUTED_VALUE"""),274)</f>
        <v>274</v>
      </c>
    </row>
    <row r="648" spans="1:13">
      <c r="A648" s="2">
        <f ca="1">IFERROR(__xludf.DUMMYFUNCTION("""COMPUTED_VALUE"""),654)</f>
        <v>654</v>
      </c>
      <c r="B648" s="2" t="str">
        <f ca="1">IFERROR(__xludf.DUMMYFUNCTION("""COMPUTED_VALUE"""),"Acer")</f>
        <v>Acer</v>
      </c>
      <c r="C648" s="2" t="str">
        <f ca="1">IFERROR(__xludf.DUMMYFUNCTION("""COMPUTED_VALUE"""),"Swift 3")</f>
        <v>Swift 3</v>
      </c>
      <c r="D648" s="2" t="str">
        <f ca="1">IFERROR(__xludf.DUMMYFUNCTION("""COMPUTED_VALUE"""),"Ultrabook")</f>
        <v>Ultrabook</v>
      </c>
      <c r="E648" s="2">
        <f ca="1">IFERROR(__xludf.DUMMYFUNCTION("""COMPUTED_VALUE"""),14)</f>
        <v>14</v>
      </c>
      <c r="F648" s="2" t="str">
        <f ca="1">IFERROR(__xludf.DUMMYFUNCTION("""COMPUTED_VALUE"""),"IPS Panel Full HD 1920x1080")</f>
        <v>IPS Panel Full HD 1920x1080</v>
      </c>
      <c r="G648" s="2" t="str">
        <f ca="1">IFERROR(__xludf.DUMMYFUNCTION("""COMPUTED_VALUE"""),"Intel Core i5 7200U 2.5GHz")</f>
        <v>Intel Core i5 7200U 2.5GHz</v>
      </c>
      <c r="H648" s="2" t="str">
        <f ca="1">IFERROR(__xludf.DUMMYFUNCTION("""COMPUTED_VALUE"""),"8GB")</f>
        <v>8GB</v>
      </c>
      <c r="I648" s="2" t="str">
        <f ca="1">IFERROR(__xludf.DUMMYFUNCTION("""COMPUTED_VALUE"""),"256GB SSD")</f>
        <v>256GB SSD</v>
      </c>
      <c r="J648" s="2" t="str">
        <f ca="1">IFERROR(__xludf.DUMMYFUNCTION("""COMPUTED_VALUE"""),"Intel Graphics 620")</f>
        <v>Intel Graphics 620</v>
      </c>
      <c r="K648" s="2" t="str">
        <f ca="1">IFERROR(__xludf.DUMMYFUNCTION("""COMPUTED_VALUE"""),"Windows 10")</f>
        <v>Windows 10</v>
      </c>
      <c r="L648" s="2" t="str">
        <f ca="1">IFERROR(__xludf.DUMMYFUNCTION("""COMPUTED_VALUE"""),"1.8kg")</f>
        <v>1.8kg</v>
      </c>
      <c r="M648" s="2">
        <f ca="1">IFERROR(__xludf.DUMMYFUNCTION("""COMPUTED_VALUE"""),919)</f>
        <v>919</v>
      </c>
    </row>
    <row r="649" spans="1:13">
      <c r="A649" s="2">
        <f ca="1">IFERROR(__xludf.DUMMYFUNCTION("""COMPUTED_VALUE"""),655)</f>
        <v>655</v>
      </c>
      <c r="B649" s="2" t="str">
        <f ca="1">IFERROR(__xludf.DUMMYFUNCTION("""COMPUTED_VALUE"""),"Razer")</f>
        <v>Razer</v>
      </c>
      <c r="C649" s="2" t="str">
        <f ca="1">IFERROR(__xludf.DUMMYFUNCTION("""COMPUTED_VALUE"""),"Blade Pro")</f>
        <v>Blade Pro</v>
      </c>
      <c r="D649" s="2" t="str">
        <f ca="1">IFERROR(__xludf.DUMMYFUNCTION("""COMPUTED_VALUE"""),"Gaming")</f>
        <v>Gaming</v>
      </c>
      <c r="E649" s="2">
        <f ca="1">IFERROR(__xludf.DUMMYFUNCTION("""COMPUTED_VALUE"""),14)</f>
        <v>14</v>
      </c>
      <c r="F649" s="2" t="str">
        <f ca="1">IFERROR(__xludf.DUMMYFUNCTION("""COMPUTED_VALUE"""),"Full HD 1920x1080")</f>
        <v>Full HD 1920x1080</v>
      </c>
      <c r="G649" s="2" t="str">
        <f ca="1">IFERROR(__xludf.DUMMYFUNCTION("""COMPUTED_VALUE"""),"Intel Core i7 7700HQ 2.8GHz")</f>
        <v>Intel Core i7 7700HQ 2.8GHz</v>
      </c>
      <c r="H649" s="2" t="str">
        <f ca="1">IFERROR(__xludf.DUMMYFUNCTION("""COMPUTED_VALUE"""),"16GB")</f>
        <v>16GB</v>
      </c>
      <c r="I649" s="2" t="str">
        <f ca="1">IFERROR(__xludf.DUMMYFUNCTION("""COMPUTED_VALUE"""),"256GB SSD")</f>
        <v>256GB SSD</v>
      </c>
      <c r="J649" s="2" t="str">
        <f ca="1">IFERROR(__xludf.DUMMYFUNCTION("""COMPUTED_VALUE"""),"Nvidia GeForce GTX 1060")</f>
        <v>Nvidia GeForce GTX 1060</v>
      </c>
      <c r="K649" s="2" t="str">
        <f ca="1">IFERROR(__xludf.DUMMYFUNCTION("""COMPUTED_VALUE"""),"Windows 10")</f>
        <v>Windows 10</v>
      </c>
      <c r="L649" s="2" t="str">
        <f ca="1">IFERROR(__xludf.DUMMYFUNCTION("""COMPUTED_VALUE"""),"1.95kg")</f>
        <v>1.95kg</v>
      </c>
      <c r="M649" s="2">
        <f ca="1">IFERROR(__xludf.DUMMYFUNCTION("""COMPUTED_VALUE"""),2599)</f>
        <v>2599</v>
      </c>
    </row>
    <row r="650" spans="1:13">
      <c r="A650" s="2">
        <f ca="1">IFERROR(__xludf.DUMMYFUNCTION("""COMPUTED_VALUE"""),656)</f>
        <v>656</v>
      </c>
      <c r="B650" s="2" t="str">
        <f ca="1">IFERROR(__xludf.DUMMYFUNCTION("""COMPUTED_VALUE"""),"Toshiba")</f>
        <v>Toshiba</v>
      </c>
      <c r="C650" s="2" t="str">
        <f ca="1">IFERROR(__xludf.DUMMYFUNCTION("""COMPUTED_VALUE"""),"Portege Z30-C-16J")</f>
        <v>Portege Z30-C-16J</v>
      </c>
      <c r="D650" s="2" t="str">
        <f ca="1">IFERROR(__xludf.DUMMYFUNCTION("""COMPUTED_VALUE"""),"Notebook")</f>
        <v>Notebook</v>
      </c>
      <c r="E650" s="2">
        <f ca="1">IFERROR(__xludf.DUMMYFUNCTION("""COMPUTED_VALUE"""),13.3)</f>
        <v>13.3</v>
      </c>
      <c r="F650" s="2" t="str">
        <f ca="1">IFERROR(__xludf.DUMMYFUNCTION("""COMPUTED_VALUE"""),"Full HD 1920x1080")</f>
        <v>Full HD 1920x1080</v>
      </c>
      <c r="G650" s="2" t="str">
        <f ca="1">IFERROR(__xludf.DUMMYFUNCTION("""COMPUTED_VALUE"""),"Intel Core i5 6200U 2.3GHz")</f>
        <v>Intel Core i5 6200U 2.3GHz</v>
      </c>
      <c r="H650" s="2" t="str">
        <f ca="1">IFERROR(__xludf.DUMMYFUNCTION("""COMPUTED_VALUE"""),"8GB")</f>
        <v>8GB</v>
      </c>
      <c r="I650" s="2" t="str">
        <f ca="1">IFERROR(__xludf.DUMMYFUNCTION("""COMPUTED_VALUE"""),"256GB SSD")</f>
        <v>256GB SSD</v>
      </c>
      <c r="J650" s="2" t="str">
        <f ca="1">IFERROR(__xludf.DUMMYFUNCTION("""COMPUTED_VALUE"""),"Intel HD Graphics 520")</f>
        <v>Intel HD Graphics 520</v>
      </c>
      <c r="K650" s="2" t="str">
        <f ca="1">IFERROR(__xludf.DUMMYFUNCTION("""COMPUTED_VALUE"""),"Windows 10")</f>
        <v>Windows 10</v>
      </c>
      <c r="L650" s="2" t="str">
        <f ca="1">IFERROR(__xludf.DUMMYFUNCTION("""COMPUTED_VALUE"""),"1.2kg")</f>
        <v>1.2kg</v>
      </c>
      <c r="M650" s="2">
        <f ca="1">IFERROR(__xludf.DUMMYFUNCTION("""COMPUTED_VALUE"""),1213)</f>
        <v>1213</v>
      </c>
    </row>
    <row r="651" spans="1:13">
      <c r="A651" s="2">
        <f ca="1">IFERROR(__xludf.DUMMYFUNCTION("""COMPUTED_VALUE"""),657)</f>
        <v>657</v>
      </c>
      <c r="B651" s="2" t="str">
        <f ca="1">IFERROR(__xludf.DUMMYFUNCTION("""COMPUTED_VALUE"""),"Lenovo")</f>
        <v>Lenovo</v>
      </c>
      <c r="C651" s="2" t="str">
        <f ca="1">IFERROR(__xludf.DUMMYFUNCTION("""COMPUTED_VALUE"""),"Thinkpad X270")</f>
        <v>Thinkpad X270</v>
      </c>
      <c r="D651" s="2" t="str">
        <f ca="1">IFERROR(__xludf.DUMMYFUNCTION("""COMPUTED_VALUE"""),"Ultrabook")</f>
        <v>Ultrabook</v>
      </c>
      <c r="E651" s="2">
        <f ca="1">IFERROR(__xludf.DUMMYFUNCTION("""COMPUTED_VALUE"""),12.5)</f>
        <v>12.5</v>
      </c>
      <c r="F651" s="2" t="str">
        <f ca="1">IFERROR(__xludf.DUMMYFUNCTION("""COMPUTED_VALUE"""),"IPS Panel Full HD 1920x1080")</f>
        <v>IPS Panel Full HD 1920x1080</v>
      </c>
      <c r="G651" s="2" t="str">
        <f ca="1">IFERROR(__xludf.DUMMYFUNCTION("""COMPUTED_VALUE"""),"Intel Core i7 7500U 2.7GHz")</f>
        <v>Intel Core i7 7500U 2.7GHz</v>
      </c>
      <c r="H651" s="2" t="str">
        <f ca="1">IFERROR(__xludf.DUMMYFUNCTION("""COMPUTED_VALUE"""),"8GB")</f>
        <v>8GB</v>
      </c>
      <c r="I651" s="2" t="str">
        <f ca="1">IFERROR(__xludf.DUMMYFUNCTION("""COMPUTED_VALUE"""),"256GB SSD")</f>
        <v>256GB SSD</v>
      </c>
      <c r="J651" s="2" t="str">
        <f ca="1">IFERROR(__xludf.DUMMYFUNCTION("""COMPUTED_VALUE"""),"Intel HD Graphics 620")</f>
        <v>Intel HD Graphics 620</v>
      </c>
      <c r="K651" s="2" t="str">
        <f ca="1">IFERROR(__xludf.DUMMYFUNCTION("""COMPUTED_VALUE"""),"Windows 10")</f>
        <v>Windows 10</v>
      </c>
      <c r="L651" s="2" t="str">
        <f ca="1">IFERROR(__xludf.DUMMYFUNCTION("""COMPUTED_VALUE"""),"1.36kg")</f>
        <v>1.36kg</v>
      </c>
      <c r="M651" s="2">
        <f ca="1">IFERROR(__xludf.DUMMYFUNCTION("""COMPUTED_VALUE"""),1584)</f>
        <v>1584</v>
      </c>
    </row>
    <row r="652" spans="1:13">
      <c r="A652" s="2">
        <f ca="1">IFERROR(__xludf.DUMMYFUNCTION("""COMPUTED_VALUE"""),658)</f>
        <v>658</v>
      </c>
      <c r="B652" s="2" t="str">
        <f ca="1">IFERROR(__xludf.DUMMYFUNCTION("""COMPUTED_VALUE"""),"Asus")</f>
        <v>Asus</v>
      </c>
      <c r="C652" s="2" t="str">
        <f ca="1">IFERROR(__xludf.DUMMYFUNCTION("""COMPUTED_VALUE"""),"ROG G701VI")</f>
        <v>ROG G701VI</v>
      </c>
      <c r="D652" s="2" t="str">
        <f ca="1">IFERROR(__xludf.DUMMYFUNCTION("""COMPUTED_VALUE"""),"Gaming")</f>
        <v>Gaming</v>
      </c>
      <c r="E652" s="2">
        <f ca="1">IFERROR(__xludf.DUMMYFUNCTION("""COMPUTED_VALUE"""),17.3)</f>
        <v>17.3</v>
      </c>
      <c r="F652" s="2" t="str">
        <f ca="1">IFERROR(__xludf.DUMMYFUNCTION("""COMPUTED_VALUE"""),"IPS Panel Full HD 1920x1080")</f>
        <v>IPS Panel Full HD 1920x1080</v>
      </c>
      <c r="G652" s="2" t="str">
        <f ca="1">IFERROR(__xludf.DUMMYFUNCTION("""COMPUTED_VALUE"""),"Intel Core i7 6820HK 2.7GHz")</f>
        <v>Intel Core i7 6820HK 2.7GHz</v>
      </c>
      <c r="H652" s="2" t="str">
        <f ca="1">IFERROR(__xludf.DUMMYFUNCTION("""COMPUTED_VALUE"""),"32GB")</f>
        <v>32GB</v>
      </c>
      <c r="I652" s="2" t="str">
        <f ca="1">IFERROR(__xludf.DUMMYFUNCTION("""COMPUTED_VALUE"""),"512GB SSD")</f>
        <v>512GB SSD</v>
      </c>
      <c r="J652" s="2" t="str">
        <f ca="1">IFERROR(__xludf.DUMMYFUNCTION("""COMPUTED_VALUE"""),"Nvidia GeForce GTX 1080")</f>
        <v>Nvidia GeForce GTX 1080</v>
      </c>
      <c r="K652" s="2" t="str">
        <f ca="1">IFERROR(__xludf.DUMMYFUNCTION("""COMPUTED_VALUE"""),"Windows 10")</f>
        <v>Windows 10</v>
      </c>
      <c r="L652" s="2" t="str">
        <f ca="1">IFERROR(__xludf.DUMMYFUNCTION("""COMPUTED_VALUE"""),"3.8kg")</f>
        <v>3.8kg</v>
      </c>
      <c r="M652" s="2">
        <f ca="1">IFERROR(__xludf.DUMMYFUNCTION("""COMPUTED_VALUE"""),2799)</f>
        <v>2799</v>
      </c>
    </row>
    <row r="653" spans="1:13">
      <c r="A653" s="2">
        <f ca="1">IFERROR(__xludf.DUMMYFUNCTION("""COMPUTED_VALUE"""),659)</f>
        <v>659</v>
      </c>
      <c r="B653" s="2" t="str">
        <f ca="1">IFERROR(__xludf.DUMMYFUNCTION("""COMPUTED_VALUE"""),"Acer")</f>
        <v>Acer</v>
      </c>
      <c r="C653" s="2" t="str">
        <f ca="1">IFERROR(__xludf.DUMMYFUNCTION("""COMPUTED_VALUE"""),"A715-71G-59DH (i5-7300HQ/8GB/1TB/GeForce")</f>
        <v>A715-71G-59DH (i5-7300HQ/8GB/1TB/GeForce</v>
      </c>
      <c r="D653" s="2" t="str">
        <f ca="1">IFERROR(__xludf.DUMMYFUNCTION("""COMPUTED_VALUE"""),"Gaming")</f>
        <v>Gaming</v>
      </c>
      <c r="E653" s="2">
        <f ca="1">IFERROR(__xludf.DUMMYFUNCTION("""COMPUTED_VALUE"""),15.6)</f>
        <v>15.6</v>
      </c>
      <c r="F653" s="2" t="str">
        <f ca="1">IFERROR(__xludf.DUMMYFUNCTION("""COMPUTED_VALUE"""),"Full HD 1920x1080")</f>
        <v>Full HD 1920x1080</v>
      </c>
      <c r="G653" s="2" t="str">
        <f ca="1">IFERROR(__xludf.DUMMYFUNCTION("""COMPUTED_VALUE"""),"Intel Core i5 7300HQ 2.5GHz")</f>
        <v>Intel Core i5 7300HQ 2.5GHz</v>
      </c>
      <c r="H653" s="2" t="str">
        <f ca="1">IFERROR(__xludf.DUMMYFUNCTION("""COMPUTED_VALUE"""),"8GB")</f>
        <v>8GB</v>
      </c>
      <c r="I653" s="2" t="str">
        <f ca="1">IFERROR(__xludf.DUMMYFUNCTION("""COMPUTED_VALUE"""),"1TB HDD")</f>
        <v>1TB HDD</v>
      </c>
      <c r="J653" s="2" t="str">
        <f ca="1">IFERROR(__xludf.DUMMYFUNCTION("""COMPUTED_VALUE"""),"Nvidia GeForce GTX 1050")</f>
        <v>Nvidia GeForce GTX 1050</v>
      </c>
      <c r="K653" s="2" t="str">
        <f ca="1">IFERROR(__xludf.DUMMYFUNCTION("""COMPUTED_VALUE"""),"Linux")</f>
        <v>Linux</v>
      </c>
      <c r="L653" s="2" t="str">
        <f ca="1">IFERROR(__xludf.DUMMYFUNCTION("""COMPUTED_VALUE"""),"2.4kg")</f>
        <v>2.4kg</v>
      </c>
      <c r="M653" s="2">
        <f ca="1">IFERROR(__xludf.DUMMYFUNCTION("""COMPUTED_VALUE"""),709)</f>
        <v>709</v>
      </c>
    </row>
    <row r="654" spans="1:13">
      <c r="A654" s="2">
        <f ca="1">IFERROR(__xludf.DUMMYFUNCTION("""COMPUTED_VALUE"""),660)</f>
        <v>660</v>
      </c>
      <c r="B654" s="2" t="str">
        <f ca="1">IFERROR(__xludf.DUMMYFUNCTION("""COMPUTED_VALUE"""),"Dell")</f>
        <v>Dell</v>
      </c>
      <c r="C654" s="2" t="str">
        <f ca="1">IFERROR(__xludf.DUMMYFUNCTION("""COMPUTED_VALUE"""),"XPS 13")</f>
        <v>XPS 13</v>
      </c>
      <c r="D654" s="2" t="str">
        <f ca="1">IFERROR(__xludf.DUMMYFUNCTION("""COMPUTED_VALUE"""),"Ultrabook")</f>
        <v>Ultrabook</v>
      </c>
      <c r="E654" s="2">
        <f ca="1">IFERROR(__xludf.DUMMYFUNCTION("""COMPUTED_VALUE"""),13.3)</f>
        <v>13.3</v>
      </c>
      <c r="F654" s="2" t="str">
        <f ca="1">IFERROR(__xludf.DUMMYFUNCTION("""COMPUTED_VALUE"""),"Full HD 1920x1080")</f>
        <v>Full HD 1920x1080</v>
      </c>
      <c r="G654" s="2" t="str">
        <f ca="1">IFERROR(__xludf.DUMMYFUNCTION("""COMPUTED_VALUE"""),"Intel Core i5 8250U 1.6GHz")</f>
        <v>Intel Core i5 8250U 1.6GHz</v>
      </c>
      <c r="H654" s="2" t="str">
        <f ca="1">IFERROR(__xludf.DUMMYFUNCTION("""COMPUTED_VALUE"""),"8GB")</f>
        <v>8GB</v>
      </c>
      <c r="I654" s="2" t="str">
        <f ca="1">IFERROR(__xludf.DUMMYFUNCTION("""COMPUTED_VALUE"""),"256GB SSD")</f>
        <v>256GB SSD</v>
      </c>
      <c r="J654" s="2" t="str">
        <f ca="1">IFERROR(__xludf.DUMMYFUNCTION("""COMPUTED_VALUE"""),"Intel UHD Graphics 620")</f>
        <v>Intel UHD Graphics 620</v>
      </c>
      <c r="K654" s="2" t="str">
        <f ca="1">IFERROR(__xludf.DUMMYFUNCTION("""COMPUTED_VALUE"""),"Windows 10")</f>
        <v>Windows 10</v>
      </c>
      <c r="L654" s="2" t="str">
        <f ca="1">IFERROR(__xludf.DUMMYFUNCTION("""COMPUTED_VALUE"""),"1.2kg")</f>
        <v>1.2kg</v>
      </c>
      <c r="M654" s="2">
        <f ca="1">IFERROR(__xludf.DUMMYFUNCTION("""COMPUTED_VALUE"""),1449.9)</f>
        <v>1449.9</v>
      </c>
    </row>
    <row r="655" spans="1:13">
      <c r="A655" s="2">
        <f ca="1">IFERROR(__xludf.DUMMYFUNCTION("""COMPUTED_VALUE"""),661)</f>
        <v>661</v>
      </c>
      <c r="B655" s="2" t="str">
        <f ca="1">IFERROR(__xludf.DUMMYFUNCTION("""COMPUTED_VALUE"""),"MSI")</f>
        <v>MSI</v>
      </c>
      <c r="C655" s="2" t="str">
        <f ca="1">IFERROR(__xludf.DUMMYFUNCTION("""COMPUTED_VALUE"""),"GL62M 7REX")</f>
        <v>GL62M 7REX</v>
      </c>
      <c r="D655" s="2" t="str">
        <f ca="1">IFERROR(__xludf.DUMMYFUNCTION("""COMPUTED_VALUE"""),"Gaming")</f>
        <v>Gaming</v>
      </c>
      <c r="E655" s="2">
        <f ca="1">IFERROR(__xludf.DUMMYFUNCTION("""COMPUTED_VALUE"""),15.6)</f>
        <v>15.6</v>
      </c>
      <c r="F655" s="2" t="str">
        <f ca="1">IFERROR(__xludf.DUMMYFUNCTION("""COMPUTED_VALUE"""),"Full HD 1920x1080")</f>
        <v>Full HD 1920x1080</v>
      </c>
      <c r="G655" s="2" t="str">
        <f ca="1">IFERROR(__xludf.DUMMYFUNCTION("""COMPUTED_VALUE"""),"Intel Core i7 7700HQ 2.8GHz")</f>
        <v>Intel Core i7 7700HQ 2.8GHz</v>
      </c>
      <c r="H655" s="2" t="str">
        <f ca="1">IFERROR(__xludf.DUMMYFUNCTION("""COMPUTED_VALUE"""),"8GB")</f>
        <v>8GB</v>
      </c>
      <c r="I655" s="2" t="str">
        <f ca="1">IFERROR(__xludf.DUMMYFUNCTION("""COMPUTED_VALUE"""),"128GB SSD +  1TB HDD")</f>
        <v>128GB SSD +  1TB HDD</v>
      </c>
      <c r="J655" s="2" t="str">
        <f ca="1">IFERROR(__xludf.DUMMYFUNCTION("""COMPUTED_VALUE"""),"Nvidia GeForce GTX 1050 Ti")</f>
        <v>Nvidia GeForce GTX 1050 Ti</v>
      </c>
      <c r="K655" s="2" t="str">
        <f ca="1">IFERROR(__xludf.DUMMYFUNCTION("""COMPUTED_VALUE"""),"Windows 10")</f>
        <v>Windows 10</v>
      </c>
      <c r="L655" s="2" t="str">
        <f ca="1">IFERROR(__xludf.DUMMYFUNCTION("""COMPUTED_VALUE"""),"2.2kg")</f>
        <v>2.2kg</v>
      </c>
      <c r="M655" s="2">
        <f ca="1">IFERROR(__xludf.DUMMYFUNCTION("""COMPUTED_VALUE"""),1191.8)</f>
        <v>1191.8</v>
      </c>
    </row>
    <row r="656" spans="1:13">
      <c r="A656" s="2">
        <f ca="1">IFERROR(__xludf.DUMMYFUNCTION("""COMPUTED_VALUE"""),662)</f>
        <v>662</v>
      </c>
      <c r="B656" s="2" t="str">
        <f ca="1">IFERROR(__xludf.DUMMYFUNCTION("""COMPUTED_VALUE"""),"HP")</f>
        <v>HP</v>
      </c>
      <c r="C656" s="2" t="str">
        <f ca="1">IFERROR(__xludf.DUMMYFUNCTION("""COMPUTED_VALUE"""),"250 G6")</f>
        <v>250 G6</v>
      </c>
      <c r="D656" s="2" t="str">
        <f ca="1">IFERROR(__xludf.DUMMYFUNCTION("""COMPUTED_VALUE"""),"Notebook")</f>
        <v>Notebook</v>
      </c>
      <c r="E656" s="2">
        <f ca="1">IFERROR(__xludf.DUMMYFUNCTION("""COMPUTED_VALUE"""),15.6)</f>
        <v>15.6</v>
      </c>
      <c r="F656" s="2" t="str">
        <f ca="1">IFERROR(__xludf.DUMMYFUNCTION("""COMPUTED_VALUE"""),"1366x768")</f>
        <v>1366x768</v>
      </c>
      <c r="G656" s="2" t="str">
        <f ca="1">IFERROR(__xludf.DUMMYFUNCTION("""COMPUTED_VALUE"""),"Intel Core i3 6006U 2GHz")</f>
        <v>Intel Core i3 6006U 2GHz</v>
      </c>
      <c r="H656" s="2" t="str">
        <f ca="1">IFERROR(__xludf.DUMMYFUNCTION("""COMPUTED_VALUE"""),"4GB")</f>
        <v>4GB</v>
      </c>
      <c r="I656" s="2" t="str">
        <f ca="1">IFERROR(__xludf.DUMMYFUNCTION("""COMPUTED_VALUE"""),"500GB HDD")</f>
        <v>500GB HDD</v>
      </c>
      <c r="J656" s="2" t="str">
        <f ca="1">IFERROR(__xludf.DUMMYFUNCTION("""COMPUTED_VALUE"""),"Intel HD Graphics 520")</f>
        <v>Intel HD Graphics 520</v>
      </c>
      <c r="K656" s="2" t="str">
        <f ca="1">IFERROR(__xludf.DUMMYFUNCTION("""COMPUTED_VALUE"""),"No OS")</f>
        <v>No OS</v>
      </c>
      <c r="L656" s="2" t="str">
        <f ca="1">IFERROR(__xludf.DUMMYFUNCTION("""COMPUTED_VALUE"""),"1.86kg")</f>
        <v>1.86kg</v>
      </c>
      <c r="M656" s="2">
        <f ca="1">IFERROR(__xludf.DUMMYFUNCTION("""COMPUTED_VALUE"""),364.9)</f>
        <v>364.9</v>
      </c>
    </row>
    <row r="657" spans="1:13">
      <c r="A657" s="2">
        <f ca="1">IFERROR(__xludf.DUMMYFUNCTION("""COMPUTED_VALUE"""),663)</f>
        <v>663</v>
      </c>
      <c r="B657" s="2" t="str">
        <f ca="1">IFERROR(__xludf.DUMMYFUNCTION("""COMPUTED_VALUE"""),"Toshiba")</f>
        <v>Toshiba</v>
      </c>
      <c r="C657" s="2" t="str">
        <f ca="1">IFERROR(__xludf.DUMMYFUNCTION("""COMPUTED_VALUE"""),"Tecra A50-D-11M")</f>
        <v>Tecra A50-D-11M</v>
      </c>
      <c r="D657" s="2" t="str">
        <f ca="1">IFERROR(__xludf.DUMMYFUNCTION("""COMPUTED_VALUE"""),"Notebook")</f>
        <v>Notebook</v>
      </c>
      <c r="E657" s="2">
        <f ca="1">IFERROR(__xludf.DUMMYFUNCTION("""COMPUTED_VALUE"""),15.6)</f>
        <v>15.6</v>
      </c>
      <c r="F657" s="2" t="str">
        <f ca="1">IFERROR(__xludf.DUMMYFUNCTION("""COMPUTED_VALUE"""),"IPS Panel Full HD 1920x1080")</f>
        <v>IPS Panel Full HD 1920x1080</v>
      </c>
      <c r="G657" s="2" t="str">
        <f ca="1">IFERROR(__xludf.DUMMYFUNCTION("""COMPUTED_VALUE"""),"Intel Core i5 7200U 2.5GHz")</f>
        <v>Intel Core i5 7200U 2.5GHz</v>
      </c>
      <c r="H657" s="2" t="str">
        <f ca="1">IFERROR(__xludf.DUMMYFUNCTION("""COMPUTED_VALUE"""),"8GB")</f>
        <v>8GB</v>
      </c>
      <c r="I657" s="2" t="str">
        <f ca="1">IFERROR(__xludf.DUMMYFUNCTION("""COMPUTED_VALUE"""),"500GB HDD")</f>
        <v>500GB HDD</v>
      </c>
      <c r="J657" s="2" t="str">
        <f ca="1">IFERROR(__xludf.DUMMYFUNCTION("""COMPUTED_VALUE"""),"Intel HD Graphics 620")</f>
        <v>Intel HD Graphics 620</v>
      </c>
      <c r="K657" s="2" t="str">
        <f ca="1">IFERROR(__xludf.DUMMYFUNCTION("""COMPUTED_VALUE"""),"Windows 10")</f>
        <v>Windows 10</v>
      </c>
      <c r="L657" s="2" t="str">
        <f ca="1">IFERROR(__xludf.DUMMYFUNCTION("""COMPUTED_VALUE"""),"2.0kg")</f>
        <v>2.0kg</v>
      </c>
      <c r="M657" s="2">
        <f ca="1">IFERROR(__xludf.DUMMYFUNCTION("""COMPUTED_VALUE"""),1064)</f>
        <v>1064</v>
      </c>
    </row>
    <row r="658" spans="1:13">
      <c r="A658" s="2">
        <f ca="1">IFERROR(__xludf.DUMMYFUNCTION("""COMPUTED_VALUE"""),664)</f>
        <v>664</v>
      </c>
      <c r="B658" s="2" t="str">
        <f ca="1">IFERROR(__xludf.DUMMYFUNCTION("""COMPUTED_VALUE"""),"Dell")</f>
        <v>Dell</v>
      </c>
      <c r="C658" s="2" t="str">
        <f ca="1">IFERROR(__xludf.DUMMYFUNCTION("""COMPUTED_VALUE"""),"Inspiron 5570")</f>
        <v>Inspiron 5570</v>
      </c>
      <c r="D658" s="2" t="str">
        <f ca="1">IFERROR(__xludf.DUMMYFUNCTION("""COMPUTED_VALUE"""),"Notebook")</f>
        <v>Notebook</v>
      </c>
      <c r="E658" s="2">
        <f ca="1">IFERROR(__xludf.DUMMYFUNCTION("""COMPUTED_VALUE"""),15.6)</f>
        <v>15.6</v>
      </c>
      <c r="F658" s="2" t="str">
        <f ca="1">IFERROR(__xludf.DUMMYFUNCTION("""COMPUTED_VALUE"""),"Full HD 1920x1080")</f>
        <v>Full HD 1920x1080</v>
      </c>
      <c r="G658" s="2" t="str">
        <f ca="1">IFERROR(__xludf.DUMMYFUNCTION("""COMPUTED_VALUE"""),"Intel Core i7 8550U 1.8GHz")</f>
        <v>Intel Core i7 8550U 1.8GHz</v>
      </c>
      <c r="H658" s="2" t="str">
        <f ca="1">IFERROR(__xludf.DUMMYFUNCTION("""COMPUTED_VALUE"""),"8GB")</f>
        <v>8GB</v>
      </c>
      <c r="I658" s="2" t="str">
        <f ca="1">IFERROR(__xludf.DUMMYFUNCTION("""COMPUTED_VALUE"""),"256GB SSD")</f>
        <v>256GB SSD</v>
      </c>
      <c r="J658" s="2" t="str">
        <f ca="1">IFERROR(__xludf.DUMMYFUNCTION("""COMPUTED_VALUE"""),"AMD Radeon 530")</f>
        <v>AMD Radeon 530</v>
      </c>
      <c r="K658" s="2" t="str">
        <f ca="1">IFERROR(__xludf.DUMMYFUNCTION("""COMPUTED_VALUE"""),"Windows 10")</f>
        <v>Windows 10</v>
      </c>
      <c r="L658" s="2" t="str">
        <f ca="1">IFERROR(__xludf.DUMMYFUNCTION("""COMPUTED_VALUE"""),"2.2kg")</f>
        <v>2.2kg</v>
      </c>
      <c r="M658" s="2">
        <f ca="1">IFERROR(__xludf.DUMMYFUNCTION("""COMPUTED_VALUE"""),919)</f>
        <v>919</v>
      </c>
    </row>
    <row r="659" spans="1:13">
      <c r="A659" s="2">
        <f ca="1">IFERROR(__xludf.DUMMYFUNCTION("""COMPUTED_VALUE"""),665)</f>
        <v>665</v>
      </c>
      <c r="B659" s="2" t="str">
        <f ca="1">IFERROR(__xludf.DUMMYFUNCTION("""COMPUTED_VALUE"""),"Dell")</f>
        <v>Dell</v>
      </c>
      <c r="C659" s="2" t="str">
        <f ca="1">IFERROR(__xludf.DUMMYFUNCTION("""COMPUTED_VALUE"""),"Inspiron 5570")</f>
        <v>Inspiron 5570</v>
      </c>
      <c r="D659" s="2" t="str">
        <f ca="1">IFERROR(__xludf.DUMMYFUNCTION("""COMPUTED_VALUE"""),"Notebook")</f>
        <v>Notebook</v>
      </c>
      <c r="E659" s="2">
        <f ca="1">IFERROR(__xludf.DUMMYFUNCTION("""COMPUTED_VALUE"""),15.6)</f>
        <v>15.6</v>
      </c>
      <c r="F659" s="2" t="str">
        <f ca="1">IFERROR(__xludf.DUMMYFUNCTION("""COMPUTED_VALUE"""),"Full HD 1920x1080")</f>
        <v>Full HD 1920x1080</v>
      </c>
      <c r="G659" s="2" t="str">
        <f ca="1">IFERROR(__xludf.DUMMYFUNCTION("""COMPUTED_VALUE"""),"Intel Core i7 8550U 1.8GHz")</f>
        <v>Intel Core i7 8550U 1.8GHz</v>
      </c>
      <c r="H659" s="2" t="str">
        <f ca="1">IFERROR(__xludf.DUMMYFUNCTION("""COMPUTED_VALUE"""),"16GB")</f>
        <v>16GB</v>
      </c>
      <c r="I659" s="2" t="str">
        <f ca="1">IFERROR(__xludf.DUMMYFUNCTION("""COMPUTED_VALUE"""),"256GB SSD +  2TB HDD")</f>
        <v>256GB SSD +  2TB HDD</v>
      </c>
      <c r="J659" s="2" t="str">
        <f ca="1">IFERROR(__xludf.DUMMYFUNCTION("""COMPUTED_VALUE"""),"AMD Radeon 530")</f>
        <v>AMD Radeon 530</v>
      </c>
      <c r="K659" s="2" t="str">
        <f ca="1">IFERROR(__xludf.DUMMYFUNCTION("""COMPUTED_VALUE"""),"Windows 10")</f>
        <v>Windows 10</v>
      </c>
      <c r="L659" s="2" t="str">
        <f ca="1">IFERROR(__xludf.DUMMYFUNCTION("""COMPUTED_VALUE"""),"2.2kg")</f>
        <v>2.2kg</v>
      </c>
      <c r="M659" s="2">
        <f ca="1">IFERROR(__xludf.DUMMYFUNCTION("""COMPUTED_VALUE"""),1135)</f>
        <v>1135</v>
      </c>
    </row>
    <row r="660" spans="1:13">
      <c r="A660" s="2">
        <f ca="1">IFERROR(__xludf.DUMMYFUNCTION("""COMPUTED_VALUE"""),666)</f>
        <v>666</v>
      </c>
      <c r="B660" s="2" t="str">
        <f ca="1">IFERROR(__xludf.DUMMYFUNCTION("""COMPUTED_VALUE"""),"Lenovo")</f>
        <v>Lenovo</v>
      </c>
      <c r="C660" s="2" t="str">
        <f ca="1">IFERROR(__xludf.DUMMYFUNCTION("""COMPUTED_VALUE"""),"IdeaPad Y700-15ISK")</f>
        <v>IdeaPad Y700-15ISK</v>
      </c>
      <c r="D660" s="2" t="str">
        <f ca="1">IFERROR(__xludf.DUMMYFUNCTION("""COMPUTED_VALUE"""),"Gaming")</f>
        <v>Gaming</v>
      </c>
      <c r="E660" s="2">
        <f ca="1">IFERROR(__xludf.DUMMYFUNCTION("""COMPUTED_VALUE"""),15.6)</f>
        <v>15.6</v>
      </c>
      <c r="F660" s="2" t="str">
        <f ca="1">IFERROR(__xludf.DUMMYFUNCTION("""COMPUTED_VALUE"""),"IPS Panel Full HD 1920x1080")</f>
        <v>IPS Panel Full HD 1920x1080</v>
      </c>
      <c r="G660" s="2" t="str">
        <f ca="1">IFERROR(__xludf.DUMMYFUNCTION("""COMPUTED_VALUE"""),"Intel Core i7 6700HQ 2.6GHz")</f>
        <v>Intel Core i7 6700HQ 2.6GHz</v>
      </c>
      <c r="H660" s="2" t="str">
        <f ca="1">IFERROR(__xludf.DUMMYFUNCTION("""COMPUTED_VALUE"""),"8GB")</f>
        <v>8GB</v>
      </c>
      <c r="I660" s="2" t="str">
        <f ca="1">IFERROR(__xludf.DUMMYFUNCTION("""COMPUTED_VALUE"""),"128GB SSD +  1TB HDD")</f>
        <v>128GB SSD +  1TB HDD</v>
      </c>
      <c r="J660" s="2" t="str">
        <f ca="1">IFERROR(__xludf.DUMMYFUNCTION("""COMPUTED_VALUE"""),"Nvidia GeForce GTX 960")</f>
        <v>Nvidia GeForce GTX 960</v>
      </c>
      <c r="K660" s="2" t="str">
        <f ca="1">IFERROR(__xludf.DUMMYFUNCTION("""COMPUTED_VALUE"""),"Windows 10")</f>
        <v>Windows 10</v>
      </c>
      <c r="L660" s="2" t="str">
        <f ca="1">IFERROR(__xludf.DUMMYFUNCTION("""COMPUTED_VALUE"""),"3.31kg")</f>
        <v>3.31kg</v>
      </c>
      <c r="M660" s="2">
        <f ca="1">IFERROR(__xludf.DUMMYFUNCTION("""COMPUTED_VALUE"""),1196)</f>
        <v>1196</v>
      </c>
    </row>
    <row r="661" spans="1:13">
      <c r="A661" s="2">
        <f ca="1">IFERROR(__xludf.DUMMYFUNCTION("""COMPUTED_VALUE"""),667)</f>
        <v>667</v>
      </c>
      <c r="B661" s="2" t="str">
        <f ca="1">IFERROR(__xludf.DUMMYFUNCTION("""COMPUTED_VALUE"""),"Dell")</f>
        <v>Dell</v>
      </c>
      <c r="C661" s="2" t="str">
        <f ca="1">IFERROR(__xludf.DUMMYFUNCTION("""COMPUTED_VALUE"""),"Alienware 17")</f>
        <v>Alienware 17</v>
      </c>
      <c r="D661" s="2" t="str">
        <f ca="1">IFERROR(__xludf.DUMMYFUNCTION("""COMPUTED_VALUE"""),"Gaming")</f>
        <v>Gaming</v>
      </c>
      <c r="E661" s="2">
        <f ca="1">IFERROR(__xludf.DUMMYFUNCTION("""COMPUTED_VALUE"""),17.3)</f>
        <v>17.3</v>
      </c>
      <c r="F661" s="2" t="str">
        <f ca="1">IFERROR(__xludf.DUMMYFUNCTION("""COMPUTED_VALUE"""),"IPS Panel 4K Ultra HD 3840x2160")</f>
        <v>IPS Panel 4K Ultra HD 3840x2160</v>
      </c>
      <c r="G661" s="2" t="str">
        <f ca="1">IFERROR(__xludf.DUMMYFUNCTION("""COMPUTED_VALUE"""),"Intel Core i7 7700HQ 2.8GHz")</f>
        <v>Intel Core i7 7700HQ 2.8GHz</v>
      </c>
      <c r="H661" s="2" t="str">
        <f ca="1">IFERROR(__xludf.DUMMYFUNCTION("""COMPUTED_VALUE"""),"32GB")</f>
        <v>32GB</v>
      </c>
      <c r="I661" s="2" t="str">
        <f ca="1">IFERROR(__xludf.DUMMYFUNCTION("""COMPUTED_VALUE"""),"512GB SSD +  1TB HDD")</f>
        <v>512GB SSD +  1TB HDD</v>
      </c>
      <c r="J661" s="2" t="str">
        <f ca="1">IFERROR(__xludf.DUMMYFUNCTION("""COMPUTED_VALUE"""),"Nvidia GeForce GTX 1070")</f>
        <v>Nvidia GeForce GTX 1070</v>
      </c>
      <c r="K661" s="2" t="str">
        <f ca="1">IFERROR(__xludf.DUMMYFUNCTION("""COMPUTED_VALUE"""),"Windows 10")</f>
        <v>Windows 10</v>
      </c>
      <c r="L661" s="2" t="str">
        <f ca="1">IFERROR(__xludf.DUMMYFUNCTION("""COMPUTED_VALUE"""),"4.42kg")</f>
        <v>4.42kg</v>
      </c>
      <c r="M661" s="2">
        <f ca="1">IFERROR(__xludf.DUMMYFUNCTION("""COMPUTED_VALUE"""),3147.37)</f>
        <v>3147.37</v>
      </c>
    </row>
    <row r="662" spans="1:13">
      <c r="A662" s="2">
        <f ca="1">IFERROR(__xludf.DUMMYFUNCTION("""COMPUTED_VALUE"""),668)</f>
        <v>668</v>
      </c>
      <c r="B662" s="2" t="str">
        <f ca="1">IFERROR(__xludf.DUMMYFUNCTION("""COMPUTED_VALUE"""),"Dell")</f>
        <v>Dell</v>
      </c>
      <c r="C662" s="2" t="str">
        <f ca="1">IFERROR(__xludf.DUMMYFUNCTION("""COMPUTED_VALUE"""),"Latitude E7470")</f>
        <v>Latitude E7470</v>
      </c>
      <c r="D662" s="2" t="str">
        <f ca="1">IFERROR(__xludf.DUMMYFUNCTION("""COMPUTED_VALUE"""),"Notebook")</f>
        <v>Notebook</v>
      </c>
      <c r="E662" s="2">
        <f ca="1">IFERROR(__xludf.DUMMYFUNCTION("""COMPUTED_VALUE"""),14)</f>
        <v>14</v>
      </c>
      <c r="F662" s="2" t="str">
        <f ca="1">IFERROR(__xludf.DUMMYFUNCTION("""COMPUTED_VALUE"""),"Full HD 1920x1080")</f>
        <v>Full HD 1920x1080</v>
      </c>
      <c r="G662" s="2" t="str">
        <f ca="1">IFERROR(__xludf.DUMMYFUNCTION("""COMPUTED_VALUE"""),"Intel Core i5 6300U 2.4GHz")</f>
        <v>Intel Core i5 6300U 2.4GHz</v>
      </c>
      <c r="H662" s="2" t="str">
        <f ca="1">IFERROR(__xludf.DUMMYFUNCTION("""COMPUTED_VALUE"""),"8GB")</f>
        <v>8GB</v>
      </c>
      <c r="I662" s="2" t="str">
        <f ca="1">IFERROR(__xludf.DUMMYFUNCTION("""COMPUTED_VALUE"""),"256GB SSD")</f>
        <v>256GB SSD</v>
      </c>
      <c r="J662" s="2" t="str">
        <f ca="1">IFERROR(__xludf.DUMMYFUNCTION("""COMPUTED_VALUE"""),"Intel HD Graphics 520")</f>
        <v>Intel HD Graphics 520</v>
      </c>
      <c r="K662" s="2" t="str">
        <f ca="1">IFERROR(__xludf.DUMMYFUNCTION("""COMPUTED_VALUE"""),"Windows 10")</f>
        <v>Windows 10</v>
      </c>
      <c r="L662" s="2" t="str">
        <f ca="1">IFERROR(__xludf.DUMMYFUNCTION("""COMPUTED_VALUE"""),"1.56kg")</f>
        <v>1.56kg</v>
      </c>
      <c r="M662" s="2">
        <f ca="1">IFERROR(__xludf.DUMMYFUNCTION("""COMPUTED_VALUE"""),1229)</f>
        <v>1229</v>
      </c>
    </row>
    <row r="663" spans="1:13">
      <c r="A663" s="2">
        <f ca="1">IFERROR(__xludf.DUMMYFUNCTION("""COMPUTED_VALUE"""),669)</f>
        <v>669</v>
      </c>
      <c r="B663" s="2" t="str">
        <f ca="1">IFERROR(__xludf.DUMMYFUNCTION("""COMPUTED_VALUE"""),"Lenovo")</f>
        <v>Lenovo</v>
      </c>
      <c r="C663" s="2" t="str">
        <f ca="1">IFERROR(__xludf.DUMMYFUNCTION("""COMPUTED_VALUE"""),"Ideapad 320-15IAP")</f>
        <v>Ideapad 320-15IAP</v>
      </c>
      <c r="D663" s="2" t="str">
        <f ca="1">IFERROR(__xludf.DUMMYFUNCTION("""COMPUTED_VALUE"""),"Notebook")</f>
        <v>Notebook</v>
      </c>
      <c r="E663" s="2">
        <f ca="1">IFERROR(__xludf.DUMMYFUNCTION("""COMPUTED_VALUE"""),15.6)</f>
        <v>15.6</v>
      </c>
      <c r="F663" s="2" t="str">
        <f ca="1">IFERROR(__xludf.DUMMYFUNCTION("""COMPUTED_VALUE"""),"1366x768")</f>
        <v>1366x768</v>
      </c>
      <c r="G663" s="2" t="str">
        <f ca="1">IFERROR(__xludf.DUMMYFUNCTION("""COMPUTED_VALUE"""),"Intel Celeron Dual Core N3350 1.1GHz")</f>
        <v>Intel Celeron Dual Core N3350 1.1GHz</v>
      </c>
      <c r="H663" s="2" t="str">
        <f ca="1">IFERROR(__xludf.DUMMYFUNCTION("""COMPUTED_VALUE"""),"4GB")</f>
        <v>4GB</v>
      </c>
      <c r="I663" s="2" t="str">
        <f ca="1">IFERROR(__xludf.DUMMYFUNCTION("""COMPUTED_VALUE"""),"500GB HDD")</f>
        <v>500GB HDD</v>
      </c>
      <c r="J663" s="2" t="str">
        <f ca="1">IFERROR(__xludf.DUMMYFUNCTION("""COMPUTED_VALUE"""),"Intel HD Graphics 500")</f>
        <v>Intel HD Graphics 500</v>
      </c>
      <c r="K663" s="2" t="str">
        <f ca="1">IFERROR(__xludf.DUMMYFUNCTION("""COMPUTED_VALUE"""),"Windows 10")</f>
        <v>Windows 10</v>
      </c>
      <c r="L663" s="2" t="str">
        <f ca="1">IFERROR(__xludf.DUMMYFUNCTION("""COMPUTED_VALUE"""),"2.2kg")</f>
        <v>2.2kg</v>
      </c>
      <c r="M663" s="2">
        <f ca="1">IFERROR(__xludf.DUMMYFUNCTION("""COMPUTED_VALUE"""),419)</f>
        <v>419</v>
      </c>
    </row>
    <row r="664" spans="1:13">
      <c r="A664" s="2">
        <f ca="1">IFERROR(__xludf.DUMMYFUNCTION("""COMPUTED_VALUE"""),670)</f>
        <v>670</v>
      </c>
      <c r="B664" s="2" t="str">
        <f ca="1">IFERROR(__xludf.DUMMYFUNCTION("""COMPUTED_VALUE"""),"Lenovo")</f>
        <v>Lenovo</v>
      </c>
      <c r="C664" s="2" t="str">
        <f ca="1">IFERROR(__xludf.DUMMYFUNCTION("""COMPUTED_VALUE"""),"IdeaPad 320-15ISK")</f>
        <v>IdeaPad 320-15ISK</v>
      </c>
      <c r="D664" s="2" t="str">
        <f ca="1">IFERROR(__xludf.DUMMYFUNCTION("""COMPUTED_VALUE"""),"Notebook")</f>
        <v>Notebook</v>
      </c>
      <c r="E664" s="2">
        <f ca="1">IFERROR(__xludf.DUMMYFUNCTION("""COMPUTED_VALUE"""),15.6)</f>
        <v>15.6</v>
      </c>
      <c r="F664" s="2" t="str">
        <f ca="1">IFERROR(__xludf.DUMMYFUNCTION("""COMPUTED_VALUE"""),"Full HD 1920x1080")</f>
        <v>Full HD 1920x1080</v>
      </c>
      <c r="G664" s="2" t="str">
        <f ca="1">IFERROR(__xludf.DUMMYFUNCTION("""COMPUTED_VALUE"""),"Intel Core i5 6200U 2.3GHz")</f>
        <v>Intel Core i5 6200U 2.3GHz</v>
      </c>
      <c r="H664" s="2" t="str">
        <f ca="1">IFERROR(__xludf.DUMMYFUNCTION("""COMPUTED_VALUE"""),"4GB")</f>
        <v>4GB</v>
      </c>
      <c r="I664" s="2" t="str">
        <f ca="1">IFERROR(__xludf.DUMMYFUNCTION("""COMPUTED_VALUE"""),"500GB HDD")</f>
        <v>500GB HDD</v>
      </c>
      <c r="J664" s="2" t="str">
        <f ca="1">IFERROR(__xludf.DUMMYFUNCTION("""COMPUTED_VALUE"""),"Intel HD Graphics 520")</f>
        <v>Intel HD Graphics 520</v>
      </c>
      <c r="K664" s="2" t="str">
        <f ca="1">IFERROR(__xludf.DUMMYFUNCTION("""COMPUTED_VALUE"""),"Windows 10")</f>
        <v>Windows 10</v>
      </c>
      <c r="L664" s="2" t="str">
        <f ca="1">IFERROR(__xludf.DUMMYFUNCTION("""COMPUTED_VALUE"""),"2.2kg")</f>
        <v>2.2kg</v>
      </c>
      <c r="M664" s="2">
        <f ca="1">IFERROR(__xludf.DUMMYFUNCTION("""COMPUTED_VALUE"""),535)</f>
        <v>535</v>
      </c>
    </row>
    <row r="665" spans="1:13">
      <c r="A665" s="2">
        <f ca="1">IFERROR(__xludf.DUMMYFUNCTION("""COMPUTED_VALUE"""),671)</f>
        <v>671</v>
      </c>
      <c r="B665" s="2" t="str">
        <f ca="1">IFERROR(__xludf.DUMMYFUNCTION("""COMPUTED_VALUE"""),"HP")</f>
        <v>HP</v>
      </c>
      <c r="C665" s="2" t="str">
        <f ca="1">IFERROR(__xludf.DUMMYFUNCTION("""COMPUTED_VALUE"""),"15-ay047nv (i3-6006U/6GB/1TB/Radeon")</f>
        <v>15-ay047nv (i3-6006U/6GB/1TB/Radeon</v>
      </c>
      <c r="D665" s="2" t="str">
        <f ca="1">IFERROR(__xludf.DUMMYFUNCTION("""COMPUTED_VALUE"""),"Notebook")</f>
        <v>Notebook</v>
      </c>
      <c r="E665" s="2">
        <f ca="1">IFERROR(__xludf.DUMMYFUNCTION("""COMPUTED_VALUE"""),15.6)</f>
        <v>15.6</v>
      </c>
      <c r="F665" s="2" t="str">
        <f ca="1">IFERROR(__xludf.DUMMYFUNCTION("""COMPUTED_VALUE"""),"1920x1080")</f>
        <v>1920x1080</v>
      </c>
      <c r="G665" s="2" t="str">
        <f ca="1">IFERROR(__xludf.DUMMYFUNCTION("""COMPUTED_VALUE"""),"Intel Core i3 6006U 2GHz")</f>
        <v>Intel Core i3 6006U 2GHz</v>
      </c>
      <c r="H665" s="2" t="str">
        <f ca="1">IFERROR(__xludf.DUMMYFUNCTION("""COMPUTED_VALUE"""),"6GB")</f>
        <v>6GB</v>
      </c>
      <c r="I665" s="2" t="str">
        <f ca="1">IFERROR(__xludf.DUMMYFUNCTION("""COMPUTED_VALUE"""),"1TB HDD")</f>
        <v>1TB HDD</v>
      </c>
      <c r="J665" s="2" t="str">
        <f ca="1">IFERROR(__xludf.DUMMYFUNCTION("""COMPUTED_VALUE"""),"AMD Radeon R5 M430")</f>
        <v>AMD Radeon R5 M430</v>
      </c>
      <c r="K665" s="2" t="str">
        <f ca="1">IFERROR(__xludf.DUMMYFUNCTION("""COMPUTED_VALUE"""),"Windows 10")</f>
        <v>Windows 10</v>
      </c>
      <c r="L665" s="2" t="str">
        <f ca="1">IFERROR(__xludf.DUMMYFUNCTION("""COMPUTED_VALUE"""),"2.04kg")</f>
        <v>2.04kg</v>
      </c>
      <c r="M665" s="2">
        <f ca="1">IFERROR(__xludf.DUMMYFUNCTION("""COMPUTED_VALUE"""),539)</f>
        <v>539</v>
      </c>
    </row>
    <row r="666" spans="1:13">
      <c r="A666" s="2">
        <f ca="1">IFERROR(__xludf.DUMMYFUNCTION("""COMPUTED_VALUE"""),672)</f>
        <v>672</v>
      </c>
      <c r="B666" s="2" t="str">
        <f ca="1">IFERROR(__xludf.DUMMYFUNCTION("""COMPUTED_VALUE"""),"MSI")</f>
        <v>MSI</v>
      </c>
      <c r="C666" s="2" t="str">
        <f ca="1">IFERROR(__xludf.DUMMYFUNCTION("""COMPUTED_VALUE"""),"GP72VR Leopard")</f>
        <v>GP72VR Leopard</v>
      </c>
      <c r="D666" s="2" t="str">
        <f ca="1">IFERROR(__xludf.DUMMYFUNCTION("""COMPUTED_VALUE"""),"Gaming")</f>
        <v>Gaming</v>
      </c>
      <c r="E666" s="2">
        <f ca="1">IFERROR(__xludf.DUMMYFUNCTION("""COMPUTED_VALUE"""),17.3)</f>
        <v>17.3</v>
      </c>
      <c r="F666" s="2" t="str">
        <f ca="1">IFERROR(__xludf.DUMMYFUNCTION("""COMPUTED_VALUE"""),"Full HD 1920x1080")</f>
        <v>Full HD 1920x1080</v>
      </c>
      <c r="G666" s="2" t="str">
        <f ca="1">IFERROR(__xludf.DUMMYFUNCTION("""COMPUTED_VALUE"""),"Intel Core i7 7700HQ 2.8GHz")</f>
        <v>Intel Core i7 7700HQ 2.8GHz</v>
      </c>
      <c r="H666" s="2" t="str">
        <f ca="1">IFERROR(__xludf.DUMMYFUNCTION("""COMPUTED_VALUE"""),"8GB")</f>
        <v>8GB</v>
      </c>
      <c r="I666" s="2" t="str">
        <f ca="1">IFERROR(__xludf.DUMMYFUNCTION("""COMPUTED_VALUE"""),"128GB SSD +  1TB HDD")</f>
        <v>128GB SSD +  1TB HDD</v>
      </c>
      <c r="J666" s="2" t="str">
        <f ca="1">IFERROR(__xludf.DUMMYFUNCTION("""COMPUTED_VALUE"""),"Nvidia GeForce GTX 1060")</f>
        <v>Nvidia GeForce GTX 1060</v>
      </c>
      <c r="K666" s="2" t="str">
        <f ca="1">IFERROR(__xludf.DUMMYFUNCTION("""COMPUTED_VALUE"""),"Windows 10")</f>
        <v>Windows 10</v>
      </c>
      <c r="L666" s="2" t="str">
        <f ca="1">IFERROR(__xludf.DUMMYFUNCTION("""COMPUTED_VALUE"""),"2.7kg")</f>
        <v>2.7kg</v>
      </c>
      <c r="M666" s="2">
        <f ca="1">IFERROR(__xludf.DUMMYFUNCTION("""COMPUTED_VALUE"""),1486.77)</f>
        <v>1486.77</v>
      </c>
    </row>
    <row r="667" spans="1:13">
      <c r="A667" s="2">
        <f ca="1">IFERROR(__xludf.DUMMYFUNCTION("""COMPUTED_VALUE"""),673)</f>
        <v>673</v>
      </c>
      <c r="B667" s="2" t="str">
        <f ca="1">IFERROR(__xludf.DUMMYFUNCTION("""COMPUTED_VALUE"""),"Toshiba")</f>
        <v>Toshiba</v>
      </c>
      <c r="C667" s="2" t="str">
        <f ca="1">IFERROR(__xludf.DUMMYFUNCTION("""COMPUTED_VALUE"""),"Satellite Pro")</f>
        <v>Satellite Pro</v>
      </c>
      <c r="D667" s="2" t="str">
        <f ca="1">IFERROR(__xludf.DUMMYFUNCTION("""COMPUTED_VALUE"""),"Notebook")</f>
        <v>Notebook</v>
      </c>
      <c r="E667" s="2">
        <f ca="1">IFERROR(__xludf.DUMMYFUNCTION("""COMPUTED_VALUE"""),15.6)</f>
        <v>15.6</v>
      </c>
      <c r="F667" s="2" t="str">
        <f ca="1">IFERROR(__xludf.DUMMYFUNCTION("""COMPUTED_VALUE"""),"1366x768")</f>
        <v>1366x768</v>
      </c>
      <c r="G667" s="2" t="str">
        <f ca="1">IFERROR(__xludf.DUMMYFUNCTION("""COMPUTED_VALUE"""),"Intel Core i3 6100U 2.1GHz")</f>
        <v>Intel Core i3 6100U 2.1GHz</v>
      </c>
      <c r="H667" s="2" t="str">
        <f ca="1">IFERROR(__xludf.DUMMYFUNCTION("""COMPUTED_VALUE"""),"4GB")</f>
        <v>4GB</v>
      </c>
      <c r="I667" s="2" t="str">
        <f ca="1">IFERROR(__xludf.DUMMYFUNCTION("""COMPUTED_VALUE"""),"128GB SSD")</f>
        <v>128GB SSD</v>
      </c>
      <c r="J667" s="2" t="str">
        <f ca="1">IFERROR(__xludf.DUMMYFUNCTION("""COMPUTED_VALUE"""),"Intel HD Graphics 520")</f>
        <v>Intel HD Graphics 520</v>
      </c>
      <c r="K667" s="2" t="str">
        <f ca="1">IFERROR(__xludf.DUMMYFUNCTION("""COMPUTED_VALUE"""),"Windows 10")</f>
        <v>Windows 10</v>
      </c>
      <c r="L667" s="2" t="str">
        <f ca="1">IFERROR(__xludf.DUMMYFUNCTION("""COMPUTED_VALUE"""),"2.1kg")</f>
        <v>2.1kg</v>
      </c>
      <c r="M667" s="2">
        <f ca="1">IFERROR(__xludf.DUMMYFUNCTION("""COMPUTED_VALUE"""),498)</f>
        <v>498</v>
      </c>
    </row>
    <row r="668" spans="1:13">
      <c r="A668" s="2">
        <f ca="1">IFERROR(__xludf.DUMMYFUNCTION("""COMPUTED_VALUE"""),674)</f>
        <v>674</v>
      </c>
      <c r="B668" s="2" t="str">
        <f ca="1">IFERROR(__xludf.DUMMYFUNCTION("""COMPUTED_VALUE"""),"Dell")</f>
        <v>Dell</v>
      </c>
      <c r="C668" s="2" t="str">
        <f ca="1">IFERROR(__xludf.DUMMYFUNCTION("""COMPUTED_VALUE"""),"Latitude 3580")</f>
        <v>Latitude 3580</v>
      </c>
      <c r="D668" s="2" t="str">
        <f ca="1">IFERROR(__xludf.DUMMYFUNCTION("""COMPUTED_VALUE"""),"Notebook")</f>
        <v>Notebook</v>
      </c>
      <c r="E668" s="2">
        <f ca="1">IFERROR(__xludf.DUMMYFUNCTION("""COMPUTED_VALUE"""),15.6)</f>
        <v>15.6</v>
      </c>
      <c r="F668" s="2" t="str">
        <f ca="1">IFERROR(__xludf.DUMMYFUNCTION("""COMPUTED_VALUE"""),"Full HD 1920x1080")</f>
        <v>Full HD 1920x1080</v>
      </c>
      <c r="G668" s="2" t="str">
        <f ca="1">IFERROR(__xludf.DUMMYFUNCTION("""COMPUTED_VALUE"""),"Intel Core i5 7200U 2.5GHz")</f>
        <v>Intel Core i5 7200U 2.5GHz</v>
      </c>
      <c r="H668" s="2" t="str">
        <f ca="1">IFERROR(__xludf.DUMMYFUNCTION("""COMPUTED_VALUE"""),"8GB")</f>
        <v>8GB</v>
      </c>
      <c r="I668" s="2" t="str">
        <f ca="1">IFERROR(__xludf.DUMMYFUNCTION("""COMPUTED_VALUE"""),"1TB HDD")</f>
        <v>1TB HDD</v>
      </c>
      <c r="J668" s="2" t="str">
        <f ca="1">IFERROR(__xludf.DUMMYFUNCTION("""COMPUTED_VALUE"""),"Intel HD Graphics 620")</f>
        <v>Intel HD Graphics 620</v>
      </c>
      <c r="K668" s="2" t="str">
        <f ca="1">IFERROR(__xludf.DUMMYFUNCTION("""COMPUTED_VALUE"""),"Windows 10")</f>
        <v>Windows 10</v>
      </c>
      <c r="L668" s="2" t="str">
        <f ca="1">IFERROR(__xludf.DUMMYFUNCTION("""COMPUTED_VALUE"""),"2.06kg")</f>
        <v>2.06kg</v>
      </c>
      <c r="M668" s="2">
        <f ca="1">IFERROR(__xludf.DUMMYFUNCTION("""COMPUTED_VALUE"""),955)</f>
        <v>955</v>
      </c>
    </row>
    <row r="669" spans="1:13">
      <c r="A669" s="2">
        <f ca="1">IFERROR(__xludf.DUMMYFUNCTION("""COMPUTED_VALUE"""),675)</f>
        <v>675</v>
      </c>
      <c r="B669" s="2" t="str">
        <f ca="1">IFERROR(__xludf.DUMMYFUNCTION("""COMPUTED_VALUE"""),"HP")</f>
        <v>HP</v>
      </c>
      <c r="C669" s="2" t="str">
        <f ca="1">IFERROR(__xludf.DUMMYFUNCTION("""COMPUTED_VALUE"""),"15-bs012nv (i7-7500U/8GB/1TB/Radeon")</f>
        <v>15-bs012nv (i7-7500U/8GB/1TB/Radeon</v>
      </c>
      <c r="D669" s="2" t="str">
        <f ca="1">IFERROR(__xludf.DUMMYFUNCTION("""COMPUTED_VALUE"""),"Notebook")</f>
        <v>Notebook</v>
      </c>
      <c r="E669" s="2">
        <f ca="1">IFERROR(__xludf.DUMMYFUNCTION("""COMPUTED_VALUE"""),15.6)</f>
        <v>15.6</v>
      </c>
      <c r="F669" s="2" t="str">
        <f ca="1">IFERROR(__xludf.DUMMYFUNCTION("""COMPUTED_VALUE"""),"Full HD 1920x1080")</f>
        <v>Full HD 1920x1080</v>
      </c>
      <c r="G669" s="2" t="str">
        <f ca="1">IFERROR(__xludf.DUMMYFUNCTION("""COMPUTED_VALUE"""),"Intel Core i7 7500U 2.7GHz")</f>
        <v>Intel Core i7 7500U 2.7GHz</v>
      </c>
      <c r="H669" s="2" t="str">
        <f ca="1">IFERROR(__xludf.DUMMYFUNCTION("""COMPUTED_VALUE"""),"8GB")</f>
        <v>8GB</v>
      </c>
      <c r="I669" s="2" t="str">
        <f ca="1">IFERROR(__xludf.DUMMYFUNCTION("""COMPUTED_VALUE"""),"1TB HDD")</f>
        <v>1TB HDD</v>
      </c>
      <c r="J669" s="2" t="str">
        <f ca="1">IFERROR(__xludf.DUMMYFUNCTION("""COMPUTED_VALUE"""),"AMD Radeon 530")</f>
        <v>AMD Radeon 530</v>
      </c>
      <c r="K669" s="2" t="str">
        <f ca="1">IFERROR(__xludf.DUMMYFUNCTION("""COMPUTED_VALUE"""),"Windows 10")</f>
        <v>Windows 10</v>
      </c>
      <c r="L669" s="2" t="str">
        <f ca="1">IFERROR(__xludf.DUMMYFUNCTION("""COMPUTED_VALUE"""),"2.1kg")</f>
        <v>2.1kg</v>
      </c>
      <c r="M669" s="2">
        <f ca="1">IFERROR(__xludf.DUMMYFUNCTION("""COMPUTED_VALUE"""),745)</f>
        <v>745</v>
      </c>
    </row>
    <row r="670" spans="1:13">
      <c r="A670" s="2">
        <f ca="1">IFERROR(__xludf.DUMMYFUNCTION("""COMPUTED_VALUE"""),676)</f>
        <v>676</v>
      </c>
      <c r="B670" s="2" t="str">
        <f ca="1">IFERROR(__xludf.DUMMYFUNCTION("""COMPUTED_VALUE"""),"Toshiba")</f>
        <v>Toshiba</v>
      </c>
      <c r="C670" s="2" t="str">
        <f ca="1">IFERROR(__xludf.DUMMYFUNCTION("""COMPUTED_VALUE"""),"Tecra Z50-D-10E")</f>
        <v>Tecra Z50-D-10E</v>
      </c>
      <c r="D670" s="2" t="str">
        <f ca="1">IFERROR(__xludf.DUMMYFUNCTION("""COMPUTED_VALUE"""),"Notebook")</f>
        <v>Notebook</v>
      </c>
      <c r="E670" s="2">
        <f ca="1">IFERROR(__xludf.DUMMYFUNCTION("""COMPUTED_VALUE"""),15.6)</f>
        <v>15.6</v>
      </c>
      <c r="F670" s="2" t="str">
        <f ca="1">IFERROR(__xludf.DUMMYFUNCTION("""COMPUTED_VALUE"""),"IPS Panel Full HD 1920x1080")</f>
        <v>IPS Panel Full HD 1920x1080</v>
      </c>
      <c r="G670" s="2" t="str">
        <f ca="1">IFERROR(__xludf.DUMMYFUNCTION("""COMPUTED_VALUE"""),"Intel Core i5 7200U 2.5GHz")</f>
        <v>Intel Core i5 7200U 2.5GHz</v>
      </c>
      <c r="H670" s="2" t="str">
        <f ca="1">IFERROR(__xludf.DUMMYFUNCTION("""COMPUTED_VALUE"""),"8GB")</f>
        <v>8GB</v>
      </c>
      <c r="I670" s="2" t="str">
        <f ca="1">IFERROR(__xludf.DUMMYFUNCTION("""COMPUTED_VALUE"""),"256GB SSD")</f>
        <v>256GB SSD</v>
      </c>
      <c r="J670" s="2" t="str">
        <f ca="1">IFERROR(__xludf.DUMMYFUNCTION("""COMPUTED_VALUE"""),"Intel HD Graphics 620")</f>
        <v>Intel HD Graphics 620</v>
      </c>
      <c r="K670" s="2" t="str">
        <f ca="1">IFERROR(__xludf.DUMMYFUNCTION("""COMPUTED_VALUE"""),"Windows 10")</f>
        <v>Windows 10</v>
      </c>
      <c r="L670" s="2" t="str">
        <f ca="1">IFERROR(__xludf.DUMMYFUNCTION("""COMPUTED_VALUE"""),"2.0kg")</f>
        <v>2.0kg</v>
      </c>
      <c r="M670" s="2">
        <f ca="1">IFERROR(__xludf.DUMMYFUNCTION("""COMPUTED_VALUE"""),1258)</f>
        <v>1258</v>
      </c>
    </row>
    <row r="671" spans="1:13">
      <c r="A671" s="2">
        <f ca="1">IFERROR(__xludf.DUMMYFUNCTION("""COMPUTED_VALUE"""),677)</f>
        <v>677</v>
      </c>
      <c r="B671" s="2" t="str">
        <f ca="1">IFERROR(__xludf.DUMMYFUNCTION("""COMPUTED_VALUE"""),"Acer")</f>
        <v>Acer</v>
      </c>
      <c r="C671" s="2" t="str">
        <f ca="1">IFERROR(__xludf.DUMMYFUNCTION("""COMPUTED_VALUE"""),"Aspire 3")</f>
        <v>Aspire 3</v>
      </c>
      <c r="D671" s="2" t="str">
        <f ca="1">IFERROR(__xludf.DUMMYFUNCTION("""COMPUTED_VALUE"""),"Notebook")</f>
        <v>Notebook</v>
      </c>
      <c r="E671" s="2">
        <f ca="1">IFERROR(__xludf.DUMMYFUNCTION("""COMPUTED_VALUE"""),15.6)</f>
        <v>15.6</v>
      </c>
      <c r="F671" s="2" t="str">
        <f ca="1">IFERROR(__xludf.DUMMYFUNCTION("""COMPUTED_VALUE"""),"1366x768")</f>
        <v>1366x768</v>
      </c>
      <c r="G671" s="2" t="str">
        <f ca="1">IFERROR(__xludf.DUMMYFUNCTION("""COMPUTED_VALUE"""),"Intel Core i3 6006U 2GHz")</f>
        <v>Intel Core i3 6006U 2GHz</v>
      </c>
      <c r="H671" s="2" t="str">
        <f ca="1">IFERROR(__xludf.DUMMYFUNCTION("""COMPUTED_VALUE"""),"4GB")</f>
        <v>4GB</v>
      </c>
      <c r="I671" s="2" t="str">
        <f ca="1">IFERROR(__xludf.DUMMYFUNCTION("""COMPUTED_VALUE"""),"128GB SSD")</f>
        <v>128GB SSD</v>
      </c>
      <c r="J671" s="2" t="str">
        <f ca="1">IFERROR(__xludf.DUMMYFUNCTION("""COMPUTED_VALUE"""),"Intel HD Graphics 520")</f>
        <v>Intel HD Graphics 520</v>
      </c>
      <c r="K671" s="2" t="str">
        <f ca="1">IFERROR(__xludf.DUMMYFUNCTION("""COMPUTED_VALUE"""),"Linux")</f>
        <v>Linux</v>
      </c>
      <c r="L671" s="2" t="str">
        <f ca="1">IFERROR(__xludf.DUMMYFUNCTION("""COMPUTED_VALUE"""),"2.1kg")</f>
        <v>2.1kg</v>
      </c>
      <c r="M671" s="2">
        <f ca="1">IFERROR(__xludf.DUMMYFUNCTION("""COMPUTED_VALUE"""),412)</f>
        <v>412</v>
      </c>
    </row>
    <row r="672" spans="1:13">
      <c r="A672" s="2">
        <f ca="1">IFERROR(__xludf.DUMMYFUNCTION("""COMPUTED_VALUE"""),678)</f>
        <v>678</v>
      </c>
      <c r="B672" s="2" t="str">
        <f ca="1">IFERROR(__xludf.DUMMYFUNCTION("""COMPUTED_VALUE"""),"Microsoft")</f>
        <v>Microsoft</v>
      </c>
      <c r="C672" s="2" t="str">
        <f ca="1">IFERROR(__xludf.DUMMYFUNCTION("""COMPUTED_VALUE"""),"Surface Laptop")</f>
        <v>Surface Laptop</v>
      </c>
      <c r="D672" s="2" t="str">
        <f ca="1">IFERROR(__xludf.DUMMYFUNCTION("""COMPUTED_VALUE"""),"Ultrabook")</f>
        <v>Ultrabook</v>
      </c>
      <c r="E672" s="2">
        <f ca="1">IFERROR(__xludf.DUMMYFUNCTION("""COMPUTED_VALUE"""),13.5)</f>
        <v>13.5</v>
      </c>
      <c r="F672" s="2" t="str">
        <f ca="1">IFERROR(__xludf.DUMMYFUNCTION("""COMPUTED_VALUE"""),"Touchscreen 2256x1504")</f>
        <v>Touchscreen 2256x1504</v>
      </c>
      <c r="G672" s="2" t="str">
        <f ca="1">IFERROR(__xludf.DUMMYFUNCTION("""COMPUTED_VALUE"""),"Intel Core i7 7600U 2.8GHz")</f>
        <v>Intel Core i7 7600U 2.8GHz</v>
      </c>
      <c r="H672" s="2" t="str">
        <f ca="1">IFERROR(__xludf.DUMMYFUNCTION("""COMPUTED_VALUE"""),"8GB")</f>
        <v>8GB</v>
      </c>
      <c r="I672" s="2" t="str">
        <f ca="1">IFERROR(__xludf.DUMMYFUNCTION("""COMPUTED_VALUE"""),"256GB SSD")</f>
        <v>256GB SSD</v>
      </c>
      <c r="J672" s="2" t="str">
        <f ca="1">IFERROR(__xludf.DUMMYFUNCTION("""COMPUTED_VALUE"""),"Intel Iris Plus Graphics 640")</f>
        <v>Intel Iris Plus Graphics 640</v>
      </c>
      <c r="K672" s="2" t="str">
        <f ca="1">IFERROR(__xludf.DUMMYFUNCTION("""COMPUTED_VALUE"""),"Windows 10 S")</f>
        <v>Windows 10 S</v>
      </c>
      <c r="L672" s="2" t="str">
        <f ca="1">IFERROR(__xludf.DUMMYFUNCTION("""COMPUTED_VALUE"""),"1.252kg")</f>
        <v>1.252kg</v>
      </c>
      <c r="M672" s="2">
        <f ca="1">IFERROR(__xludf.DUMMYFUNCTION("""COMPUTED_VALUE"""),1867.85)</f>
        <v>1867.85</v>
      </c>
    </row>
    <row r="673" spans="1:13">
      <c r="A673" s="2">
        <f ca="1">IFERROR(__xludf.DUMMYFUNCTION("""COMPUTED_VALUE"""),679)</f>
        <v>679</v>
      </c>
      <c r="B673" s="2" t="str">
        <f ca="1">IFERROR(__xludf.DUMMYFUNCTION("""COMPUTED_VALUE"""),"Lenovo")</f>
        <v>Lenovo</v>
      </c>
      <c r="C673" s="2" t="str">
        <f ca="1">IFERROR(__xludf.DUMMYFUNCTION("""COMPUTED_VALUE"""),"V310-15ISK (i5-7200U/8GB/1TB")</f>
        <v>V310-15ISK (i5-7200U/8GB/1TB</v>
      </c>
      <c r="D673" s="2" t="str">
        <f ca="1">IFERROR(__xludf.DUMMYFUNCTION("""COMPUTED_VALUE"""),"Notebook")</f>
        <v>Notebook</v>
      </c>
      <c r="E673" s="2">
        <f ca="1">IFERROR(__xludf.DUMMYFUNCTION("""COMPUTED_VALUE"""),15.6)</f>
        <v>15.6</v>
      </c>
      <c r="F673" s="2" t="str">
        <f ca="1">IFERROR(__xludf.DUMMYFUNCTION("""COMPUTED_VALUE"""),"Full HD 1920x1080")</f>
        <v>Full HD 1920x1080</v>
      </c>
      <c r="G673" s="2" t="str">
        <f ca="1">IFERROR(__xludf.DUMMYFUNCTION("""COMPUTED_VALUE"""),"Intel Core i5 7200U 2.5GHz")</f>
        <v>Intel Core i5 7200U 2.5GHz</v>
      </c>
      <c r="H673" s="2" t="str">
        <f ca="1">IFERROR(__xludf.DUMMYFUNCTION("""COMPUTED_VALUE"""),"8GB")</f>
        <v>8GB</v>
      </c>
      <c r="I673" s="2" t="str">
        <f ca="1">IFERROR(__xludf.DUMMYFUNCTION("""COMPUTED_VALUE"""),"128GB SSD +  1TB HDD")</f>
        <v>128GB SSD +  1TB HDD</v>
      </c>
      <c r="J673" s="2" t="str">
        <f ca="1">IFERROR(__xludf.DUMMYFUNCTION("""COMPUTED_VALUE"""),"AMD Radeon R5 M430")</f>
        <v>AMD Radeon R5 M430</v>
      </c>
      <c r="K673" s="2" t="str">
        <f ca="1">IFERROR(__xludf.DUMMYFUNCTION("""COMPUTED_VALUE"""),"Windows 10")</f>
        <v>Windows 10</v>
      </c>
      <c r="L673" s="2" t="str">
        <f ca="1">IFERROR(__xludf.DUMMYFUNCTION("""COMPUTED_VALUE"""),"1.90kg")</f>
        <v>1.90kg</v>
      </c>
      <c r="M673" s="2">
        <f ca="1">IFERROR(__xludf.DUMMYFUNCTION("""COMPUTED_VALUE"""),817.95)</f>
        <v>817.95</v>
      </c>
    </row>
    <row r="674" spans="1:13">
      <c r="A674" s="2">
        <f ca="1">IFERROR(__xludf.DUMMYFUNCTION("""COMPUTED_VALUE"""),680)</f>
        <v>680</v>
      </c>
      <c r="B674" s="2" t="str">
        <f ca="1">IFERROR(__xludf.DUMMYFUNCTION("""COMPUTED_VALUE"""),"Lenovo")</f>
        <v>Lenovo</v>
      </c>
      <c r="C674" s="2" t="str">
        <f ca="1">IFERROR(__xludf.DUMMYFUNCTION("""COMPUTED_VALUE"""),"Yoga 720-13IKB")</f>
        <v>Yoga 720-13IKB</v>
      </c>
      <c r="D674" s="2" t="str">
        <f ca="1">IFERROR(__xludf.DUMMYFUNCTION("""COMPUTED_VALUE"""),"2 in 1 Convertible")</f>
        <v>2 in 1 Convertible</v>
      </c>
      <c r="E674" s="2">
        <f ca="1">IFERROR(__xludf.DUMMYFUNCTION("""COMPUTED_VALUE"""),13.3)</f>
        <v>13.3</v>
      </c>
      <c r="F674" s="2" t="str">
        <f ca="1">IFERROR(__xludf.DUMMYFUNCTION("""COMPUTED_VALUE"""),"IPS Panel Full HD / Touchscreen 1920x1080")</f>
        <v>IPS Panel Full HD / Touchscreen 1920x1080</v>
      </c>
      <c r="G674" s="2" t="str">
        <f ca="1">IFERROR(__xludf.DUMMYFUNCTION("""COMPUTED_VALUE"""),"Intel Core i5 7200U 2.5GHz")</f>
        <v>Intel Core i5 7200U 2.5GHz</v>
      </c>
      <c r="H674" s="2" t="str">
        <f ca="1">IFERROR(__xludf.DUMMYFUNCTION("""COMPUTED_VALUE"""),"8GB")</f>
        <v>8GB</v>
      </c>
      <c r="I674" s="2" t="str">
        <f ca="1">IFERROR(__xludf.DUMMYFUNCTION("""COMPUTED_VALUE"""),"256GB SSD")</f>
        <v>256GB SSD</v>
      </c>
      <c r="J674" s="2" t="str">
        <f ca="1">IFERROR(__xludf.DUMMYFUNCTION("""COMPUTED_VALUE"""),"Intel HD Graphics 620")</f>
        <v>Intel HD Graphics 620</v>
      </c>
      <c r="K674" s="2" t="str">
        <f ca="1">IFERROR(__xludf.DUMMYFUNCTION("""COMPUTED_VALUE"""),"Windows 10")</f>
        <v>Windows 10</v>
      </c>
      <c r="L674" s="2" t="str">
        <f ca="1">IFERROR(__xludf.DUMMYFUNCTION("""COMPUTED_VALUE"""),"1.3kg")</f>
        <v>1.3kg</v>
      </c>
      <c r="M674" s="2">
        <f ca="1">IFERROR(__xludf.DUMMYFUNCTION("""COMPUTED_VALUE"""),1034)</f>
        <v>1034</v>
      </c>
    </row>
    <row r="675" spans="1:13">
      <c r="A675" s="2">
        <f ca="1">IFERROR(__xludf.DUMMYFUNCTION("""COMPUTED_VALUE"""),681)</f>
        <v>681</v>
      </c>
      <c r="B675" s="2" t="str">
        <f ca="1">IFERROR(__xludf.DUMMYFUNCTION("""COMPUTED_VALUE"""),"Lenovo")</f>
        <v>Lenovo</v>
      </c>
      <c r="C675" s="2" t="str">
        <f ca="1">IFERROR(__xludf.DUMMYFUNCTION("""COMPUTED_VALUE"""),"IdeaPad 320-15AST")</f>
        <v>IdeaPad 320-15AST</v>
      </c>
      <c r="D675" s="2" t="str">
        <f ca="1">IFERROR(__xludf.DUMMYFUNCTION("""COMPUTED_VALUE"""),"Notebook")</f>
        <v>Notebook</v>
      </c>
      <c r="E675" s="2">
        <f ca="1">IFERROR(__xludf.DUMMYFUNCTION("""COMPUTED_VALUE"""),15.6)</f>
        <v>15.6</v>
      </c>
      <c r="F675" s="2" t="str">
        <f ca="1">IFERROR(__xludf.DUMMYFUNCTION("""COMPUTED_VALUE"""),"1366x768")</f>
        <v>1366x768</v>
      </c>
      <c r="G675" s="2" t="str">
        <f ca="1">IFERROR(__xludf.DUMMYFUNCTION("""COMPUTED_VALUE"""),"AMD E-Series E2-9000 2.2GHz")</f>
        <v>AMD E-Series E2-9000 2.2GHz</v>
      </c>
      <c r="H675" s="2" t="str">
        <f ca="1">IFERROR(__xludf.DUMMYFUNCTION("""COMPUTED_VALUE"""),"4GB")</f>
        <v>4GB</v>
      </c>
      <c r="I675" s="2" t="str">
        <f ca="1">IFERROR(__xludf.DUMMYFUNCTION("""COMPUTED_VALUE"""),"128GB SSD")</f>
        <v>128GB SSD</v>
      </c>
      <c r="J675" s="2" t="str">
        <f ca="1">IFERROR(__xludf.DUMMYFUNCTION("""COMPUTED_VALUE"""),"AMD Radeon R2 Graphics")</f>
        <v>AMD Radeon R2 Graphics</v>
      </c>
      <c r="K675" s="2" t="str">
        <f ca="1">IFERROR(__xludf.DUMMYFUNCTION("""COMPUTED_VALUE"""),"Windows 10")</f>
        <v>Windows 10</v>
      </c>
      <c r="L675" s="2" t="str">
        <f ca="1">IFERROR(__xludf.DUMMYFUNCTION("""COMPUTED_VALUE"""),"2.2kg")</f>
        <v>2.2kg</v>
      </c>
      <c r="M675" s="2">
        <f ca="1">IFERROR(__xludf.DUMMYFUNCTION("""COMPUTED_VALUE"""),349)</f>
        <v>349</v>
      </c>
    </row>
    <row r="676" spans="1:13">
      <c r="A676" s="2">
        <f ca="1">IFERROR(__xludf.DUMMYFUNCTION("""COMPUTED_VALUE"""),682)</f>
        <v>682</v>
      </c>
      <c r="B676" s="2" t="str">
        <f ca="1">IFERROR(__xludf.DUMMYFUNCTION("""COMPUTED_VALUE"""),"HP")</f>
        <v>HP</v>
      </c>
      <c r="C676" s="2" t="str">
        <f ca="1">IFERROR(__xludf.DUMMYFUNCTION("""COMPUTED_VALUE"""),"Pavilion X360")</f>
        <v>Pavilion X360</v>
      </c>
      <c r="D676" s="2" t="str">
        <f ca="1">IFERROR(__xludf.DUMMYFUNCTION("""COMPUTED_VALUE"""),"2 in 1 Convertible")</f>
        <v>2 in 1 Convertible</v>
      </c>
      <c r="E676" s="2">
        <f ca="1">IFERROR(__xludf.DUMMYFUNCTION("""COMPUTED_VALUE"""),14)</f>
        <v>14</v>
      </c>
      <c r="F676" s="2" t="str">
        <f ca="1">IFERROR(__xludf.DUMMYFUNCTION("""COMPUTED_VALUE"""),"IPS Panel Full HD / Touchscreen 1920x1080")</f>
        <v>IPS Panel Full HD / Touchscreen 1920x1080</v>
      </c>
      <c r="G676" s="2" t="str">
        <f ca="1">IFERROR(__xludf.DUMMYFUNCTION("""COMPUTED_VALUE"""),"Intel Core i3 7100U 2.4GHz")</f>
        <v>Intel Core i3 7100U 2.4GHz</v>
      </c>
      <c r="H676" s="2" t="str">
        <f ca="1">IFERROR(__xludf.DUMMYFUNCTION("""COMPUTED_VALUE"""),"4GB")</f>
        <v>4GB</v>
      </c>
      <c r="I676" s="2" t="str">
        <f ca="1">IFERROR(__xludf.DUMMYFUNCTION("""COMPUTED_VALUE"""),"128GB SSD")</f>
        <v>128GB SSD</v>
      </c>
      <c r="J676" s="2" t="str">
        <f ca="1">IFERROR(__xludf.DUMMYFUNCTION("""COMPUTED_VALUE"""),"Nvidia GeForce 940MX")</f>
        <v>Nvidia GeForce 940MX</v>
      </c>
      <c r="K676" s="2" t="str">
        <f ca="1">IFERROR(__xludf.DUMMYFUNCTION("""COMPUTED_VALUE"""),"Windows 10")</f>
        <v>Windows 10</v>
      </c>
      <c r="L676" s="2" t="str">
        <f ca="1">IFERROR(__xludf.DUMMYFUNCTION("""COMPUTED_VALUE"""),"1.63kg")</f>
        <v>1.63kg</v>
      </c>
      <c r="M676" s="2">
        <f ca="1">IFERROR(__xludf.DUMMYFUNCTION("""COMPUTED_VALUE"""),699)</f>
        <v>699</v>
      </c>
    </row>
    <row r="677" spans="1:13">
      <c r="A677" s="2">
        <f ca="1">IFERROR(__xludf.DUMMYFUNCTION("""COMPUTED_VALUE"""),683)</f>
        <v>683</v>
      </c>
      <c r="B677" s="2" t="str">
        <f ca="1">IFERROR(__xludf.DUMMYFUNCTION("""COMPUTED_VALUE"""),"MSI")</f>
        <v>MSI</v>
      </c>
      <c r="C677" s="2" t="str">
        <f ca="1">IFERROR(__xludf.DUMMYFUNCTION("""COMPUTED_VALUE"""),"GP62 7RDX")</f>
        <v>GP62 7RDX</v>
      </c>
      <c r="D677" s="2" t="str">
        <f ca="1">IFERROR(__xludf.DUMMYFUNCTION("""COMPUTED_VALUE"""),"Gaming")</f>
        <v>Gaming</v>
      </c>
      <c r="E677" s="2">
        <f ca="1">IFERROR(__xludf.DUMMYFUNCTION("""COMPUTED_VALUE"""),15.6)</f>
        <v>15.6</v>
      </c>
      <c r="F677" s="2" t="str">
        <f ca="1">IFERROR(__xludf.DUMMYFUNCTION("""COMPUTED_VALUE"""),"Full HD 1920x1080")</f>
        <v>Full HD 1920x1080</v>
      </c>
      <c r="G677" s="2" t="str">
        <f ca="1">IFERROR(__xludf.DUMMYFUNCTION("""COMPUTED_VALUE"""),"Intel Core i7 7700HQ 2.8GHz")</f>
        <v>Intel Core i7 7700HQ 2.8GHz</v>
      </c>
      <c r="H677" s="2" t="str">
        <f ca="1">IFERROR(__xludf.DUMMYFUNCTION("""COMPUTED_VALUE"""),"16GB")</f>
        <v>16GB</v>
      </c>
      <c r="I677" s="2" t="str">
        <f ca="1">IFERROR(__xludf.DUMMYFUNCTION("""COMPUTED_VALUE"""),"256GB SSD +  1TB HDD")</f>
        <v>256GB SSD +  1TB HDD</v>
      </c>
      <c r="J677" s="2" t="str">
        <f ca="1">IFERROR(__xludf.DUMMYFUNCTION("""COMPUTED_VALUE"""),"Nvidia GeForce GTX 1050")</f>
        <v>Nvidia GeForce GTX 1050</v>
      </c>
      <c r="K677" s="2" t="str">
        <f ca="1">IFERROR(__xludf.DUMMYFUNCTION("""COMPUTED_VALUE"""),"Windows 10")</f>
        <v>Windows 10</v>
      </c>
      <c r="L677" s="2" t="str">
        <f ca="1">IFERROR(__xludf.DUMMYFUNCTION("""COMPUTED_VALUE"""),"2.4kg")</f>
        <v>2.4kg</v>
      </c>
      <c r="M677" s="2">
        <f ca="1">IFERROR(__xludf.DUMMYFUNCTION("""COMPUTED_VALUE"""),1294)</f>
        <v>1294</v>
      </c>
    </row>
    <row r="678" spans="1:13">
      <c r="A678" s="2">
        <f ca="1">IFERROR(__xludf.DUMMYFUNCTION("""COMPUTED_VALUE"""),684)</f>
        <v>684</v>
      </c>
      <c r="B678" s="2" t="str">
        <f ca="1">IFERROR(__xludf.DUMMYFUNCTION("""COMPUTED_VALUE"""),"Asus")</f>
        <v>Asus</v>
      </c>
      <c r="C678" s="2" t="str">
        <f ca="1">IFERROR(__xludf.DUMMYFUNCTION("""COMPUTED_VALUE"""),"Zenbook 3")</f>
        <v>Zenbook 3</v>
      </c>
      <c r="D678" s="2" t="str">
        <f ca="1">IFERROR(__xludf.DUMMYFUNCTION("""COMPUTED_VALUE"""),"Ultrabook")</f>
        <v>Ultrabook</v>
      </c>
      <c r="E678" s="2">
        <f ca="1">IFERROR(__xludf.DUMMYFUNCTION("""COMPUTED_VALUE"""),14)</f>
        <v>14</v>
      </c>
      <c r="F678" s="2" t="str">
        <f ca="1">IFERROR(__xludf.DUMMYFUNCTION("""COMPUTED_VALUE"""),"Full HD 1920x1080")</f>
        <v>Full HD 1920x1080</v>
      </c>
      <c r="G678" s="2" t="str">
        <f ca="1">IFERROR(__xludf.DUMMYFUNCTION("""COMPUTED_VALUE"""),"Intel Core i5 7200U 2.5GHz")</f>
        <v>Intel Core i5 7200U 2.5GHz</v>
      </c>
      <c r="H678" s="2" t="str">
        <f ca="1">IFERROR(__xludf.DUMMYFUNCTION("""COMPUTED_VALUE"""),"8GB")</f>
        <v>8GB</v>
      </c>
      <c r="I678" s="2" t="str">
        <f ca="1">IFERROR(__xludf.DUMMYFUNCTION("""COMPUTED_VALUE"""),"256GB SSD")</f>
        <v>256GB SSD</v>
      </c>
      <c r="J678" s="2" t="str">
        <f ca="1">IFERROR(__xludf.DUMMYFUNCTION("""COMPUTED_VALUE"""),"Intel HD Graphics 620")</f>
        <v>Intel HD Graphics 620</v>
      </c>
      <c r="K678" s="2" t="str">
        <f ca="1">IFERROR(__xludf.DUMMYFUNCTION("""COMPUTED_VALUE"""),"Windows 10")</f>
        <v>Windows 10</v>
      </c>
      <c r="L678" s="2" t="str">
        <f ca="1">IFERROR(__xludf.DUMMYFUNCTION("""COMPUTED_VALUE"""),"1.1kg")</f>
        <v>1.1kg</v>
      </c>
      <c r="M678" s="2">
        <f ca="1">IFERROR(__xludf.DUMMYFUNCTION("""COMPUTED_VALUE"""),1135)</f>
        <v>1135</v>
      </c>
    </row>
    <row r="679" spans="1:13">
      <c r="A679" s="2">
        <f ca="1">IFERROR(__xludf.DUMMYFUNCTION("""COMPUTED_VALUE"""),685)</f>
        <v>685</v>
      </c>
      <c r="B679" s="2" t="str">
        <f ca="1">IFERROR(__xludf.DUMMYFUNCTION("""COMPUTED_VALUE"""),"HP")</f>
        <v>HP</v>
      </c>
      <c r="C679" s="2" t="str">
        <f ca="1">IFERROR(__xludf.DUMMYFUNCTION("""COMPUTED_VALUE"""),"Chromebook X360")</f>
        <v>Chromebook X360</v>
      </c>
      <c r="D679" s="2" t="str">
        <f ca="1">IFERROR(__xludf.DUMMYFUNCTION("""COMPUTED_VALUE"""),"2 in 1 Convertible")</f>
        <v>2 in 1 Convertible</v>
      </c>
      <c r="E679" s="2">
        <f ca="1">IFERROR(__xludf.DUMMYFUNCTION("""COMPUTED_VALUE"""),11.6)</f>
        <v>11.6</v>
      </c>
      <c r="F679" s="2" t="str">
        <f ca="1">IFERROR(__xludf.DUMMYFUNCTION("""COMPUTED_VALUE"""),"Touchscreen 1366x768")</f>
        <v>Touchscreen 1366x768</v>
      </c>
      <c r="G679" s="2" t="str">
        <f ca="1">IFERROR(__xludf.DUMMYFUNCTION("""COMPUTED_VALUE"""),"Intel Celeron Dual Core N3350 1.1GHz")</f>
        <v>Intel Celeron Dual Core N3350 1.1GHz</v>
      </c>
      <c r="H679" s="2" t="str">
        <f ca="1">IFERROR(__xludf.DUMMYFUNCTION("""COMPUTED_VALUE"""),"8GB")</f>
        <v>8GB</v>
      </c>
      <c r="I679" s="2" t="str">
        <f ca="1">IFERROR(__xludf.DUMMYFUNCTION("""COMPUTED_VALUE"""),"64GB Flash Storage")</f>
        <v>64GB Flash Storage</v>
      </c>
      <c r="J679" s="2" t="str">
        <f ca="1">IFERROR(__xludf.DUMMYFUNCTION("""COMPUTED_VALUE"""),"Intel HD Graphics 500")</f>
        <v>Intel HD Graphics 500</v>
      </c>
      <c r="K679" s="2" t="str">
        <f ca="1">IFERROR(__xludf.DUMMYFUNCTION("""COMPUTED_VALUE"""),"Chrome OS")</f>
        <v>Chrome OS</v>
      </c>
      <c r="L679" s="2" t="str">
        <f ca="1">IFERROR(__xludf.DUMMYFUNCTION("""COMPUTED_VALUE"""),"1.4kg")</f>
        <v>1.4kg</v>
      </c>
      <c r="M679" s="2">
        <f ca="1">IFERROR(__xludf.DUMMYFUNCTION("""COMPUTED_VALUE"""),495)</f>
        <v>495</v>
      </c>
    </row>
    <row r="680" spans="1:13">
      <c r="A680" s="2">
        <f ca="1">IFERROR(__xludf.DUMMYFUNCTION("""COMPUTED_VALUE"""),686)</f>
        <v>686</v>
      </c>
      <c r="B680" s="2" t="str">
        <f ca="1">IFERROR(__xludf.DUMMYFUNCTION("""COMPUTED_VALUE"""),"LG")</f>
        <v>LG</v>
      </c>
      <c r="C680" s="2" t="str">
        <f ca="1">IFERROR(__xludf.DUMMYFUNCTION("""COMPUTED_VALUE"""),"Gram 15Z975")</f>
        <v>Gram 15Z975</v>
      </c>
      <c r="D680" s="2" t="str">
        <f ca="1">IFERROR(__xludf.DUMMYFUNCTION("""COMPUTED_VALUE"""),"Ultrabook")</f>
        <v>Ultrabook</v>
      </c>
      <c r="E680" s="2">
        <f ca="1">IFERROR(__xludf.DUMMYFUNCTION("""COMPUTED_VALUE"""),15.6)</f>
        <v>15.6</v>
      </c>
      <c r="F680" s="2" t="str">
        <f ca="1">IFERROR(__xludf.DUMMYFUNCTION("""COMPUTED_VALUE"""),"IPS Panel Full HD 1920x1080")</f>
        <v>IPS Panel Full HD 1920x1080</v>
      </c>
      <c r="G680" s="2" t="str">
        <f ca="1">IFERROR(__xludf.DUMMYFUNCTION("""COMPUTED_VALUE"""),"Intel Core i7 8550U 1.8GHz")</f>
        <v>Intel Core i7 8550U 1.8GHz</v>
      </c>
      <c r="H680" s="2" t="str">
        <f ca="1">IFERROR(__xludf.DUMMYFUNCTION("""COMPUTED_VALUE"""),"8GB")</f>
        <v>8GB</v>
      </c>
      <c r="I680" s="2" t="str">
        <f ca="1">IFERROR(__xludf.DUMMYFUNCTION("""COMPUTED_VALUE"""),"512GB SSD")</f>
        <v>512GB SSD</v>
      </c>
      <c r="J680" s="2" t="str">
        <f ca="1">IFERROR(__xludf.DUMMYFUNCTION("""COMPUTED_VALUE"""),"Intel HD Graphics 620")</f>
        <v>Intel HD Graphics 620</v>
      </c>
      <c r="K680" s="2" t="str">
        <f ca="1">IFERROR(__xludf.DUMMYFUNCTION("""COMPUTED_VALUE"""),"Windows 10")</f>
        <v>Windows 10</v>
      </c>
      <c r="L680" s="2" t="str">
        <f ca="1">IFERROR(__xludf.DUMMYFUNCTION("""COMPUTED_VALUE"""),"1.09kg")</f>
        <v>1.09kg</v>
      </c>
      <c r="M680" s="2">
        <f ca="1">IFERROR(__xludf.DUMMYFUNCTION("""COMPUTED_VALUE"""),2299)</f>
        <v>2299</v>
      </c>
    </row>
    <row r="681" spans="1:13">
      <c r="A681" s="2">
        <f ca="1">IFERROR(__xludf.DUMMYFUNCTION("""COMPUTED_VALUE"""),687)</f>
        <v>687</v>
      </c>
      <c r="B681" s="2" t="str">
        <f ca="1">IFERROR(__xludf.DUMMYFUNCTION("""COMPUTED_VALUE"""),"Acer")</f>
        <v>Acer</v>
      </c>
      <c r="C681" s="2" t="str">
        <f ca="1">IFERROR(__xludf.DUMMYFUNCTION("""COMPUTED_VALUE"""),"Aspire VX5-591G")</f>
        <v>Aspire VX5-591G</v>
      </c>
      <c r="D681" s="2" t="str">
        <f ca="1">IFERROR(__xludf.DUMMYFUNCTION("""COMPUTED_VALUE"""),"Gaming")</f>
        <v>Gaming</v>
      </c>
      <c r="E681" s="2">
        <f ca="1">IFERROR(__xludf.DUMMYFUNCTION("""COMPUTED_VALUE"""),15.6)</f>
        <v>15.6</v>
      </c>
      <c r="F681" s="2" t="str">
        <f ca="1">IFERROR(__xludf.DUMMYFUNCTION("""COMPUTED_VALUE"""),"Full HD 1920x1080")</f>
        <v>Full HD 1920x1080</v>
      </c>
      <c r="G681" s="2" t="str">
        <f ca="1">IFERROR(__xludf.DUMMYFUNCTION("""COMPUTED_VALUE"""),"Intel Core i5 7300HQ 2.5GHz")</f>
        <v>Intel Core i5 7300HQ 2.5GHz</v>
      </c>
      <c r="H681" s="2" t="str">
        <f ca="1">IFERROR(__xludf.DUMMYFUNCTION("""COMPUTED_VALUE"""),"16GB")</f>
        <v>16GB</v>
      </c>
      <c r="I681" s="2" t="str">
        <f ca="1">IFERROR(__xludf.DUMMYFUNCTION("""COMPUTED_VALUE"""),"256GB SSD")</f>
        <v>256GB SSD</v>
      </c>
      <c r="J681" s="2" t="str">
        <f ca="1">IFERROR(__xludf.DUMMYFUNCTION("""COMPUTED_VALUE"""),"Nvidia GeForce GTX 1050 Ti")</f>
        <v>Nvidia GeForce GTX 1050 Ti</v>
      </c>
      <c r="K681" s="2" t="str">
        <f ca="1">IFERROR(__xludf.DUMMYFUNCTION("""COMPUTED_VALUE"""),"Windows 10")</f>
        <v>Windows 10</v>
      </c>
      <c r="L681" s="2" t="str">
        <f ca="1">IFERROR(__xludf.DUMMYFUNCTION("""COMPUTED_VALUE"""),"2.5kg")</f>
        <v>2.5kg</v>
      </c>
      <c r="M681" s="2">
        <f ca="1">IFERROR(__xludf.DUMMYFUNCTION("""COMPUTED_VALUE"""),1299)</f>
        <v>1299</v>
      </c>
    </row>
    <row r="682" spans="1:13">
      <c r="A682" s="2">
        <f ca="1">IFERROR(__xludf.DUMMYFUNCTION("""COMPUTED_VALUE"""),688)</f>
        <v>688</v>
      </c>
      <c r="B682" s="2" t="str">
        <f ca="1">IFERROR(__xludf.DUMMYFUNCTION("""COMPUTED_VALUE"""),"MSI")</f>
        <v>MSI</v>
      </c>
      <c r="C682" s="2" t="str">
        <f ca="1">IFERROR(__xludf.DUMMYFUNCTION("""COMPUTED_VALUE"""),"GV62M 7RD")</f>
        <v>GV62M 7RD</v>
      </c>
      <c r="D682" s="2" t="str">
        <f ca="1">IFERROR(__xludf.DUMMYFUNCTION("""COMPUTED_VALUE"""),"Gaming")</f>
        <v>Gaming</v>
      </c>
      <c r="E682" s="2">
        <f ca="1">IFERROR(__xludf.DUMMYFUNCTION("""COMPUTED_VALUE"""),15.6)</f>
        <v>15.6</v>
      </c>
      <c r="F682" s="2" t="str">
        <f ca="1">IFERROR(__xludf.DUMMYFUNCTION("""COMPUTED_VALUE"""),"Full HD 1920x1080")</f>
        <v>Full HD 1920x1080</v>
      </c>
      <c r="G682" s="2" t="str">
        <f ca="1">IFERROR(__xludf.DUMMYFUNCTION("""COMPUTED_VALUE"""),"Intel Core i5 7300HQ 2.5GHz")</f>
        <v>Intel Core i5 7300HQ 2.5GHz</v>
      </c>
      <c r="H682" s="2" t="str">
        <f ca="1">IFERROR(__xludf.DUMMYFUNCTION("""COMPUTED_VALUE"""),"8GB")</f>
        <v>8GB</v>
      </c>
      <c r="I682" s="2" t="str">
        <f ca="1">IFERROR(__xludf.DUMMYFUNCTION("""COMPUTED_VALUE"""),"256GB SSD")</f>
        <v>256GB SSD</v>
      </c>
      <c r="J682" s="2" t="str">
        <f ca="1">IFERROR(__xludf.DUMMYFUNCTION("""COMPUTED_VALUE"""),"Nvidia GeForce GTX 1050")</f>
        <v>Nvidia GeForce GTX 1050</v>
      </c>
      <c r="K682" s="2" t="str">
        <f ca="1">IFERROR(__xludf.DUMMYFUNCTION("""COMPUTED_VALUE"""),"Windows 10")</f>
        <v>Windows 10</v>
      </c>
      <c r="L682" s="2" t="str">
        <f ca="1">IFERROR(__xludf.DUMMYFUNCTION("""COMPUTED_VALUE"""),"2.2kg")</f>
        <v>2.2kg</v>
      </c>
      <c r="M682" s="2">
        <f ca="1">IFERROR(__xludf.DUMMYFUNCTION("""COMPUTED_VALUE"""),997.9)</f>
        <v>997.9</v>
      </c>
    </row>
    <row r="683" spans="1:13">
      <c r="A683" s="2">
        <f ca="1">IFERROR(__xludf.DUMMYFUNCTION("""COMPUTED_VALUE"""),689)</f>
        <v>689</v>
      </c>
      <c r="B683" s="2" t="str">
        <f ca="1">IFERROR(__xludf.DUMMYFUNCTION("""COMPUTED_VALUE"""),"Asus")</f>
        <v>Asus</v>
      </c>
      <c r="C683" s="2" t="str">
        <f ca="1">IFERROR(__xludf.DUMMYFUNCTION("""COMPUTED_VALUE"""),"L502NA-GO052T (N3350/4GB/128GB/W10)")</f>
        <v>L502NA-GO052T (N3350/4GB/128GB/W10)</v>
      </c>
      <c r="D683" s="2" t="str">
        <f ca="1">IFERROR(__xludf.DUMMYFUNCTION("""COMPUTED_VALUE"""),"Notebook")</f>
        <v>Notebook</v>
      </c>
      <c r="E683" s="2">
        <f ca="1">IFERROR(__xludf.DUMMYFUNCTION("""COMPUTED_VALUE"""),15.6)</f>
        <v>15.6</v>
      </c>
      <c r="F683" s="2" t="str">
        <f ca="1">IFERROR(__xludf.DUMMYFUNCTION("""COMPUTED_VALUE"""),"1366x768")</f>
        <v>1366x768</v>
      </c>
      <c r="G683" s="2" t="str">
        <f ca="1">IFERROR(__xludf.DUMMYFUNCTION("""COMPUTED_VALUE"""),"Intel Celeron Dual Core N3350 1.1GHz")</f>
        <v>Intel Celeron Dual Core N3350 1.1GHz</v>
      </c>
      <c r="H683" s="2" t="str">
        <f ca="1">IFERROR(__xludf.DUMMYFUNCTION("""COMPUTED_VALUE"""),"4GB")</f>
        <v>4GB</v>
      </c>
      <c r="I683" s="2" t="str">
        <f ca="1">IFERROR(__xludf.DUMMYFUNCTION("""COMPUTED_VALUE"""),"128GB SSD")</f>
        <v>128GB SSD</v>
      </c>
      <c r="J683" s="2" t="str">
        <f ca="1">IFERROR(__xludf.DUMMYFUNCTION("""COMPUTED_VALUE"""),"Intel HD Graphics 500")</f>
        <v>Intel HD Graphics 500</v>
      </c>
      <c r="K683" s="2" t="str">
        <f ca="1">IFERROR(__xludf.DUMMYFUNCTION("""COMPUTED_VALUE"""),"Windows 10")</f>
        <v>Windows 10</v>
      </c>
      <c r="L683" s="2" t="str">
        <f ca="1">IFERROR(__xludf.DUMMYFUNCTION("""COMPUTED_VALUE"""),"1.86kg")</f>
        <v>1.86kg</v>
      </c>
      <c r="M683" s="2">
        <f ca="1">IFERROR(__xludf.DUMMYFUNCTION("""COMPUTED_VALUE"""),419)</f>
        <v>419</v>
      </c>
    </row>
    <row r="684" spans="1:13">
      <c r="A684" s="2">
        <f ca="1">IFERROR(__xludf.DUMMYFUNCTION("""COMPUTED_VALUE"""),690)</f>
        <v>690</v>
      </c>
      <c r="B684" s="2" t="str">
        <f ca="1">IFERROR(__xludf.DUMMYFUNCTION("""COMPUTED_VALUE"""),"Dell")</f>
        <v>Dell</v>
      </c>
      <c r="C684" s="2" t="str">
        <f ca="1">IFERROR(__xludf.DUMMYFUNCTION("""COMPUTED_VALUE"""),"Alienware 15")</f>
        <v>Alienware 15</v>
      </c>
      <c r="D684" s="2" t="str">
        <f ca="1">IFERROR(__xludf.DUMMYFUNCTION("""COMPUTED_VALUE"""),"Gaming")</f>
        <v>Gaming</v>
      </c>
      <c r="E684" s="2">
        <f ca="1">IFERROR(__xludf.DUMMYFUNCTION("""COMPUTED_VALUE"""),15.6)</f>
        <v>15.6</v>
      </c>
      <c r="F684" s="2" t="str">
        <f ca="1">IFERROR(__xludf.DUMMYFUNCTION("""COMPUTED_VALUE"""),"Full HD 1920x1080")</f>
        <v>Full HD 1920x1080</v>
      </c>
      <c r="G684" s="2" t="str">
        <f ca="1">IFERROR(__xludf.DUMMYFUNCTION("""COMPUTED_VALUE"""),"Intel Core i5 7300HQ 2.5GHz")</f>
        <v>Intel Core i5 7300HQ 2.5GHz</v>
      </c>
      <c r="H684" s="2" t="str">
        <f ca="1">IFERROR(__xludf.DUMMYFUNCTION("""COMPUTED_VALUE"""),"16GB")</f>
        <v>16GB</v>
      </c>
      <c r="I684" s="2" t="str">
        <f ca="1">IFERROR(__xludf.DUMMYFUNCTION("""COMPUTED_VALUE"""),"128GB SSD +  1TB HDD")</f>
        <v>128GB SSD +  1TB HDD</v>
      </c>
      <c r="J684" s="2" t="str">
        <f ca="1">IFERROR(__xludf.DUMMYFUNCTION("""COMPUTED_VALUE"""),"Nvidia GeForce GTX 1060")</f>
        <v>Nvidia GeForce GTX 1060</v>
      </c>
      <c r="K684" s="2" t="str">
        <f ca="1">IFERROR(__xludf.DUMMYFUNCTION("""COMPUTED_VALUE"""),"Windows 10")</f>
        <v>Windows 10</v>
      </c>
      <c r="L684" s="2" t="str">
        <f ca="1">IFERROR(__xludf.DUMMYFUNCTION("""COMPUTED_VALUE"""),"3.21kg")</f>
        <v>3.21kg</v>
      </c>
      <c r="M684" s="2">
        <f ca="1">IFERROR(__xludf.DUMMYFUNCTION("""COMPUTED_VALUE"""),2051)</f>
        <v>2051</v>
      </c>
    </row>
    <row r="685" spans="1:13">
      <c r="A685" s="2">
        <f ca="1">IFERROR(__xludf.DUMMYFUNCTION("""COMPUTED_VALUE"""),691)</f>
        <v>691</v>
      </c>
      <c r="B685" s="2" t="str">
        <f ca="1">IFERROR(__xludf.DUMMYFUNCTION("""COMPUTED_VALUE"""),"HP")</f>
        <v>HP</v>
      </c>
      <c r="C685" s="2" t="str">
        <f ca="1">IFERROR(__xludf.DUMMYFUNCTION("""COMPUTED_VALUE"""),"17-bs000nv I3")</f>
        <v>17-bs000nv I3</v>
      </c>
      <c r="D685" s="2" t="str">
        <f ca="1">IFERROR(__xludf.DUMMYFUNCTION("""COMPUTED_VALUE"""),"Notebook")</f>
        <v>Notebook</v>
      </c>
      <c r="E685" s="2">
        <f ca="1">IFERROR(__xludf.DUMMYFUNCTION("""COMPUTED_VALUE"""),17.3)</f>
        <v>17.3</v>
      </c>
      <c r="F685" s="2" t="str">
        <f ca="1">IFERROR(__xludf.DUMMYFUNCTION("""COMPUTED_VALUE"""),"IPS Panel Full HD 1920x1080")</f>
        <v>IPS Panel Full HD 1920x1080</v>
      </c>
      <c r="G685" s="2" t="str">
        <f ca="1">IFERROR(__xludf.DUMMYFUNCTION("""COMPUTED_VALUE"""),"Intel Core i3 6006U 2GHz")</f>
        <v>Intel Core i3 6006U 2GHz</v>
      </c>
      <c r="H685" s="2" t="str">
        <f ca="1">IFERROR(__xludf.DUMMYFUNCTION("""COMPUTED_VALUE"""),"4GB")</f>
        <v>4GB</v>
      </c>
      <c r="I685" s="2" t="str">
        <f ca="1">IFERROR(__xludf.DUMMYFUNCTION("""COMPUTED_VALUE"""),"256GB SSD")</f>
        <v>256GB SSD</v>
      </c>
      <c r="J685" s="2" t="str">
        <f ca="1">IFERROR(__xludf.DUMMYFUNCTION("""COMPUTED_VALUE"""),"AMD Radeon R5 520")</f>
        <v>AMD Radeon R5 520</v>
      </c>
      <c r="K685" s="2" t="str">
        <f ca="1">IFERROR(__xludf.DUMMYFUNCTION("""COMPUTED_VALUE"""),"Windows 10")</f>
        <v>Windows 10</v>
      </c>
      <c r="L685" s="2" t="str">
        <f ca="1">IFERROR(__xludf.DUMMYFUNCTION("""COMPUTED_VALUE"""),"2.5kg")</f>
        <v>2.5kg</v>
      </c>
      <c r="M685" s="2">
        <f ca="1">IFERROR(__xludf.DUMMYFUNCTION("""COMPUTED_VALUE"""),699)</f>
        <v>699</v>
      </c>
    </row>
    <row r="686" spans="1:13">
      <c r="A686" s="2">
        <f ca="1">IFERROR(__xludf.DUMMYFUNCTION("""COMPUTED_VALUE"""),692)</f>
        <v>692</v>
      </c>
      <c r="B686" s="2" t="str">
        <f ca="1">IFERROR(__xludf.DUMMYFUNCTION("""COMPUTED_VALUE"""),"Lenovo")</f>
        <v>Lenovo</v>
      </c>
      <c r="C686" s="2" t="str">
        <f ca="1">IFERROR(__xludf.DUMMYFUNCTION("""COMPUTED_VALUE"""),"Yoga 730")</f>
        <v>Yoga 730</v>
      </c>
      <c r="D686" s="2" t="str">
        <f ca="1">IFERROR(__xludf.DUMMYFUNCTION("""COMPUTED_VALUE"""),"2 in 1 Convertible")</f>
        <v>2 in 1 Convertible</v>
      </c>
      <c r="E686" s="2">
        <f ca="1">IFERROR(__xludf.DUMMYFUNCTION("""COMPUTED_VALUE"""),13.3)</f>
        <v>13.3</v>
      </c>
      <c r="F686" s="2" t="str">
        <f ca="1">IFERROR(__xludf.DUMMYFUNCTION("""COMPUTED_VALUE"""),"IPS Panel Full HD / Touchscreen 1920x1080")</f>
        <v>IPS Panel Full HD / Touchscreen 1920x1080</v>
      </c>
      <c r="G686" s="2" t="str">
        <f ca="1">IFERROR(__xludf.DUMMYFUNCTION("""COMPUTED_VALUE"""),"Intel Core i7 8550U 1.8GHz")</f>
        <v>Intel Core i7 8550U 1.8GHz</v>
      </c>
      <c r="H686" s="2" t="str">
        <f ca="1">IFERROR(__xludf.DUMMYFUNCTION("""COMPUTED_VALUE"""),"8GB")</f>
        <v>8GB</v>
      </c>
      <c r="I686" s="2" t="str">
        <f ca="1">IFERROR(__xludf.DUMMYFUNCTION("""COMPUTED_VALUE"""),"512GB SSD")</f>
        <v>512GB SSD</v>
      </c>
      <c r="J686" s="2" t="str">
        <f ca="1">IFERROR(__xludf.DUMMYFUNCTION("""COMPUTED_VALUE"""),"Intel UHD Graphics 620")</f>
        <v>Intel UHD Graphics 620</v>
      </c>
      <c r="K686" s="2" t="str">
        <f ca="1">IFERROR(__xludf.DUMMYFUNCTION("""COMPUTED_VALUE"""),"Windows 10")</f>
        <v>Windows 10</v>
      </c>
      <c r="L686" s="2" t="str">
        <f ca="1">IFERROR(__xludf.DUMMYFUNCTION("""COMPUTED_VALUE"""),"1.19kg")</f>
        <v>1.19kg</v>
      </c>
      <c r="M686" s="2">
        <f ca="1">IFERROR(__xludf.DUMMYFUNCTION("""COMPUTED_VALUE"""),1499)</f>
        <v>1499</v>
      </c>
    </row>
    <row r="687" spans="1:13">
      <c r="A687" s="2">
        <f ca="1">IFERROR(__xludf.DUMMYFUNCTION("""COMPUTED_VALUE"""),693)</f>
        <v>693</v>
      </c>
      <c r="B687" s="2" t="str">
        <f ca="1">IFERROR(__xludf.DUMMYFUNCTION("""COMPUTED_VALUE"""),"Dell")</f>
        <v>Dell</v>
      </c>
      <c r="C687" s="2" t="str">
        <f ca="1">IFERROR(__xludf.DUMMYFUNCTION("""COMPUTED_VALUE"""),"Alienware 15")</f>
        <v>Alienware 15</v>
      </c>
      <c r="D687" s="2" t="str">
        <f ca="1">IFERROR(__xludf.DUMMYFUNCTION("""COMPUTED_VALUE"""),"Gaming")</f>
        <v>Gaming</v>
      </c>
      <c r="E687" s="2">
        <f ca="1">IFERROR(__xludf.DUMMYFUNCTION("""COMPUTED_VALUE"""),15.6)</f>
        <v>15.6</v>
      </c>
      <c r="F687" s="2" t="str">
        <f ca="1">IFERROR(__xludf.DUMMYFUNCTION("""COMPUTED_VALUE"""),"Full HD 1920x1080")</f>
        <v>Full HD 1920x1080</v>
      </c>
      <c r="G687" s="2" t="str">
        <f ca="1">IFERROR(__xludf.DUMMYFUNCTION("""COMPUTED_VALUE"""),"Intel Core i7 7820HK 2.9GHz")</f>
        <v>Intel Core i7 7820HK 2.9GHz</v>
      </c>
      <c r="H687" s="2" t="str">
        <f ca="1">IFERROR(__xludf.DUMMYFUNCTION("""COMPUTED_VALUE"""),"16GB")</f>
        <v>16GB</v>
      </c>
      <c r="I687" s="2" t="str">
        <f ca="1">IFERROR(__xludf.DUMMYFUNCTION("""COMPUTED_VALUE"""),"256GB SSD +  1TB HDD")</f>
        <v>256GB SSD +  1TB HDD</v>
      </c>
      <c r="J687" s="2" t="str">
        <f ca="1">IFERROR(__xludf.DUMMYFUNCTION("""COMPUTED_VALUE"""),"Nvidia GeForce GTX 1070")</f>
        <v>Nvidia GeForce GTX 1070</v>
      </c>
      <c r="K687" s="2" t="str">
        <f ca="1">IFERROR(__xludf.DUMMYFUNCTION("""COMPUTED_VALUE"""),"Windows 10")</f>
        <v>Windows 10</v>
      </c>
      <c r="L687" s="2" t="str">
        <f ca="1">IFERROR(__xludf.DUMMYFUNCTION("""COMPUTED_VALUE"""),"3.49kg")</f>
        <v>3.49kg</v>
      </c>
      <c r="M687" s="2">
        <f ca="1">IFERROR(__xludf.DUMMYFUNCTION("""COMPUTED_VALUE"""),2813.75)</f>
        <v>2813.75</v>
      </c>
    </row>
    <row r="688" spans="1:13">
      <c r="A688" s="2">
        <f ca="1">IFERROR(__xludf.DUMMYFUNCTION("""COMPUTED_VALUE"""),694)</f>
        <v>694</v>
      </c>
      <c r="B688" s="2" t="str">
        <f ca="1">IFERROR(__xludf.DUMMYFUNCTION("""COMPUTED_VALUE"""),"HP")</f>
        <v>HP</v>
      </c>
      <c r="C688" s="2" t="str">
        <f ca="1">IFERROR(__xludf.DUMMYFUNCTION("""COMPUTED_VALUE"""),"250 G6")</f>
        <v>250 G6</v>
      </c>
      <c r="D688" s="2" t="str">
        <f ca="1">IFERROR(__xludf.DUMMYFUNCTION("""COMPUTED_VALUE"""),"Notebook")</f>
        <v>Notebook</v>
      </c>
      <c r="E688" s="2">
        <f ca="1">IFERROR(__xludf.DUMMYFUNCTION("""COMPUTED_VALUE"""),15.6)</f>
        <v>15.6</v>
      </c>
      <c r="F688" s="2" t="str">
        <f ca="1">IFERROR(__xludf.DUMMYFUNCTION("""COMPUTED_VALUE"""),"1366x768")</f>
        <v>1366x768</v>
      </c>
      <c r="G688" s="2" t="str">
        <f ca="1">IFERROR(__xludf.DUMMYFUNCTION("""COMPUTED_VALUE"""),"Intel Core i5 7200U 2.5GHz")</f>
        <v>Intel Core i5 7200U 2.5GHz</v>
      </c>
      <c r="H688" s="2" t="str">
        <f ca="1">IFERROR(__xludf.DUMMYFUNCTION("""COMPUTED_VALUE"""),"4GB")</f>
        <v>4GB</v>
      </c>
      <c r="I688" s="2" t="str">
        <f ca="1">IFERROR(__xludf.DUMMYFUNCTION("""COMPUTED_VALUE"""),"500GB HDD")</f>
        <v>500GB HDD</v>
      </c>
      <c r="J688" s="2" t="str">
        <f ca="1">IFERROR(__xludf.DUMMYFUNCTION("""COMPUTED_VALUE"""),"AMD Radeon 520")</f>
        <v>AMD Radeon 520</v>
      </c>
      <c r="K688" s="2" t="str">
        <f ca="1">IFERROR(__xludf.DUMMYFUNCTION("""COMPUTED_VALUE"""),"Windows 10")</f>
        <v>Windows 10</v>
      </c>
      <c r="L688" s="2" t="str">
        <f ca="1">IFERROR(__xludf.DUMMYFUNCTION("""COMPUTED_VALUE"""),"1.86kg")</f>
        <v>1.86kg</v>
      </c>
      <c r="M688" s="2">
        <f ca="1">IFERROR(__xludf.DUMMYFUNCTION("""COMPUTED_VALUE"""),612.61)</f>
        <v>612.61</v>
      </c>
    </row>
    <row r="689" spans="1:13">
      <c r="A689" s="2">
        <f ca="1">IFERROR(__xludf.DUMMYFUNCTION("""COMPUTED_VALUE"""),695)</f>
        <v>695</v>
      </c>
      <c r="B689" s="2" t="str">
        <f ca="1">IFERROR(__xludf.DUMMYFUNCTION("""COMPUTED_VALUE"""),"Dell")</f>
        <v>Dell</v>
      </c>
      <c r="C689" s="2" t="str">
        <f ca="1">IFERROR(__xludf.DUMMYFUNCTION("""COMPUTED_VALUE"""),"Inspiron 3567")</f>
        <v>Inspiron 3567</v>
      </c>
      <c r="D689" s="2" t="str">
        <f ca="1">IFERROR(__xludf.DUMMYFUNCTION("""COMPUTED_VALUE"""),"Notebook")</f>
        <v>Notebook</v>
      </c>
      <c r="E689" s="2">
        <f ca="1">IFERROR(__xludf.DUMMYFUNCTION("""COMPUTED_VALUE"""),15.6)</f>
        <v>15.6</v>
      </c>
      <c r="F689" s="2" t="str">
        <f ca="1">IFERROR(__xludf.DUMMYFUNCTION("""COMPUTED_VALUE"""),"1366x768")</f>
        <v>1366x768</v>
      </c>
      <c r="G689" s="2" t="str">
        <f ca="1">IFERROR(__xludf.DUMMYFUNCTION("""COMPUTED_VALUE"""),"Intel Core i3 6006U 2GHz")</f>
        <v>Intel Core i3 6006U 2GHz</v>
      </c>
      <c r="H689" s="2" t="str">
        <f ca="1">IFERROR(__xludf.DUMMYFUNCTION("""COMPUTED_VALUE"""),"4GB")</f>
        <v>4GB</v>
      </c>
      <c r="I689" s="2" t="str">
        <f ca="1">IFERROR(__xludf.DUMMYFUNCTION("""COMPUTED_VALUE"""),"1TB HDD")</f>
        <v>1TB HDD</v>
      </c>
      <c r="J689" s="2" t="str">
        <f ca="1">IFERROR(__xludf.DUMMYFUNCTION("""COMPUTED_VALUE"""),"AMD Radeon R5 M430")</f>
        <v>AMD Radeon R5 M430</v>
      </c>
      <c r="K689" s="2" t="str">
        <f ca="1">IFERROR(__xludf.DUMMYFUNCTION("""COMPUTED_VALUE"""),"Windows 10")</f>
        <v>Windows 10</v>
      </c>
      <c r="L689" s="2" t="str">
        <f ca="1">IFERROR(__xludf.DUMMYFUNCTION("""COMPUTED_VALUE"""),"2.2kg")</f>
        <v>2.2kg</v>
      </c>
      <c r="M689" s="2">
        <f ca="1">IFERROR(__xludf.DUMMYFUNCTION("""COMPUTED_VALUE"""),545.67)</f>
        <v>545.66999999999996</v>
      </c>
    </row>
    <row r="690" spans="1:13">
      <c r="A690" s="2">
        <f ca="1">IFERROR(__xludf.DUMMYFUNCTION("""COMPUTED_VALUE"""),696)</f>
        <v>696</v>
      </c>
      <c r="B690" s="2" t="str">
        <f ca="1">IFERROR(__xludf.DUMMYFUNCTION("""COMPUTED_VALUE"""),"HP")</f>
        <v>HP</v>
      </c>
      <c r="C690" s="2" t="str">
        <f ca="1">IFERROR(__xludf.DUMMYFUNCTION("""COMPUTED_VALUE"""),"17-Y002nv (A10-9600P/6GB/2TB/Radeon")</f>
        <v>17-Y002nv (A10-9600P/6GB/2TB/Radeon</v>
      </c>
      <c r="D690" s="2" t="str">
        <f ca="1">IFERROR(__xludf.DUMMYFUNCTION("""COMPUTED_VALUE"""),"Notebook")</f>
        <v>Notebook</v>
      </c>
      <c r="E690" s="2">
        <f ca="1">IFERROR(__xludf.DUMMYFUNCTION("""COMPUTED_VALUE"""),17.3)</f>
        <v>17.3</v>
      </c>
      <c r="F690" s="2" t="str">
        <f ca="1">IFERROR(__xludf.DUMMYFUNCTION("""COMPUTED_VALUE"""),"IPS Panel Full HD 1920x1080")</f>
        <v>IPS Panel Full HD 1920x1080</v>
      </c>
      <c r="G690" s="2" t="str">
        <f ca="1">IFERROR(__xludf.DUMMYFUNCTION("""COMPUTED_VALUE"""),"AMD A10-Series 9600P 2.4GHz")</f>
        <v>AMD A10-Series 9600P 2.4GHz</v>
      </c>
      <c r="H690" s="2" t="str">
        <f ca="1">IFERROR(__xludf.DUMMYFUNCTION("""COMPUTED_VALUE"""),"6GB")</f>
        <v>6GB</v>
      </c>
      <c r="I690" s="2" t="str">
        <f ca="1">IFERROR(__xludf.DUMMYFUNCTION("""COMPUTED_VALUE"""),"2TB HDD")</f>
        <v>2TB HDD</v>
      </c>
      <c r="J690" s="2" t="str">
        <f ca="1">IFERROR(__xludf.DUMMYFUNCTION("""COMPUTED_VALUE"""),"AMD Radeon R7 M440")</f>
        <v>AMD Radeon R7 M440</v>
      </c>
      <c r="K690" s="2" t="str">
        <f ca="1">IFERROR(__xludf.DUMMYFUNCTION("""COMPUTED_VALUE"""),"Windows 10")</f>
        <v>Windows 10</v>
      </c>
      <c r="L690" s="2" t="str">
        <f ca="1">IFERROR(__xludf.DUMMYFUNCTION("""COMPUTED_VALUE"""),"2.65kg")</f>
        <v>2.65kg</v>
      </c>
      <c r="M690" s="2">
        <f ca="1">IFERROR(__xludf.DUMMYFUNCTION("""COMPUTED_VALUE"""),569)</f>
        <v>569</v>
      </c>
    </row>
    <row r="691" spans="1:13">
      <c r="A691" s="2">
        <f ca="1">IFERROR(__xludf.DUMMYFUNCTION("""COMPUTED_VALUE"""),697)</f>
        <v>697</v>
      </c>
      <c r="B691" s="2" t="str">
        <f ca="1">IFERROR(__xludf.DUMMYFUNCTION("""COMPUTED_VALUE"""),"Lenovo")</f>
        <v>Lenovo</v>
      </c>
      <c r="C691" s="2" t="str">
        <f ca="1">IFERROR(__xludf.DUMMYFUNCTION("""COMPUTED_VALUE"""),"V110-15ISK (3855U/4GB/500GB/W10)")</f>
        <v>V110-15ISK (3855U/4GB/500GB/W10)</v>
      </c>
      <c r="D691" s="2" t="str">
        <f ca="1">IFERROR(__xludf.DUMMYFUNCTION("""COMPUTED_VALUE"""),"Notebook")</f>
        <v>Notebook</v>
      </c>
      <c r="E691" s="2">
        <f ca="1">IFERROR(__xludf.DUMMYFUNCTION("""COMPUTED_VALUE"""),15.6)</f>
        <v>15.6</v>
      </c>
      <c r="F691" s="2" t="str">
        <f ca="1">IFERROR(__xludf.DUMMYFUNCTION("""COMPUTED_VALUE"""),"1366x768")</f>
        <v>1366x768</v>
      </c>
      <c r="G691" s="2" t="str">
        <f ca="1">IFERROR(__xludf.DUMMYFUNCTION("""COMPUTED_VALUE"""),"Intel Celeron Dual Core 3855U 1.6GHz")</f>
        <v>Intel Celeron Dual Core 3855U 1.6GHz</v>
      </c>
      <c r="H691" s="2" t="str">
        <f ca="1">IFERROR(__xludf.DUMMYFUNCTION("""COMPUTED_VALUE"""),"4GB")</f>
        <v>4GB</v>
      </c>
      <c r="I691" s="2" t="str">
        <f ca="1">IFERROR(__xludf.DUMMYFUNCTION("""COMPUTED_VALUE"""),"500GB HDD")</f>
        <v>500GB HDD</v>
      </c>
      <c r="J691" s="2" t="str">
        <f ca="1">IFERROR(__xludf.DUMMYFUNCTION("""COMPUTED_VALUE"""),"Intel HD Graphics 510")</f>
        <v>Intel HD Graphics 510</v>
      </c>
      <c r="K691" s="2" t="str">
        <f ca="1">IFERROR(__xludf.DUMMYFUNCTION("""COMPUTED_VALUE"""),"Windows 10")</f>
        <v>Windows 10</v>
      </c>
      <c r="L691" s="2" t="str">
        <f ca="1">IFERROR(__xludf.DUMMYFUNCTION("""COMPUTED_VALUE"""),"2.1kg")</f>
        <v>2.1kg</v>
      </c>
      <c r="M691" s="2">
        <f ca="1">IFERROR(__xludf.DUMMYFUNCTION("""COMPUTED_VALUE"""),318)</f>
        <v>318</v>
      </c>
    </row>
    <row r="692" spans="1:13">
      <c r="A692" s="2">
        <f ca="1">IFERROR(__xludf.DUMMYFUNCTION("""COMPUTED_VALUE"""),698)</f>
        <v>698</v>
      </c>
      <c r="B692" s="2" t="str">
        <f ca="1">IFERROR(__xludf.DUMMYFUNCTION("""COMPUTED_VALUE"""),"Acer")</f>
        <v>Acer</v>
      </c>
      <c r="C692" s="2" t="str">
        <f ca="1">IFERROR(__xludf.DUMMYFUNCTION("""COMPUTED_VALUE"""),"Chromebook 14")</f>
        <v>Chromebook 14</v>
      </c>
      <c r="D692" s="2" t="str">
        <f ca="1">IFERROR(__xludf.DUMMYFUNCTION("""COMPUTED_VALUE"""),"Notebook")</f>
        <v>Notebook</v>
      </c>
      <c r="E692" s="2">
        <f ca="1">IFERROR(__xludf.DUMMYFUNCTION("""COMPUTED_VALUE"""),14)</f>
        <v>14</v>
      </c>
      <c r="F692" s="2" t="str">
        <f ca="1">IFERROR(__xludf.DUMMYFUNCTION("""COMPUTED_VALUE"""),"1366x768")</f>
        <v>1366x768</v>
      </c>
      <c r="G692" s="2" t="str">
        <f ca="1">IFERROR(__xludf.DUMMYFUNCTION("""COMPUTED_VALUE"""),"Intel Celeron Dual Core 3855U 1.6GHz")</f>
        <v>Intel Celeron Dual Core 3855U 1.6GHz</v>
      </c>
      <c r="H692" s="2" t="str">
        <f ca="1">IFERROR(__xludf.DUMMYFUNCTION("""COMPUTED_VALUE"""),"4GB")</f>
        <v>4GB</v>
      </c>
      <c r="I692" s="2" t="str">
        <f ca="1">IFERROR(__xludf.DUMMYFUNCTION("""COMPUTED_VALUE"""),"32GB Flash Storage")</f>
        <v>32GB Flash Storage</v>
      </c>
      <c r="J692" s="2" t="str">
        <f ca="1">IFERROR(__xludf.DUMMYFUNCTION("""COMPUTED_VALUE"""),"Intel HD Graphics 510")</f>
        <v>Intel HD Graphics 510</v>
      </c>
      <c r="K692" s="2" t="str">
        <f ca="1">IFERROR(__xludf.DUMMYFUNCTION("""COMPUTED_VALUE"""),"Chrome OS")</f>
        <v>Chrome OS</v>
      </c>
      <c r="L692" s="2" t="str">
        <f ca="1">IFERROR(__xludf.DUMMYFUNCTION("""COMPUTED_VALUE"""),"1.45kg")</f>
        <v>1.45kg</v>
      </c>
      <c r="M692" s="2">
        <f ca="1">IFERROR(__xludf.DUMMYFUNCTION("""COMPUTED_VALUE"""),375)</f>
        <v>375</v>
      </c>
    </row>
    <row r="693" spans="1:13">
      <c r="A693" s="2">
        <f ca="1">IFERROR(__xludf.DUMMYFUNCTION("""COMPUTED_VALUE"""),699)</f>
        <v>699</v>
      </c>
      <c r="B693" s="2" t="str">
        <f ca="1">IFERROR(__xludf.DUMMYFUNCTION("""COMPUTED_VALUE"""),"Lenovo")</f>
        <v>Lenovo</v>
      </c>
      <c r="C693" s="2" t="str">
        <f ca="1">IFERROR(__xludf.DUMMYFUNCTION("""COMPUTED_VALUE"""),"IdeaPad 520s-14IKB")</f>
        <v>IdeaPad 520s-14IKB</v>
      </c>
      <c r="D693" s="2" t="str">
        <f ca="1">IFERROR(__xludf.DUMMYFUNCTION("""COMPUTED_VALUE"""),"Notebook")</f>
        <v>Notebook</v>
      </c>
      <c r="E693" s="2">
        <f ca="1">IFERROR(__xludf.DUMMYFUNCTION("""COMPUTED_VALUE"""),14)</f>
        <v>14</v>
      </c>
      <c r="F693" s="2" t="str">
        <f ca="1">IFERROR(__xludf.DUMMYFUNCTION("""COMPUTED_VALUE"""),"Full HD 1920x1080")</f>
        <v>Full HD 1920x1080</v>
      </c>
      <c r="G693" s="2" t="str">
        <f ca="1">IFERROR(__xludf.DUMMYFUNCTION("""COMPUTED_VALUE"""),"Intel Core i5 7200U 2.5GHz")</f>
        <v>Intel Core i5 7200U 2.5GHz</v>
      </c>
      <c r="H693" s="2" t="str">
        <f ca="1">IFERROR(__xludf.DUMMYFUNCTION("""COMPUTED_VALUE"""),"4GB")</f>
        <v>4GB</v>
      </c>
      <c r="I693" s="2" t="str">
        <f ca="1">IFERROR(__xludf.DUMMYFUNCTION("""COMPUTED_VALUE"""),"256GB SSD")</f>
        <v>256GB SSD</v>
      </c>
      <c r="J693" s="2" t="str">
        <f ca="1">IFERROR(__xludf.DUMMYFUNCTION("""COMPUTED_VALUE"""),"Intel HD Graphics 620")</f>
        <v>Intel HD Graphics 620</v>
      </c>
      <c r="K693" s="2" t="str">
        <f ca="1">IFERROR(__xludf.DUMMYFUNCTION("""COMPUTED_VALUE"""),"Windows 10")</f>
        <v>Windows 10</v>
      </c>
      <c r="L693" s="2" t="str">
        <f ca="1">IFERROR(__xludf.DUMMYFUNCTION("""COMPUTED_VALUE"""),"1.7kg")</f>
        <v>1.7kg</v>
      </c>
      <c r="M693" s="2">
        <f ca="1">IFERROR(__xludf.DUMMYFUNCTION("""COMPUTED_VALUE"""),699)</f>
        <v>699</v>
      </c>
    </row>
    <row r="694" spans="1:13">
      <c r="A694" s="2">
        <f ca="1">IFERROR(__xludf.DUMMYFUNCTION("""COMPUTED_VALUE"""),700)</f>
        <v>700</v>
      </c>
      <c r="B694" s="2" t="str">
        <f ca="1">IFERROR(__xludf.DUMMYFUNCTION("""COMPUTED_VALUE"""),"HP")</f>
        <v>HP</v>
      </c>
      <c r="C694" s="2" t="str">
        <f ca="1">IFERROR(__xludf.DUMMYFUNCTION("""COMPUTED_VALUE"""),"ZBook 17")</f>
        <v>ZBook 17</v>
      </c>
      <c r="D694" s="2" t="str">
        <f ca="1">IFERROR(__xludf.DUMMYFUNCTION("""COMPUTED_VALUE"""),"Workstation")</f>
        <v>Workstation</v>
      </c>
      <c r="E694" s="2">
        <f ca="1">IFERROR(__xludf.DUMMYFUNCTION("""COMPUTED_VALUE"""),17.3)</f>
        <v>17.3</v>
      </c>
      <c r="F694" s="2" t="str">
        <f ca="1">IFERROR(__xludf.DUMMYFUNCTION("""COMPUTED_VALUE"""),"Full HD 1920x1080")</f>
        <v>Full HD 1920x1080</v>
      </c>
      <c r="G694" s="2" t="str">
        <f ca="1">IFERROR(__xludf.DUMMYFUNCTION("""COMPUTED_VALUE"""),"Intel Core i7 7700HQ 2.8GHz")</f>
        <v>Intel Core i7 7700HQ 2.8GHz</v>
      </c>
      <c r="H694" s="2" t="str">
        <f ca="1">IFERROR(__xludf.DUMMYFUNCTION("""COMPUTED_VALUE"""),"8GB")</f>
        <v>8GB</v>
      </c>
      <c r="I694" s="2" t="str">
        <f ca="1">IFERROR(__xludf.DUMMYFUNCTION("""COMPUTED_VALUE"""),"500GB HDD")</f>
        <v>500GB HDD</v>
      </c>
      <c r="J694" s="2" t="str">
        <f ca="1">IFERROR(__xludf.DUMMYFUNCTION("""COMPUTED_VALUE"""),"Nvidia Quadro M1200")</f>
        <v>Nvidia Quadro M1200</v>
      </c>
      <c r="K694" s="2" t="str">
        <f ca="1">IFERROR(__xludf.DUMMYFUNCTION("""COMPUTED_VALUE"""),"Windows 10")</f>
        <v>Windows 10</v>
      </c>
      <c r="L694" s="2" t="str">
        <f ca="1">IFERROR(__xludf.DUMMYFUNCTION("""COMPUTED_VALUE"""),"3.14kg")</f>
        <v>3.14kg</v>
      </c>
      <c r="M694" s="2">
        <f ca="1">IFERROR(__xludf.DUMMYFUNCTION("""COMPUTED_VALUE"""),1907.99)</f>
        <v>1907.99</v>
      </c>
    </row>
    <row r="695" spans="1:13">
      <c r="A695" s="2">
        <f ca="1">IFERROR(__xludf.DUMMYFUNCTION("""COMPUTED_VALUE"""),701)</f>
        <v>701</v>
      </c>
      <c r="B695" s="2" t="str">
        <f ca="1">IFERROR(__xludf.DUMMYFUNCTION("""COMPUTED_VALUE"""),"Lenovo")</f>
        <v>Lenovo</v>
      </c>
      <c r="C695" s="2" t="str">
        <f ca="1">IFERROR(__xludf.DUMMYFUNCTION("""COMPUTED_VALUE"""),"ThinkPad X1")</f>
        <v>ThinkPad X1</v>
      </c>
      <c r="D695" s="2" t="str">
        <f ca="1">IFERROR(__xludf.DUMMYFUNCTION("""COMPUTED_VALUE"""),"2 in 1 Convertible")</f>
        <v>2 in 1 Convertible</v>
      </c>
      <c r="E695" s="2">
        <f ca="1">IFERROR(__xludf.DUMMYFUNCTION("""COMPUTED_VALUE"""),14)</f>
        <v>14</v>
      </c>
      <c r="F695" s="2" t="str">
        <f ca="1">IFERROR(__xludf.DUMMYFUNCTION("""COMPUTED_VALUE"""),"Touchscreen 2560x1440")</f>
        <v>Touchscreen 2560x1440</v>
      </c>
      <c r="G695" s="2" t="str">
        <f ca="1">IFERROR(__xludf.DUMMYFUNCTION("""COMPUTED_VALUE"""),"Intel Core i7 7500U 2.7GHz")</f>
        <v>Intel Core i7 7500U 2.7GHz</v>
      </c>
      <c r="H695" s="2" t="str">
        <f ca="1">IFERROR(__xludf.DUMMYFUNCTION("""COMPUTED_VALUE"""),"8GB")</f>
        <v>8GB</v>
      </c>
      <c r="I695" s="2" t="str">
        <f ca="1">IFERROR(__xludf.DUMMYFUNCTION("""COMPUTED_VALUE"""),"256GB SSD")</f>
        <v>256GB SSD</v>
      </c>
      <c r="J695" s="2" t="str">
        <f ca="1">IFERROR(__xludf.DUMMYFUNCTION("""COMPUTED_VALUE"""),"Intel HD Graphics 620")</f>
        <v>Intel HD Graphics 620</v>
      </c>
      <c r="K695" s="2" t="str">
        <f ca="1">IFERROR(__xludf.DUMMYFUNCTION("""COMPUTED_VALUE"""),"Windows 10")</f>
        <v>Windows 10</v>
      </c>
      <c r="L695" s="2" t="str">
        <f ca="1">IFERROR(__xludf.DUMMYFUNCTION("""COMPUTED_VALUE"""),"1.42kg")</f>
        <v>1.42kg</v>
      </c>
      <c r="M695" s="2">
        <f ca="1">IFERROR(__xludf.DUMMYFUNCTION("""COMPUTED_VALUE"""),2590)</f>
        <v>2590</v>
      </c>
    </row>
    <row r="696" spans="1:13">
      <c r="A696" s="2">
        <f ca="1">IFERROR(__xludf.DUMMYFUNCTION("""COMPUTED_VALUE"""),702)</f>
        <v>702</v>
      </c>
      <c r="B696" s="2" t="str">
        <f ca="1">IFERROR(__xludf.DUMMYFUNCTION("""COMPUTED_VALUE"""),"Toshiba")</f>
        <v>Toshiba</v>
      </c>
      <c r="C696" s="2" t="str">
        <f ca="1">IFERROR(__xludf.DUMMYFUNCTION("""COMPUTED_VALUE"""),"Satellite Pro")</f>
        <v>Satellite Pro</v>
      </c>
      <c r="D696" s="2" t="str">
        <f ca="1">IFERROR(__xludf.DUMMYFUNCTION("""COMPUTED_VALUE"""),"Notebook")</f>
        <v>Notebook</v>
      </c>
      <c r="E696" s="2">
        <f ca="1">IFERROR(__xludf.DUMMYFUNCTION("""COMPUTED_VALUE"""),13.3)</f>
        <v>13.3</v>
      </c>
      <c r="F696" s="2" t="str">
        <f ca="1">IFERROR(__xludf.DUMMYFUNCTION("""COMPUTED_VALUE"""),"IPS Panel Full HD 1920x1080")</f>
        <v>IPS Panel Full HD 1920x1080</v>
      </c>
      <c r="G696" s="2" t="str">
        <f ca="1">IFERROR(__xludf.DUMMYFUNCTION("""COMPUTED_VALUE"""),"Intel Core i5 7200U 2.5GHz")</f>
        <v>Intel Core i5 7200U 2.5GHz</v>
      </c>
      <c r="H696" s="2" t="str">
        <f ca="1">IFERROR(__xludf.DUMMYFUNCTION("""COMPUTED_VALUE"""),"8GB")</f>
        <v>8GB</v>
      </c>
      <c r="I696" s="2" t="str">
        <f ca="1">IFERROR(__xludf.DUMMYFUNCTION("""COMPUTED_VALUE"""),"256GB SSD")</f>
        <v>256GB SSD</v>
      </c>
      <c r="J696" s="2" t="str">
        <f ca="1">IFERROR(__xludf.DUMMYFUNCTION("""COMPUTED_VALUE"""),"Intel HD Graphics 620")</f>
        <v>Intel HD Graphics 620</v>
      </c>
      <c r="K696" s="2" t="str">
        <f ca="1">IFERROR(__xludf.DUMMYFUNCTION("""COMPUTED_VALUE"""),"Windows 10")</f>
        <v>Windows 10</v>
      </c>
      <c r="L696" s="2" t="str">
        <f ca="1">IFERROR(__xludf.DUMMYFUNCTION("""COMPUTED_VALUE"""),"1.5kg")</f>
        <v>1.5kg</v>
      </c>
      <c r="M696" s="2">
        <f ca="1">IFERROR(__xludf.DUMMYFUNCTION("""COMPUTED_VALUE"""),973)</f>
        <v>973</v>
      </c>
    </row>
    <row r="697" spans="1:13">
      <c r="A697" s="2">
        <f ca="1">IFERROR(__xludf.DUMMYFUNCTION("""COMPUTED_VALUE"""),703)</f>
        <v>703</v>
      </c>
      <c r="B697" s="2" t="str">
        <f ca="1">IFERROR(__xludf.DUMMYFUNCTION("""COMPUTED_VALUE"""),"Acer")</f>
        <v>Acer</v>
      </c>
      <c r="C697" s="2" t="str">
        <f ca="1">IFERROR(__xludf.DUMMYFUNCTION("""COMPUTED_VALUE"""),"TravelMate B117-M")</f>
        <v>TravelMate B117-M</v>
      </c>
      <c r="D697" s="2" t="str">
        <f ca="1">IFERROR(__xludf.DUMMYFUNCTION("""COMPUTED_VALUE"""),"Netbook")</f>
        <v>Netbook</v>
      </c>
      <c r="E697" s="2">
        <f ca="1">IFERROR(__xludf.DUMMYFUNCTION("""COMPUTED_VALUE"""),11.6)</f>
        <v>11.6</v>
      </c>
      <c r="F697" s="2" t="str">
        <f ca="1">IFERROR(__xludf.DUMMYFUNCTION("""COMPUTED_VALUE"""),"1366x768")</f>
        <v>1366x768</v>
      </c>
      <c r="G697" s="2" t="str">
        <f ca="1">IFERROR(__xludf.DUMMYFUNCTION("""COMPUTED_VALUE"""),"Intel Celeron Dual Core N3050 1.6GHz")</f>
        <v>Intel Celeron Dual Core N3050 1.6GHz</v>
      </c>
      <c r="H697" s="2" t="str">
        <f ca="1">IFERROR(__xludf.DUMMYFUNCTION("""COMPUTED_VALUE"""),"4GB")</f>
        <v>4GB</v>
      </c>
      <c r="I697" s="2" t="str">
        <f ca="1">IFERROR(__xludf.DUMMYFUNCTION("""COMPUTED_VALUE"""),"32GB Flash Storage")</f>
        <v>32GB Flash Storage</v>
      </c>
      <c r="J697" s="2" t="str">
        <f ca="1">IFERROR(__xludf.DUMMYFUNCTION("""COMPUTED_VALUE"""),"Intel HD Graphics")</f>
        <v>Intel HD Graphics</v>
      </c>
      <c r="K697" s="2" t="str">
        <f ca="1">IFERROR(__xludf.DUMMYFUNCTION("""COMPUTED_VALUE"""),"Windows 10")</f>
        <v>Windows 10</v>
      </c>
      <c r="L697" s="2" t="str">
        <f ca="1">IFERROR(__xludf.DUMMYFUNCTION("""COMPUTED_VALUE"""),"1.4kg")</f>
        <v>1.4kg</v>
      </c>
      <c r="M697" s="2">
        <f ca="1">IFERROR(__xludf.DUMMYFUNCTION("""COMPUTED_VALUE"""),269)</f>
        <v>269</v>
      </c>
    </row>
    <row r="698" spans="1:13">
      <c r="A698" s="2">
        <f ca="1">IFERROR(__xludf.DUMMYFUNCTION("""COMPUTED_VALUE"""),704)</f>
        <v>704</v>
      </c>
      <c r="B698" s="2" t="str">
        <f ca="1">IFERROR(__xludf.DUMMYFUNCTION("""COMPUTED_VALUE"""),"Lenovo")</f>
        <v>Lenovo</v>
      </c>
      <c r="C698" s="2" t="str">
        <f ca="1">IFERROR(__xludf.DUMMYFUNCTION("""COMPUTED_VALUE"""),"Yoga 910-13IKB")</f>
        <v>Yoga 910-13IKB</v>
      </c>
      <c r="D698" s="2" t="str">
        <f ca="1">IFERROR(__xludf.DUMMYFUNCTION("""COMPUTED_VALUE"""),"2 in 1 Convertible")</f>
        <v>2 in 1 Convertible</v>
      </c>
      <c r="E698" s="2">
        <f ca="1">IFERROR(__xludf.DUMMYFUNCTION("""COMPUTED_VALUE"""),14)</f>
        <v>14</v>
      </c>
      <c r="F698" s="2" t="str">
        <f ca="1">IFERROR(__xludf.DUMMYFUNCTION("""COMPUTED_VALUE"""),"Full HD / Touchscreen 1920x1080")</f>
        <v>Full HD / Touchscreen 1920x1080</v>
      </c>
      <c r="G698" s="2" t="str">
        <f ca="1">IFERROR(__xludf.DUMMYFUNCTION("""COMPUTED_VALUE"""),"Intel Core i7 7500U 2.7GHz")</f>
        <v>Intel Core i7 7500U 2.7GHz</v>
      </c>
      <c r="H698" s="2" t="str">
        <f ca="1">IFERROR(__xludf.DUMMYFUNCTION("""COMPUTED_VALUE"""),"16GB")</f>
        <v>16GB</v>
      </c>
      <c r="I698" s="2" t="str">
        <f ca="1">IFERROR(__xludf.DUMMYFUNCTION("""COMPUTED_VALUE"""),"512GB SSD")</f>
        <v>512GB SSD</v>
      </c>
      <c r="J698" s="2" t="str">
        <f ca="1">IFERROR(__xludf.DUMMYFUNCTION("""COMPUTED_VALUE"""),"Intel HD Graphics 620")</f>
        <v>Intel HD Graphics 620</v>
      </c>
      <c r="K698" s="2" t="str">
        <f ca="1">IFERROR(__xludf.DUMMYFUNCTION("""COMPUTED_VALUE"""),"Windows 10")</f>
        <v>Windows 10</v>
      </c>
      <c r="L698" s="2" t="str">
        <f ca="1">IFERROR(__xludf.DUMMYFUNCTION("""COMPUTED_VALUE"""),"1.38kg")</f>
        <v>1.38kg</v>
      </c>
      <c r="M698" s="2">
        <f ca="1">IFERROR(__xludf.DUMMYFUNCTION("""COMPUTED_VALUE"""),1749)</f>
        <v>1749</v>
      </c>
    </row>
    <row r="699" spans="1:13">
      <c r="A699" s="2">
        <f ca="1">IFERROR(__xludf.DUMMYFUNCTION("""COMPUTED_VALUE"""),705)</f>
        <v>705</v>
      </c>
      <c r="B699" s="2" t="str">
        <f ca="1">IFERROR(__xludf.DUMMYFUNCTION("""COMPUTED_VALUE"""),"Asus")</f>
        <v>Asus</v>
      </c>
      <c r="C699" s="2" t="str">
        <f ca="1">IFERROR(__xludf.DUMMYFUNCTION("""COMPUTED_VALUE"""),"Chromebook Flip")</f>
        <v>Chromebook Flip</v>
      </c>
      <c r="D699" s="2" t="str">
        <f ca="1">IFERROR(__xludf.DUMMYFUNCTION("""COMPUTED_VALUE"""),"2 in 1 Convertible")</f>
        <v>2 in 1 Convertible</v>
      </c>
      <c r="E699" s="2">
        <f ca="1">IFERROR(__xludf.DUMMYFUNCTION("""COMPUTED_VALUE"""),12.5)</f>
        <v>12.5</v>
      </c>
      <c r="F699" s="2" t="str">
        <f ca="1">IFERROR(__xludf.DUMMYFUNCTION("""COMPUTED_VALUE"""),"Full HD / Touchscreen 1920x1080")</f>
        <v>Full HD / Touchscreen 1920x1080</v>
      </c>
      <c r="G699" s="2" t="str">
        <f ca="1">IFERROR(__xludf.DUMMYFUNCTION("""COMPUTED_VALUE"""),"Intel Core M M3-6Y30 0.9GHz")</f>
        <v>Intel Core M M3-6Y30 0.9GHz</v>
      </c>
      <c r="H699" s="2" t="str">
        <f ca="1">IFERROR(__xludf.DUMMYFUNCTION("""COMPUTED_VALUE"""),"4GB")</f>
        <v>4GB</v>
      </c>
      <c r="I699" s="2" t="str">
        <f ca="1">IFERROR(__xludf.DUMMYFUNCTION("""COMPUTED_VALUE"""),"64GB Flash Storage")</f>
        <v>64GB Flash Storage</v>
      </c>
      <c r="J699" s="2" t="str">
        <f ca="1">IFERROR(__xludf.DUMMYFUNCTION("""COMPUTED_VALUE"""),"Intel HD Graphics 515")</f>
        <v>Intel HD Graphics 515</v>
      </c>
      <c r="K699" s="2" t="str">
        <f ca="1">IFERROR(__xludf.DUMMYFUNCTION("""COMPUTED_VALUE"""),"Chrome OS")</f>
        <v>Chrome OS</v>
      </c>
      <c r="L699" s="2" t="str">
        <f ca="1">IFERROR(__xludf.DUMMYFUNCTION("""COMPUTED_VALUE"""),"1.2kg")</f>
        <v>1.2kg</v>
      </c>
      <c r="M699" s="2">
        <f ca="1">IFERROR(__xludf.DUMMYFUNCTION("""COMPUTED_VALUE"""),669)</f>
        <v>669</v>
      </c>
    </row>
    <row r="700" spans="1:13">
      <c r="A700" s="2">
        <f ca="1">IFERROR(__xludf.DUMMYFUNCTION("""COMPUTED_VALUE"""),706)</f>
        <v>706</v>
      </c>
      <c r="B700" s="2" t="str">
        <f ca="1">IFERROR(__xludf.DUMMYFUNCTION("""COMPUTED_VALUE"""),"Toshiba")</f>
        <v>Toshiba</v>
      </c>
      <c r="C700" s="2" t="str">
        <f ca="1">IFERROR(__xludf.DUMMYFUNCTION("""COMPUTED_VALUE"""),"Portege Z30T-C-133")</f>
        <v>Portege Z30T-C-133</v>
      </c>
      <c r="D700" s="2" t="str">
        <f ca="1">IFERROR(__xludf.DUMMYFUNCTION("""COMPUTED_VALUE"""),"Ultrabook")</f>
        <v>Ultrabook</v>
      </c>
      <c r="E700" s="2">
        <f ca="1">IFERROR(__xludf.DUMMYFUNCTION("""COMPUTED_VALUE"""),13.3)</f>
        <v>13.3</v>
      </c>
      <c r="F700" s="2" t="str">
        <f ca="1">IFERROR(__xludf.DUMMYFUNCTION("""COMPUTED_VALUE"""),"Full HD / Touchscreen 1920x1080")</f>
        <v>Full HD / Touchscreen 1920x1080</v>
      </c>
      <c r="G700" s="2" t="str">
        <f ca="1">IFERROR(__xludf.DUMMYFUNCTION("""COMPUTED_VALUE"""),"Intel Core i7 6500U 2.5GHz")</f>
        <v>Intel Core i7 6500U 2.5GHz</v>
      </c>
      <c r="H700" s="2" t="str">
        <f ca="1">IFERROR(__xludf.DUMMYFUNCTION("""COMPUTED_VALUE"""),"16GB")</f>
        <v>16GB</v>
      </c>
      <c r="I700" s="2" t="str">
        <f ca="1">IFERROR(__xludf.DUMMYFUNCTION("""COMPUTED_VALUE"""),"512GB SSD")</f>
        <v>512GB SSD</v>
      </c>
      <c r="J700" s="2" t="str">
        <f ca="1">IFERROR(__xludf.DUMMYFUNCTION("""COMPUTED_VALUE"""),"Intel HD Graphics 520")</f>
        <v>Intel HD Graphics 520</v>
      </c>
      <c r="K700" s="2" t="str">
        <f ca="1">IFERROR(__xludf.DUMMYFUNCTION("""COMPUTED_VALUE"""),"Windows 10")</f>
        <v>Windows 10</v>
      </c>
      <c r="L700" s="2" t="str">
        <f ca="1">IFERROR(__xludf.DUMMYFUNCTION("""COMPUTED_VALUE"""),"1.36kg")</f>
        <v>1.36kg</v>
      </c>
      <c r="M700" s="2">
        <f ca="1">IFERROR(__xludf.DUMMYFUNCTION("""COMPUTED_VALUE"""),1877)</f>
        <v>1877</v>
      </c>
    </row>
    <row r="701" spans="1:13">
      <c r="A701" s="2">
        <f ca="1">IFERROR(__xludf.DUMMYFUNCTION("""COMPUTED_VALUE"""),707)</f>
        <v>707</v>
      </c>
      <c r="B701" s="2" t="str">
        <f ca="1">IFERROR(__xludf.DUMMYFUNCTION("""COMPUTED_VALUE"""),"HP")</f>
        <v>HP</v>
      </c>
      <c r="C701" s="2" t="str">
        <f ca="1">IFERROR(__xludf.DUMMYFUNCTION("""COMPUTED_VALUE"""),"15-bs011nv (i7-7500U/4GB/500GB/Radeon")</f>
        <v>15-bs011nv (i7-7500U/4GB/500GB/Radeon</v>
      </c>
      <c r="D701" s="2" t="str">
        <f ca="1">IFERROR(__xludf.DUMMYFUNCTION("""COMPUTED_VALUE"""),"Notebook")</f>
        <v>Notebook</v>
      </c>
      <c r="E701" s="2">
        <f ca="1">IFERROR(__xludf.DUMMYFUNCTION("""COMPUTED_VALUE"""),15.6)</f>
        <v>15.6</v>
      </c>
      <c r="F701" s="2" t="str">
        <f ca="1">IFERROR(__xludf.DUMMYFUNCTION("""COMPUTED_VALUE"""),"IPS Panel Full HD 1920x1080")</f>
        <v>IPS Panel Full HD 1920x1080</v>
      </c>
      <c r="G701" s="2" t="str">
        <f ca="1">IFERROR(__xludf.DUMMYFUNCTION("""COMPUTED_VALUE"""),"Intel Core i7 7500U 2.7GHz")</f>
        <v>Intel Core i7 7500U 2.7GHz</v>
      </c>
      <c r="H701" s="2" t="str">
        <f ca="1">IFERROR(__xludf.DUMMYFUNCTION("""COMPUTED_VALUE"""),"4GB")</f>
        <v>4GB</v>
      </c>
      <c r="I701" s="2" t="str">
        <f ca="1">IFERROR(__xludf.DUMMYFUNCTION("""COMPUTED_VALUE"""),"500GB HDD")</f>
        <v>500GB HDD</v>
      </c>
      <c r="J701" s="2" t="str">
        <f ca="1">IFERROR(__xludf.DUMMYFUNCTION("""COMPUTED_VALUE"""),"AMD Radeon 530")</f>
        <v>AMD Radeon 530</v>
      </c>
      <c r="K701" s="2" t="str">
        <f ca="1">IFERROR(__xludf.DUMMYFUNCTION("""COMPUTED_VALUE"""),"Windows 10")</f>
        <v>Windows 10</v>
      </c>
      <c r="L701" s="2" t="str">
        <f ca="1">IFERROR(__xludf.DUMMYFUNCTION("""COMPUTED_VALUE"""),"2.1kg")</f>
        <v>2.1kg</v>
      </c>
      <c r="M701" s="2">
        <f ca="1">IFERROR(__xludf.DUMMYFUNCTION("""COMPUTED_VALUE"""),689)</f>
        <v>689</v>
      </c>
    </row>
    <row r="702" spans="1:13">
      <c r="A702" s="2">
        <f ca="1">IFERROR(__xludf.DUMMYFUNCTION("""COMPUTED_VALUE"""),708)</f>
        <v>708</v>
      </c>
      <c r="B702" s="2" t="str">
        <f ca="1">IFERROR(__xludf.DUMMYFUNCTION("""COMPUTED_VALUE"""),"Dell")</f>
        <v>Dell</v>
      </c>
      <c r="C702" s="2" t="str">
        <f ca="1">IFERROR(__xludf.DUMMYFUNCTION("""COMPUTED_VALUE"""),"Inspiron 5577")</f>
        <v>Inspiron 5577</v>
      </c>
      <c r="D702" s="2" t="str">
        <f ca="1">IFERROR(__xludf.DUMMYFUNCTION("""COMPUTED_VALUE"""),"Gaming")</f>
        <v>Gaming</v>
      </c>
      <c r="E702" s="2">
        <f ca="1">IFERROR(__xludf.DUMMYFUNCTION("""COMPUTED_VALUE"""),15.6)</f>
        <v>15.6</v>
      </c>
      <c r="F702" s="2" t="str">
        <f ca="1">IFERROR(__xludf.DUMMYFUNCTION("""COMPUTED_VALUE"""),"Full HD 1920x1080")</f>
        <v>Full HD 1920x1080</v>
      </c>
      <c r="G702" s="2" t="str">
        <f ca="1">IFERROR(__xludf.DUMMYFUNCTION("""COMPUTED_VALUE"""),"Intel Core i5 7300HQ 2.5GHz")</f>
        <v>Intel Core i5 7300HQ 2.5GHz</v>
      </c>
      <c r="H702" s="2" t="str">
        <f ca="1">IFERROR(__xludf.DUMMYFUNCTION("""COMPUTED_VALUE"""),"8GB")</f>
        <v>8GB</v>
      </c>
      <c r="I702" s="2" t="str">
        <f ca="1">IFERROR(__xludf.DUMMYFUNCTION("""COMPUTED_VALUE"""),"1TB HDD")</f>
        <v>1TB HDD</v>
      </c>
      <c r="J702" s="2" t="str">
        <f ca="1">IFERROR(__xludf.DUMMYFUNCTION("""COMPUTED_VALUE"""),"Nvidia GeForce GTX 1050")</f>
        <v>Nvidia GeForce GTX 1050</v>
      </c>
      <c r="K702" s="2" t="str">
        <f ca="1">IFERROR(__xludf.DUMMYFUNCTION("""COMPUTED_VALUE"""),"Windows 10")</f>
        <v>Windows 10</v>
      </c>
      <c r="L702" s="2" t="str">
        <f ca="1">IFERROR(__xludf.DUMMYFUNCTION("""COMPUTED_VALUE"""),"2.56kg")</f>
        <v>2.56kg</v>
      </c>
      <c r="M702" s="2">
        <f ca="1">IFERROR(__xludf.DUMMYFUNCTION("""COMPUTED_VALUE"""),819)</f>
        <v>819</v>
      </c>
    </row>
    <row r="703" spans="1:13">
      <c r="A703" s="2">
        <f ca="1">IFERROR(__xludf.DUMMYFUNCTION("""COMPUTED_VALUE"""),709)</f>
        <v>709</v>
      </c>
      <c r="B703" s="2" t="str">
        <f ca="1">IFERROR(__xludf.DUMMYFUNCTION("""COMPUTED_VALUE"""),"Lenovo")</f>
        <v>Lenovo</v>
      </c>
      <c r="C703" s="2" t="str">
        <f ca="1">IFERROR(__xludf.DUMMYFUNCTION("""COMPUTED_VALUE"""),"IdeaPad 320-15AST")</f>
        <v>IdeaPad 320-15AST</v>
      </c>
      <c r="D703" s="2" t="str">
        <f ca="1">IFERROR(__xludf.DUMMYFUNCTION("""COMPUTED_VALUE"""),"Notebook")</f>
        <v>Notebook</v>
      </c>
      <c r="E703" s="2">
        <f ca="1">IFERROR(__xludf.DUMMYFUNCTION("""COMPUTED_VALUE"""),15.6)</f>
        <v>15.6</v>
      </c>
      <c r="F703" s="2" t="str">
        <f ca="1">IFERROR(__xludf.DUMMYFUNCTION("""COMPUTED_VALUE"""),"Full HD 1920x1080")</f>
        <v>Full HD 1920x1080</v>
      </c>
      <c r="G703" s="2" t="str">
        <f ca="1">IFERROR(__xludf.DUMMYFUNCTION("""COMPUTED_VALUE"""),"AMD A9-Series 9420 2.9GHz")</f>
        <v>AMD A9-Series 9420 2.9GHz</v>
      </c>
      <c r="H703" s="2" t="str">
        <f ca="1">IFERROR(__xludf.DUMMYFUNCTION("""COMPUTED_VALUE"""),"4GB")</f>
        <v>4GB</v>
      </c>
      <c r="I703" s="2" t="str">
        <f ca="1">IFERROR(__xludf.DUMMYFUNCTION("""COMPUTED_VALUE"""),"256GB SSD")</f>
        <v>256GB SSD</v>
      </c>
      <c r="J703" s="2" t="str">
        <f ca="1">IFERROR(__xludf.DUMMYFUNCTION("""COMPUTED_VALUE"""),"AMD Radeon 530")</f>
        <v>AMD Radeon 530</v>
      </c>
      <c r="K703" s="2" t="str">
        <f ca="1">IFERROR(__xludf.DUMMYFUNCTION("""COMPUTED_VALUE"""),"Windows 10")</f>
        <v>Windows 10</v>
      </c>
      <c r="L703" s="2" t="str">
        <f ca="1">IFERROR(__xludf.DUMMYFUNCTION("""COMPUTED_VALUE"""),"2.2kg")</f>
        <v>2.2kg</v>
      </c>
      <c r="M703" s="2">
        <f ca="1">IFERROR(__xludf.DUMMYFUNCTION("""COMPUTED_VALUE"""),399)</f>
        <v>399</v>
      </c>
    </row>
    <row r="704" spans="1:13">
      <c r="A704" s="2">
        <f ca="1">IFERROR(__xludf.DUMMYFUNCTION("""COMPUTED_VALUE"""),710)</f>
        <v>710</v>
      </c>
      <c r="B704" s="2" t="str">
        <f ca="1">IFERROR(__xludf.DUMMYFUNCTION("""COMPUTED_VALUE"""),"Lenovo")</f>
        <v>Lenovo</v>
      </c>
      <c r="C704" s="2" t="str">
        <f ca="1">IFERROR(__xludf.DUMMYFUNCTION("""COMPUTED_VALUE"""),"IdeaPad 320-15ABR")</f>
        <v>IdeaPad 320-15ABR</v>
      </c>
      <c r="D704" s="2" t="str">
        <f ca="1">IFERROR(__xludf.DUMMYFUNCTION("""COMPUTED_VALUE"""),"Notebook")</f>
        <v>Notebook</v>
      </c>
      <c r="E704" s="2">
        <f ca="1">IFERROR(__xludf.DUMMYFUNCTION("""COMPUTED_VALUE"""),15.6)</f>
        <v>15.6</v>
      </c>
      <c r="F704" s="2" t="str">
        <f ca="1">IFERROR(__xludf.DUMMYFUNCTION("""COMPUTED_VALUE"""),"1366x768")</f>
        <v>1366x768</v>
      </c>
      <c r="G704" s="2" t="str">
        <f ca="1">IFERROR(__xludf.DUMMYFUNCTION("""COMPUTED_VALUE"""),"AMD A12-Series 9720P 3.6GHz")</f>
        <v>AMD A12-Series 9720P 3.6GHz</v>
      </c>
      <c r="H704" s="2" t="str">
        <f ca="1">IFERROR(__xludf.DUMMYFUNCTION("""COMPUTED_VALUE"""),"8GB")</f>
        <v>8GB</v>
      </c>
      <c r="I704" s="2" t="str">
        <f ca="1">IFERROR(__xludf.DUMMYFUNCTION("""COMPUTED_VALUE"""),"1TB HDD")</f>
        <v>1TB HDD</v>
      </c>
      <c r="J704" s="2" t="str">
        <f ca="1">IFERROR(__xludf.DUMMYFUNCTION("""COMPUTED_VALUE"""),"AMD Radeon R7")</f>
        <v>AMD Radeon R7</v>
      </c>
      <c r="K704" s="2" t="str">
        <f ca="1">IFERROR(__xludf.DUMMYFUNCTION("""COMPUTED_VALUE"""),"Windows 10")</f>
        <v>Windows 10</v>
      </c>
      <c r="L704" s="2" t="str">
        <f ca="1">IFERROR(__xludf.DUMMYFUNCTION("""COMPUTED_VALUE"""),"2.2kg")</f>
        <v>2.2kg</v>
      </c>
      <c r="M704" s="2">
        <f ca="1">IFERROR(__xludf.DUMMYFUNCTION("""COMPUTED_VALUE"""),429)</f>
        <v>429</v>
      </c>
    </row>
    <row r="705" spans="1:13">
      <c r="A705" s="2">
        <f ca="1">IFERROR(__xludf.DUMMYFUNCTION("""COMPUTED_VALUE"""),711)</f>
        <v>711</v>
      </c>
      <c r="B705" s="2" t="str">
        <f ca="1">IFERROR(__xludf.DUMMYFUNCTION("""COMPUTED_VALUE"""),"Lenovo")</f>
        <v>Lenovo</v>
      </c>
      <c r="C705" s="2" t="str">
        <f ca="1">IFERROR(__xludf.DUMMYFUNCTION("""COMPUTED_VALUE"""),"V310-15IKB (i5-7200U/4GB/1TB/FHD/W10)")</f>
        <v>V310-15IKB (i5-7200U/4GB/1TB/FHD/W10)</v>
      </c>
      <c r="D705" s="2" t="str">
        <f ca="1">IFERROR(__xludf.DUMMYFUNCTION("""COMPUTED_VALUE"""),"Notebook")</f>
        <v>Notebook</v>
      </c>
      <c r="E705" s="2">
        <f ca="1">IFERROR(__xludf.DUMMYFUNCTION("""COMPUTED_VALUE"""),15.6)</f>
        <v>15.6</v>
      </c>
      <c r="F705" s="2" t="str">
        <f ca="1">IFERROR(__xludf.DUMMYFUNCTION("""COMPUTED_VALUE"""),"Full HD 1920x1080")</f>
        <v>Full HD 1920x1080</v>
      </c>
      <c r="G705" s="2" t="str">
        <f ca="1">IFERROR(__xludf.DUMMYFUNCTION("""COMPUTED_VALUE"""),"Intel Core i5 7200U 2.5GHz")</f>
        <v>Intel Core i5 7200U 2.5GHz</v>
      </c>
      <c r="H705" s="2" t="str">
        <f ca="1">IFERROR(__xludf.DUMMYFUNCTION("""COMPUTED_VALUE"""),"4GB")</f>
        <v>4GB</v>
      </c>
      <c r="I705" s="2" t="str">
        <f ca="1">IFERROR(__xludf.DUMMYFUNCTION("""COMPUTED_VALUE"""),"1TB HDD +  1TB HDD")</f>
        <v>1TB HDD +  1TB HDD</v>
      </c>
      <c r="J705" s="2" t="str">
        <f ca="1">IFERROR(__xludf.DUMMYFUNCTION("""COMPUTED_VALUE"""),"Intel HD Graphics 620")</f>
        <v>Intel HD Graphics 620</v>
      </c>
      <c r="K705" s="2" t="str">
        <f ca="1">IFERROR(__xludf.DUMMYFUNCTION("""COMPUTED_VALUE"""),"Windows 10")</f>
        <v>Windows 10</v>
      </c>
      <c r="L705" s="2" t="str">
        <f ca="1">IFERROR(__xludf.DUMMYFUNCTION("""COMPUTED_VALUE"""),"2.1kg")</f>
        <v>2.1kg</v>
      </c>
      <c r="M705" s="2">
        <f ca="1">IFERROR(__xludf.DUMMYFUNCTION("""COMPUTED_VALUE"""),621.45)</f>
        <v>621.45000000000005</v>
      </c>
    </row>
    <row r="706" spans="1:13">
      <c r="A706" s="2">
        <f ca="1">IFERROR(__xludf.DUMMYFUNCTION("""COMPUTED_VALUE"""),712)</f>
        <v>712</v>
      </c>
      <c r="B706" s="2" t="str">
        <f ca="1">IFERROR(__xludf.DUMMYFUNCTION("""COMPUTED_VALUE"""),"Lenovo")</f>
        <v>Lenovo</v>
      </c>
      <c r="C706" s="2" t="str">
        <f ca="1">IFERROR(__xludf.DUMMYFUNCTION("""COMPUTED_VALUE"""),"V310-15ISK (i3-6006U/4GB/500GB/No")</f>
        <v>V310-15ISK (i3-6006U/4GB/500GB/No</v>
      </c>
      <c r="D706" s="2" t="str">
        <f ca="1">IFERROR(__xludf.DUMMYFUNCTION("""COMPUTED_VALUE"""),"Notebook")</f>
        <v>Notebook</v>
      </c>
      <c r="E706" s="2">
        <f ca="1">IFERROR(__xludf.DUMMYFUNCTION("""COMPUTED_VALUE"""),15.6)</f>
        <v>15.6</v>
      </c>
      <c r="F706" s="2" t="str">
        <f ca="1">IFERROR(__xludf.DUMMYFUNCTION("""COMPUTED_VALUE"""),"1366x768")</f>
        <v>1366x768</v>
      </c>
      <c r="G706" s="2" t="str">
        <f ca="1">IFERROR(__xludf.DUMMYFUNCTION("""COMPUTED_VALUE"""),"Intel Core i3 6006U 2GHz")</f>
        <v>Intel Core i3 6006U 2GHz</v>
      </c>
      <c r="H706" s="2" t="str">
        <f ca="1">IFERROR(__xludf.DUMMYFUNCTION("""COMPUTED_VALUE"""),"4GB")</f>
        <v>4GB</v>
      </c>
      <c r="I706" s="2" t="str">
        <f ca="1">IFERROR(__xludf.DUMMYFUNCTION("""COMPUTED_VALUE"""),"500GB HDD")</f>
        <v>500GB HDD</v>
      </c>
      <c r="J706" s="2" t="str">
        <f ca="1">IFERROR(__xludf.DUMMYFUNCTION("""COMPUTED_VALUE"""),"Intel HD Graphics 520")</f>
        <v>Intel HD Graphics 520</v>
      </c>
      <c r="K706" s="2" t="str">
        <f ca="1">IFERROR(__xludf.DUMMYFUNCTION("""COMPUTED_VALUE"""),"No OS")</f>
        <v>No OS</v>
      </c>
      <c r="L706" s="2" t="str">
        <f ca="1">IFERROR(__xludf.DUMMYFUNCTION("""COMPUTED_VALUE"""),"1.90kg")</f>
        <v>1.90kg</v>
      </c>
      <c r="M706" s="2">
        <f ca="1">IFERROR(__xludf.DUMMYFUNCTION("""COMPUTED_VALUE"""),450)</f>
        <v>450</v>
      </c>
    </row>
    <row r="707" spans="1:13">
      <c r="A707" s="2">
        <f ca="1">IFERROR(__xludf.DUMMYFUNCTION("""COMPUTED_VALUE"""),713)</f>
        <v>713</v>
      </c>
      <c r="B707" s="2" t="str">
        <f ca="1">IFERROR(__xludf.DUMMYFUNCTION("""COMPUTED_VALUE"""),"Dell")</f>
        <v>Dell</v>
      </c>
      <c r="C707" s="2" t="str">
        <f ca="1">IFERROR(__xludf.DUMMYFUNCTION("""COMPUTED_VALUE"""),"Vostro 5568")</f>
        <v>Vostro 5568</v>
      </c>
      <c r="D707" s="2" t="str">
        <f ca="1">IFERROR(__xludf.DUMMYFUNCTION("""COMPUTED_VALUE"""),"Notebook")</f>
        <v>Notebook</v>
      </c>
      <c r="E707" s="2">
        <f ca="1">IFERROR(__xludf.DUMMYFUNCTION("""COMPUTED_VALUE"""),15.6)</f>
        <v>15.6</v>
      </c>
      <c r="F707" s="2" t="str">
        <f ca="1">IFERROR(__xludf.DUMMYFUNCTION("""COMPUTED_VALUE"""),"Full HD 1920x1080")</f>
        <v>Full HD 1920x1080</v>
      </c>
      <c r="G707" s="2" t="str">
        <f ca="1">IFERROR(__xludf.DUMMYFUNCTION("""COMPUTED_VALUE"""),"Intel Core i5 7200U 2.5GHz")</f>
        <v>Intel Core i5 7200U 2.5GHz</v>
      </c>
      <c r="H707" s="2" t="str">
        <f ca="1">IFERROR(__xludf.DUMMYFUNCTION("""COMPUTED_VALUE"""),"8GB")</f>
        <v>8GB</v>
      </c>
      <c r="I707" s="2" t="str">
        <f ca="1">IFERROR(__xludf.DUMMYFUNCTION("""COMPUTED_VALUE"""),"256GB SSD")</f>
        <v>256GB SSD</v>
      </c>
      <c r="J707" s="2" t="str">
        <f ca="1">IFERROR(__xludf.DUMMYFUNCTION("""COMPUTED_VALUE"""),"Intel HD Graphics 620")</f>
        <v>Intel HD Graphics 620</v>
      </c>
      <c r="K707" s="2" t="str">
        <f ca="1">IFERROR(__xludf.DUMMYFUNCTION("""COMPUTED_VALUE"""),"Windows 10")</f>
        <v>Windows 10</v>
      </c>
      <c r="L707" s="2" t="str">
        <f ca="1">IFERROR(__xludf.DUMMYFUNCTION("""COMPUTED_VALUE"""),"2.18kg")</f>
        <v>2.18kg</v>
      </c>
      <c r="M707" s="2">
        <f ca="1">IFERROR(__xludf.DUMMYFUNCTION("""COMPUTED_VALUE"""),795)</f>
        <v>795</v>
      </c>
    </row>
    <row r="708" spans="1:13">
      <c r="A708" s="2">
        <f ca="1">IFERROR(__xludf.DUMMYFUNCTION("""COMPUTED_VALUE"""),714)</f>
        <v>714</v>
      </c>
      <c r="B708" s="2" t="str">
        <f ca="1">IFERROR(__xludf.DUMMYFUNCTION("""COMPUTED_VALUE"""),"Acer")</f>
        <v>Acer</v>
      </c>
      <c r="C708" s="2" t="str">
        <f ca="1">IFERROR(__xludf.DUMMYFUNCTION("""COMPUTED_VALUE"""),"Spin 5")</f>
        <v>Spin 5</v>
      </c>
      <c r="D708" s="2" t="str">
        <f ca="1">IFERROR(__xludf.DUMMYFUNCTION("""COMPUTED_VALUE"""),"2 in 1 Convertible")</f>
        <v>2 in 1 Convertible</v>
      </c>
      <c r="E708" s="2">
        <f ca="1">IFERROR(__xludf.DUMMYFUNCTION("""COMPUTED_VALUE"""),13.3)</f>
        <v>13.3</v>
      </c>
      <c r="F708" s="2" t="str">
        <f ca="1">IFERROR(__xludf.DUMMYFUNCTION("""COMPUTED_VALUE"""),"IPS Panel Full HD / Touchscreen 1920x1080")</f>
        <v>IPS Panel Full HD / Touchscreen 1920x1080</v>
      </c>
      <c r="G708" s="2" t="str">
        <f ca="1">IFERROR(__xludf.DUMMYFUNCTION("""COMPUTED_VALUE"""),"Intel Core i5 8250U 1.6GHz")</f>
        <v>Intel Core i5 8250U 1.6GHz</v>
      </c>
      <c r="H708" s="2" t="str">
        <f ca="1">IFERROR(__xludf.DUMMYFUNCTION("""COMPUTED_VALUE"""),"8GB")</f>
        <v>8GB</v>
      </c>
      <c r="I708" s="2" t="str">
        <f ca="1">IFERROR(__xludf.DUMMYFUNCTION("""COMPUTED_VALUE"""),"256GB SSD")</f>
        <v>256GB SSD</v>
      </c>
      <c r="J708" s="2" t="str">
        <f ca="1">IFERROR(__xludf.DUMMYFUNCTION("""COMPUTED_VALUE"""),"Intel UHD Graphics 620")</f>
        <v>Intel UHD Graphics 620</v>
      </c>
      <c r="K708" s="2" t="str">
        <f ca="1">IFERROR(__xludf.DUMMYFUNCTION("""COMPUTED_VALUE"""),"Windows 10")</f>
        <v>Windows 10</v>
      </c>
      <c r="L708" s="2" t="str">
        <f ca="1">IFERROR(__xludf.DUMMYFUNCTION("""COMPUTED_VALUE"""),"1.6kg")</f>
        <v>1.6kg</v>
      </c>
      <c r="M708" s="2">
        <f ca="1">IFERROR(__xludf.DUMMYFUNCTION("""COMPUTED_VALUE"""),999)</f>
        <v>999</v>
      </c>
    </row>
    <row r="709" spans="1:13">
      <c r="A709" s="2">
        <f ca="1">IFERROR(__xludf.DUMMYFUNCTION("""COMPUTED_VALUE"""),715)</f>
        <v>715</v>
      </c>
      <c r="B709" s="2" t="str">
        <f ca="1">IFERROR(__xludf.DUMMYFUNCTION("""COMPUTED_VALUE"""),"Lenovo")</f>
        <v>Lenovo</v>
      </c>
      <c r="C709" s="2" t="str">
        <f ca="1">IFERROR(__xludf.DUMMYFUNCTION("""COMPUTED_VALUE"""),"ThinkPad P51s")</f>
        <v>ThinkPad P51s</v>
      </c>
      <c r="D709" s="2" t="str">
        <f ca="1">IFERROR(__xludf.DUMMYFUNCTION("""COMPUTED_VALUE"""),"Workstation")</f>
        <v>Workstation</v>
      </c>
      <c r="E709" s="2">
        <f ca="1">IFERROR(__xludf.DUMMYFUNCTION("""COMPUTED_VALUE"""),15.6)</f>
        <v>15.6</v>
      </c>
      <c r="F709" s="2" t="str">
        <f ca="1">IFERROR(__xludf.DUMMYFUNCTION("""COMPUTED_VALUE"""),"Full HD 1920x1080")</f>
        <v>Full HD 1920x1080</v>
      </c>
      <c r="G709" s="2" t="str">
        <f ca="1">IFERROR(__xludf.DUMMYFUNCTION("""COMPUTED_VALUE"""),"Intel Core i7 6500U 2.5GHz")</f>
        <v>Intel Core i7 6500U 2.5GHz</v>
      </c>
      <c r="H709" s="2" t="str">
        <f ca="1">IFERROR(__xludf.DUMMYFUNCTION("""COMPUTED_VALUE"""),"16GB")</f>
        <v>16GB</v>
      </c>
      <c r="I709" s="2" t="str">
        <f ca="1">IFERROR(__xludf.DUMMYFUNCTION("""COMPUTED_VALUE"""),"512GB SSD")</f>
        <v>512GB SSD</v>
      </c>
      <c r="J709" s="2" t="str">
        <f ca="1">IFERROR(__xludf.DUMMYFUNCTION("""COMPUTED_VALUE"""),"Nvidia Quadro M520M")</f>
        <v>Nvidia Quadro M520M</v>
      </c>
      <c r="K709" s="2" t="str">
        <f ca="1">IFERROR(__xludf.DUMMYFUNCTION("""COMPUTED_VALUE"""),"Windows 7")</f>
        <v>Windows 7</v>
      </c>
      <c r="L709" s="2" t="str">
        <f ca="1">IFERROR(__xludf.DUMMYFUNCTION("""COMPUTED_VALUE"""),"2.18kg")</f>
        <v>2.18kg</v>
      </c>
      <c r="M709" s="2">
        <f ca="1">IFERROR(__xludf.DUMMYFUNCTION("""COMPUTED_VALUE"""),1855)</f>
        <v>1855</v>
      </c>
    </row>
    <row r="710" spans="1:13">
      <c r="A710" s="2">
        <f ca="1">IFERROR(__xludf.DUMMYFUNCTION("""COMPUTED_VALUE"""),716)</f>
        <v>716</v>
      </c>
      <c r="B710" s="2" t="str">
        <f ca="1">IFERROR(__xludf.DUMMYFUNCTION("""COMPUTED_VALUE"""),"Lenovo")</f>
        <v>Lenovo</v>
      </c>
      <c r="C710" s="2" t="str">
        <f ca="1">IFERROR(__xludf.DUMMYFUNCTION("""COMPUTED_VALUE"""),"Thinkpad T460p")</f>
        <v>Thinkpad T460p</v>
      </c>
      <c r="D710" s="2" t="str">
        <f ca="1">IFERROR(__xludf.DUMMYFUNCTION("""COMPUTED_VALUE"""),"Notebook")</f>
        <v>Notebook</v>
      </c>
      <c r="E710" s="2">
        <f ca="1">IFERROR(__xludf.DUMMYFUNCTION("""COMPUTED_VALUE"""),14)</f>
        <v>14</v>
      </c>
      <c r="F710" s="2" t="str">
        <f ca="1">IFERROR(__xludf.DUMMYFUNCTION("""COMPUTED_VALUE"""),"Full HD 1920x1080")</f>
        <v>Full HD 1920x1080</v>
      </c>
      <c r="G710" s="2" t="str">
        <f ca="1">IFERROR(__xludf.DUMMYFUNCTION("""COMPUTED_VALUE"""),"Intel Core i5 6300HQ 2.3GHz")</f>
        <v>Intel Core i5 6300HQ 2.3GHz</v>
      </c>
      <c r="H710" s="2" t="str">
        <f ca="1">IFERROR(__xludf.DUMMYFUNCTION("""COMPUTED_VALUE"""),"8GB")</f>
        <v>8GB</v>
      </c>
      <c r="I710" s="2" t="str">
        <f ca="1">IFERROR(__xludf.DUMMYFUNCTION("""COMPUTED_VALUE"""),"256GB SSD")</f>
        <v>256GB SSD</v>
      </c>
      <c r="J710" s="2" t="str">
        <f ca="1">IFERROR(__xludf.DUMMYFUNCTION("""COMPUTED_VALUE"""),"Intel HD Graphics 520")</f>
        <v>Intel HD Graphics 520</v>
      </c>
      <c r="K710" s="2" t="str">
        <f ca="1">IFERROR(__xludf.DUMMYFUNCTION("""COMPUTED_VALUE"""),"Windows 10")</f>
        <v>Windows 10</v>
      </c>
      <c r="L710" s="2" t="str">
        <f ca="1">IFERROR(__xludf.DUMMYFUNCTION("""COMPUTED_VALUE"""),"1.8kg")</f>
        <v>1.8kg</v>
      </c>
      <c r="M710" s="2">
        <f ca="1">IFERROR(__xludf.DUMMYFUNCTION("""COMPUTED_VALUE"""),1191)</f>
        <v>1191</v>
      </c>
    </row>
    <row r="711" spans="1:13">
      <c r="A711" s="2">
        <f ca="1">IFERROR(__xludf.DUMMYFUNCTION("""COMPUTED_VALUE"""),717)</f>
        <v>717</v>
      </c>
      <c r="B711" s="2" t="str">
        <f ca="1">IFERROR(__xludf.DUMMYFUNCTION("""COMPUTED_VALUE"""),"HP")</f>
        <v>HP</v>
      </c>
      <c r="C711" s="2" t="str">
        <f ca="1">IFERROR(__xludf.DUMMYFUNCTION("""COMPUTED_VALUE"""),"17-ak002nv (A10-9620P/6GB/2TB/Radeon")</f>
        <v>17-ak002nv (A10-9620P/6GB/2TB/Radeon</v>
      </c>
      <c r="D711" s="2" t="str">
        <f ca="1">IFERROR(__xludf.DUMMYFUNCTION("""COMPUTED_VALUE"""),"Notebook")</f>
        <v>Notebook</v>
      </c>
      <c r="E711" s="2">
        <f ca="1">IFERROR(__xludf.DUMMYFUNCTION("""COMPUTED_VALUE"""),17.3)</f>
        <v>17.3</v>
      </c>
      <c r="F711" s="2" t="str">
        <f ca="1">IFERROR(__xludf.DUMMYFUNCTION("""COMPUTED_VALUE"""),"IPS Panel Full HD 1920x1080")</f>
        <v>IPS Panel Full HD 1920x1080</v>
      </c>
      <c r="G711" s="2" t="str">
        <f ca="1">IFERROR(__xludf.DUMMYFUNCTION("""COMPUTED_VALUE"""),"AMD A10-Series 9620P 2.5GHz")</f>
        <v>AMD A10-Series 9620P 2.5GHz</v>
      </c>
      <c r="H711" s="2" t="str">
        <f ca="1">IFERROR(__xludf.DUMMYFUNCTION("""COMPUTED_VALUE"""),"6GB")</f>
        <v>6GB</v>
      </c>
      <c r="I711" s="2" t="str">
        <f ca="1">IFERROR(__xludf.DUMMYFUNCTION("""COMPUTED_VALUE"""),"2TB HDD")</f>
        <v>2TB HDD</v>
      </c>
      <c r="J711" s="2" t="str">
        <f ca="1">IFERROR(__xludf.DUMMYFUNCTION("""COMPUTED_VALUE"""),"AMD Radeon 530")</f>
        <v>AMD Radeon 530</v>
      </c>
      <c r="K711" s="2" t="str">
        <f ca="1">IFERROR(__xludf.DUMMYFUNCTION("""COMPUTED_VALUE"""),"Windows 10")</f>
        <v>Windows 10</v>
      </c>
      <c r="L711" s="2" t="str">
        <f ca="1">IFERROR(__xludf.DUMMYFUNCTION("""COMPUTED_VALUE"""),"2.71kg")</f>
        <v>2.71kg</v>
      </c>
      <c r="M711" s="2">
        <f ca="1">IFERROR(__xludf.DUMMYFUNCTION("""COMPUTED_VALUE"""),655.01)</f>
        <v>655.01</v>
      </c>
    </row>
    <row r="712" spans="1:13">
      <c r="A712" s="2">
        <f ca="1">IFERROR(__xludf.DUMMYFUNCTION("""COMPUTED_VALUE"""),718)</f>
        <v>718</v>
      </c>
      <c r="B712" s="2" t="str">
        <f ca="1">IFERROR(__xludf.DUMMYFUNCTION("""COMPUTED_VALUE"""),"Lenovo")</f>
        <v>Lenovo</v>
      </c>
      <c r="C712" s="2" t="str">
        <f ca="1">IFERROR(__xludf.DUMMYFUNCTION("""COMPUTED_VALUE"""),"Legion Y520-15IKBN")</f>
        <v>Legion Y520-15IKBN</v>
      </c>
      <c r="D712" s="2" t="str">
        <f ca="1">IFERROR(__xludf.DUMMYFUNCTION("""COMPUTED_VALUE"""),"Gaming")</f>
        <v>Gaming</v>
      </c>
      <c r="E712" s="2">
        <f ca="1">IFERROR(__xludf.DUMMYFUNCTION("""COMPUTED_VALUE"""),15.6)</f>
        <v>15.6</v>
      </c>
      <c r="F712" s="2" t="str">
        <f ca="1">IFERROR(__xludf.DUMMYFUNCTION("""COMPUTED_VALUE"""),"IPS Panel Full HD 1920x1080")</f>
        <v>IPS Panel Full HD 1920x1080</v>
      </c>
      <c r="G712" s="2" t="str">
        <f ca="1">IFERROR(__xludf.DUMMYFUNCTION("""COMPUTED_VALUE"""),"Intel Core i7 7700HQ 2.8GHz")</f>
        <v>Intel Core i7 7700HQ 2.8GHz</v>
      </c>
      <c r="H712" s="2" t="str">
        <f ca="1">IFERROR(__xludf.DUMMYFUNCTION("""COMPUTED_VALUE"""),"8GB")</f>
        <v>8GB</v>
      </c>
      <c r="I712" s="2" t="str">
        <f ca="1">IFERROR(__xludf.DUMMYFUNCTION("""COMPUTED_VALUE"""),"128GB SSD +  1TB HDD")</f>
        <v>128GB SSD +  1TB HDD</v>
      </c>
      <c r="J712" s="2" t="str">
        <f ca="1">IFERROR(__xludf.DUMMYFUNCTION("""COMPUTED_VALUE"""),"Nvidia GeForce GTX 1050 Ti")</f>
        <v>Nvidia GeForce GTX 1050 Ti</v>
      </c>
      <c r="K712" s="2" t="str">
        <f ca="1">IFERROR(__xludf.DUMMYFUNCTION("""COMPUTED_VALUE"""),"Windows 10")</f>
        <v>Windows 10</v>
      </c>
      <c r="L712" s="2" t="str">
        <f ca="1">IFERROR(__xludf.DUMMYFUNCTION("""COMPUTED_VALUE"""),"2.5kg")</f>
        <v>2.5kg</v>
      </c>
      <c r="M712" s="2">
        <f ca="1">IFERROR(__xludf.DUMMYFUNCTION("""COMPUTED_VALUE"""),1249)</f>
        <v>1249</v>
      </c>
    </row>
    <row r="713" spans="1:13">
      <c r="A713" s="2">
        <f ca="1">IFERROR(__xludf.DUMMYFUNCTION("""COMPUTED_VALUE"""),719)</f>
        <v>719</v>
      </c>
      <c r="B713" s="2" t="str">
        <f ca="1">IFERROR(__xludf.DUMMYFUNCTION("""COMPUTED_VALUE"""),"Dell")</f>
        <v>Dell</v>
      </c>
      <c r="C713" s="2" t="str">
        <f ca="1">IFERROR(__xludf.DUMMYFUNCTION("""COMPUTED_VALUE"""),"Latitude 5480")</f>
        <v>Latitude 5480</v>
      </c>
      <c r="D713" s="2" t="str">
        <f ca="1">IFERROR(__xludf.DUMMYFUNCTION("""COMPUTED_VALUE"""),"Notebook")</f>
        <v>Notebook</v>
      </c>
      <c r="E713" s="2">
        <f ca="1">IFERROR(__xludf.DUMMYFUNCTION("""COMPUTED_VALUE"""),14)</f>
        <v>14</v>
      </c>
      <c r="F713" s="2" t="str">
        <f ca="1">IFERROR(__xludf.DUMMYFUNCTION("""COMPUTED_VALUE"""),"Full HD 1920x1080")</f>
        <v>Full HD 1920x1080</v>
      </c>
      <c r="G713" s="2" t="str">
        <f ca="1">IFERROR(__xludf.DUMMYFUNCTION("""COMPUTED_VALUE"""),"Intel Core i5 7440HQ 2.8GHz")</f>
        <v>Intel Core i5 7440HQ 2.8GHz</v>
      </c>
      <c r="H713" s="2" t="str">
        <f ca="1">IFERROR(__xludf.DUMMYFUNCTION("""COMPUTED_VALUE"""),"8GB")</f>
        <v>8GB</v>
      </c>
      <c r="I713" s="2" t="str">
        <f ca="1">IFERROR(__xludf.DUMMYFUNCTION("""COMPUTED_VALUE"""),"256GB SSD")</f>
        <v>256GB SSD</v>
      </c>
      <c r="J713" s="2" t="str">
        <f ca="1">IFERROR(__xludf.DUMMYFUNCTION("""COMPUTED_VALUE"""),"Nvidia GeForce 930MX")</f>
        <v>Nvidia GeForce 930MX</v>
      </c>
      <c r="K713" s="2" t="str">
        <f ca="1">IFERROR(__xludf.DUMMYFUNCTION("""COMPUTED_VALUE"""),"Linux")</f>
        <v>Linux</v>
      </c>
      <c r="L713" s="2" t="str">
        <f ca="1">IFERROR(__xludf.DUMMYFUNCTION("""COMPUTED_VALUE"""),"1.64kg")</f>
        <v>1.64kg</v>
      </c>
      <c r="M713" s="2">
        <f ca="1">IFERROR(__xludf.DUMMYFUNCTION("""COMPUTED_VALUE"""),1089)</f>
        <v>1089</v>
      </c>
    </row>
    <row r="714" spans="1:13">
      <c r="A714" s="2">
        <f ca="1">IFERROR(__xludf.DUMMYFUNCTION("""COMPUTED_VALUE"""),720)</f>
        <v>720</v>
      </c>
      <c r="B714" s="2" t="str">
        <f ca="1">IFERROR(__xludf.DUMMYFUNCTION("""COMPUTED_VALUE"""),"Dell")</f>
        <v>Dell</v>
      </c>
      <c r="C714" s="2" t="str">
        <f ca="1">IFERROR(__xludf.DUMMYFUNCTION("""COMPUTED_VALUE"""),"Vostro 5568")</f>
        <v>Vostro 5568</v>
      </c>
      <c r="D714" s="2" t="str">
        <f ca="1">IFERROR(__xludf.DUMMYFUNCTION("""COMPUTED_VALUE"""),"Notebook")</f>
        <v>Notebook</v>
      </c>
      <c r="E714" s="2">
        <f ca="1">IFERROR(__xludf.DUMMYFUNCTION("""COMPUTED_VALUE"""),15.6)</f>
        <v>15.6</v>
      </c>
      <c r="F714" s="2" t="str">
        <f ca="1">IFERROR(__xludf.DUMMYFUNCTION("""COMPUTED_VALUE"""),"Full HD 1920x1080")</f>
        <v>Full HD 1920x1080</v>
      </c>
      <c r="G714" s="2" t="str">
        <f ca="1">IFERROR(__xludf.DUMMYFUNCTION("""COMPUTED_VALUE"""),"Intel Core i5 7200U 2.5GHz")</f>
        <v>Intel Core i5 7200U 2.5GHz</v>
      </c>
      <c r="H714" s="2" t="str">
        <f ca="1">IFERROR(__xludf.DUMMYFUNCTION("""COMPUTED_VALUE"""),"8GB")</f>
        <v>8GB</v>
      </c>
      <c r="I714" s="2" t="str">
        <f ca="1">IFERROR(__xludf.DUMMYFUNCTION("""COMPUTED_VALUE"""),"1TB HDD")</f>
        <v>1TB HDD</v>
      </c>
      <c r="J714" s="2" t="str">
        <f ca="1">IFERROR(__xludf.DUMMYFUNCTION("""COMPUTED_VALUE"""),"Intel HD Graphics 620")</f>
        <v>Intel HD Graphics 620</v>
      </c>
      <c r="K714" s="2" t="str">
        <f ca="1">IFERROR(__xludf.DUMMYFUNCTION("""COMPUTED_VALUE"""),"Linux")</f>
        <v>Linux</v>
      </c>
      <c r="L714" s="2" t="str">
        <f ca="1">IFERROR(__xludf.DUMMYFUNCTION("""COMPUTED_VALUE"""),"1.98kg")</f>
        <v>1.98kg</v>
      </c>
      <c r="M714" s="2">
        <f ca="1">IFERROR(__xludf.DUMMYFUNCTION("""COMPUTED_VALUE"""),726)</f>
        <v>726</v>
      </c>
    </row>
    <row r="715" spans="1:13">
      <c r="A715" s="2">
        <f ca="1">IFERROR(__xludf.DUMMYFUNCTION("""COMPUTED_VALUE"""),721)</f>
        <v>721</v>
      </c>
      <c r="B715" s="2" t="str">
        <f ca="1">IFERROR(__xludf.DUMMYFUNCTION("""COMPUTED_VALUE"""),"Asus")</f>
        <v>Asus</v>
      </c>
      <c r="C715" s="2" t="str">
        <f ca="1">IFERROR(__xludf.DUMMYFUNCTION("""COMPUTED_VALUE"""),"VivoBook E403NA")</f>
        <v>VivoBook E403NA</v>
      </c>
      <c r="D715" s="2" t="str">
        <f ca="1">IFERROR(__xludf.DUMMYFUNCTION("""COMPUTED_VALUE"""),"Notebook")</f>
        <v>Notebook</v>
      </c>
      <c r="E715" s="2">
        <f ca="1">IFERROR(__xludf.DUMMYFUNCTION("""COMPUTED_VALUE"""),14)</f>
        <v>14</v>
      </c>
      <c r="F715" s="2" t="str">
        <f ca="1">IFERROR(__xludf.DUMMYFUNCTION("""COMPUTED_VALUE"""),"Full HD 1920x1080")</f>
        <v>Full HD 1920x1080</v>
      </c>
      <c r="G715" s="2" t="str">
        <f ca="1">IFERROR(__xludf.DUMMYFUNCTION("""COMPUTED_VALUE"""),"Intel Celeron Dual Core N3350 1.1GHz")</f>
        <v>Intel Celeron Dual Core N3350 1.1GHz</v>
      </c>
      <c r="H715" s="2" t="str">
        <f ca="1">IFERROR(__xludf.DUMMYFUNCTION("""COMPUTED_VALUE"""),"4GB")</f>
        <v>4GB</v>
      </c>
      <c r="I715" s="2" t="str">
        <f ca="1">IFERROR(__xludf.DUMMYFUNCTION("""COMPUTED_VALUE"""),"32GB Flash Storage")</f>
        <v>32GB Flash Storage</v>
      </c>
      <c r="J715" s="2" t="str">
        <f ca="1">IFERROR(__xludf.DUMMYFUNCTION("""COMPUTED_VALUE"""),"Intel HD Graphics 500")</f>
        <v>Intel HD Graphics 500</v>
      </c>
      <c r="K715" s="2" t="str">
        <f ca="1">IFERROR(__xludf.DUMMYFUNCTION("""COMPUTED_VALUE"""),"Windows 10")</f>
        <v>Windows 10</v>
      </c>
      <c r="L715" s="2" t="str">
        <f ca="1">IFERROR(__xludf.DUMMYFUNCTION("""COMPUTED_VALUE"""),"1.5kg")</f>
        <v>1.5kg</v>
      </c>
      <c r="M715" s="2">
        <f ca="1">IFERROR(__xludf.DUMMYFUNCTION("""COMPUTED_VALUE"""),298)</f>
        <v>298</v>
      </c>
    </row>
    <row r="716" spans="1:13">
      <c r="A716" s="2">
        <f ca="1">IFERROR(__xludf.DUMMYFUNCTION("""COMPUTED_VALUE"""),722)</f>
        <v>722</v>
      </c>
      <c r="B716" s="2" t="str">
        <f ca="1">IFERROR(__xludf.DUMMYFUNCTION("""COMPUTED_VALUE"""),"Dell")</f>
        <v>Dell</v>
      </c>
      <c r="C716" s="2" t="str">
        <f ca="1">IFERROR(__xludf.DUMMYFUNCTION("""COMPUTED_VALUE"""),"Latitude 5580")</f>
        <v>Latitude 5580</v>
      </c>
      <c r="D716" s="2" t="str">
        <f ca="1">IFERROR(__xludf.DUMMYFUNCTION("""COMPUTED_VALUE"""),"Notebook")</f>
        <v>Notebook</v>
      </c>
      <c r="E716" s="2">
        <f ca="1">IFERROR(__xludf.DUMMYFUNCTION("""COMPUTED_VALUE"""),15.6)</f>
        <v>15.6</v>
      </c>
      <c r="F716" s="2" t="str">
        <f ca="1">IFERROR(__xludf.DUMMYFUNCTION("""COMPUTED_VALUE"""),"Full HD 1920x1080")</f>
        <v>Full HD 1920x1080</v>
      </c>
      <c r="G716" s="2" t="str">
        <f ca="1">IFERROR(__xludf.DUMMYFUNCTION("""COMPUTED_VALUE"""),"Intel Core i5 7300U 2.6GHz")</f>
        <v>Intel Core i5 7300U 2.6GHz</v>
      </c>
      <c r="H716" s="2" t="str">
        <f ca="1">IFERROR(__xludf.DUMMYFUNCTION("""COMPUTED_VALUE"""),"16GB")</f>
        <v>16GB</v>
      </c>
      <c r="I716" s="2" t="str">
        <f ca="1">IFERROR(__xludf.DUMMYFUNCTION("""COMPUTED_VALUE"""),"512GB SSD")</f>
        <v>512GB SSD</v>
      </c>
      <c r="J716" s="2" t="str">
        <f ca="1">IFERROR(__xludf.DUMMYFUNCTION("""COMPUTED_VALUE"""),"Intel HD Graphics 620")</f>
        <v>Intel HD Graphics 620</v>
      </c>
      <c r="K716" s="2" t="str">
        <f ca="1">IFERROR(__xludf.DUMMYFUNCTION("""COMPUTED_VALUE"""),"Windows 10")</f>
        <v>Windows 10</v>
      </c>
      <c r="L716" s="2" t="str">
        <f ca="1">IFERROR(__xludf.DUMMYFUNCTION("""COMPUTED_VALUE"""),"1.93kg")</f>
        <v>1.93kg</v>
      </c>
      <c r="M716" s="2">
        <f ca="1">IFERROR(__xludf.DUMMYFUNCTION("""COMPUTED_VALUE"""),1426.66)</f>
        <v>1426.66</v>
      </c>
    </row>
    <row r="717" spans="1:13">
      <c r="A717" s="2">
        <f ca="1">IFERROR(__xludf.DUMMYFUNCTION("""COMPUTED_VALUE"""),723)</f>
        <v>723</v>
      </c>
      <c r="B717" s="2" t="str">
        <f ca="1">IFERROR(__xludf.DUMMYFUNCTION("""COMPUTED_VALUE"""),"Lenovo")</f>
        <v>Lenovo</v>
      </c>
      <c r="C717" s="2" t="str">
        <f ca="1">IFERROR(__xludf.DUMMYFUNCTION("""COMPUTED_VALUE"""),"Thinkpad E470")</f>
        <v>Thinkpad E470</v>
      </c>
      <c r="D717" s="2" t="str">
        <f ca="1">IFERROR(__xludf.DUMMYFUNCTION("""COMPUTED_VALUE"""),"Notebook")</f>
        <v>Notebook</v>
      </c>
      <c r="E717" s="2">
        <f ca="1">IFERROR(__xludf.DUMMYFUNCTION("""COMPUTED_VALUE"""),14)</f>
        <v>14</v>
      </c>
      <c r="F717" s="2" t="str">
        <f ca="1">IFERROR(__xludf.DUMMYFUNCTION("""COMPUTED_VALUE"""),"IPS Panel Full HD 1920x1080")</f>
        <v>IPS Panel Full HD 1920x1080</v>
      </c>
      <c r="G717" s="2" t="str">
        <f ca="1">IFERROR(__xludf.DUMMYFUNCTION("""COMPUTED_VALUE"""),"Intel Core i5 7200U 2.5GHz")</f>
        <v>Intel Core i5 7200U 2.5GHz</v>
      </c>
      <c r="H717" s="2" t="str">
        <f ca="1">IFERROR(__xludf.DUMMYFUNCTION("""COMPUTED_VALUE"""),"8GB")</f>
        <v>8GB</v>
      </c>
      <c r="I717" s="2" t="str">
        <f ca="1">IFERROR(__xludf.DUMMYFUNCTION("""COMPUTED_VALUE"""),"256GB SSD")</f>
        <v>256GB SSD</v>
      </c>
      <c r="J717" s="2" t="str">
        <f ca="1">IFERROR(__xludf.DUMMYFUNCTION("""COMPUTED_VALUE"""),"Nvidia GeForce 920MX")</f>
        <v>Nvidia GeForce 920MX</v>
      </c>
      <c r="K717" s="2" t="str">
        <f ca="1">IFERROR(__xludf.DUMMYFUNCTION("""COMPUTED_VALUE"""),"Windows 10")</f>
        <v>Windows 10</v>
      </c>
      <c r="L717" s="2" t="str">
        <f ca="1">IFERROR(__xludf.DUMMYFUNCTION("""COMPUTED_VALUE"""),"1.87kg")</f>
        <v>1.87kg</v>
      </c>
      <c r="M717" s="2">
        <f ca="1">IFERROR(__xludf.DUMMYFUNCTION("""COMPUTED_VALUE"""),857.07)</f>
        <v>857.07</v>
      </c>
    </row>
    <row r="718" spans="1:13">
      <c r="A718" s="2">
        <f ca="1">IFERROR(__xludf.DUMMYFUNCTION("""COMPUTED_VALUE"""),724)</f>
        <v>724</v>
      </c>
      <c r="B718" s="2" t="str">
        <f ca="1">IFERROR(__xludf.DUMMYFUNCTION("""COMPUTED_VALUE"""),"Dell")</f>
        <v>Dell</v>
      </c>
      <c r="C718" s="2" t="str">
        <f ca="1">IFERROR(__xludf.DUMMYFUNCTION("""COMPUTED_VALUE"""),"Latitude 5580")</f>
        <v>Latitude 5580</v>
      </c>
      <c r="D718" s="2" t="str">
        <f ca="1">IFERROR(__xludf.DUMMYFUNCTION("""COMPUTED_VALUE"""),"Notebook")</f>
        <v>Notebook</v>
      </c>
      <c r="E718" s="2">
        <f ca="1">IFERROR(__xludf.DUMMYFUNCTION("""COMPUTED_VALUE"""),15.6)</f>
        <v>15.6</v>
      </c>
      <c r="F718" s="2" t="str">
        <f ca="1">IFERROR(__xludf.DUMMYFUNCTION("""COMPUTED_VALUE"""),"Full HD 1920x1080")</f>
        <v>Full HD 1920x1080</v>
      </c>
      <c r="G718" s="2" t="str">
        <f ca="1">IFERROR(__xludf.DUMMYFUNCTION("""COMPUTED_VALUE"""),"Intel Core i5 7300U 2.6GHz")</f>
        <v>Intel Core i5 7300U 2.6GHz</v>
      </c>
      <c r="H718" s="2" t="str">
        <f ca="1">IFERROR(__xludf.DUMMYFUNCTION("""COMPUTED_VALUE"""),"8GB")</f>
        <v>8GB</v>
      </c>
      <c r="I718" s="2" t="str">
        <f ca="1">IFERROR(__xludf.DUMMYFUNCTION("""COMPUTED_VALUE"""),"256GB SSD")</f>
        <v>256GB SSD</v>
      </c>
      <c r="J718" s="2" t="str">
        <f ca="1">IFERROR(__xludf.DUMMYFUNCTION("""COMPUTED_VALUE"""),"Intel HD Graphics 620")</f>
        <v>Intel HD Graphics 620</v>
      </c>
      <c r="K718" s="2" t="str">
        <f ca="1">IFERROR(__xludf.DUMMYFUNCTION("""COMPUTED_VALUE"""),"Windows 10")</f>
        <v>Windows 10</v>
      </c>
      <c r="L718" s="2" t="str">
        <f ca="1">IFERROR(__xludf.DUMMYFUNCTION("""COMPUTED_VALUE"""),"1.9kg")</f>
        <v>1.9kg</v>
      </c>
      <c r="M718" s="2">
        <f ca="1">IFERROR(__xludf.DUMMYFUNCTION("""COMPUTED_VALUE"""),1179)</f>
        <v>1179</v>
      </c>
    </row>
    <row r="719" spans="1:13">
      <c r="A719" s="2">
        <f ca="1">IFERROR(__xludf.DUMMYFUNCTION("""COMPUTED_VALUE"""),725)</f>
        <v>725</v>
      </c>
      <c r="B719" s="2" t="str">
        <f ca="1">IFERROR(__xludf.DUMMYFUNCTION("""COMPUTED_VALUE"""),"Lenovo")</f>
        <v>Lenovo</v>
      </c>
      <c r="C719" s="2" t="str">
        <f ca="1">IFERROR(__xludf.DUMMYFUNCTION("""COMPUTED_VALUE"""),"110-15ACL (A6-7310/4GB/500GB/W10)")</f>
        <v>110-15ACL (A6-7310/4GB/500GB/W10)</v>
      </c>
      <c r="D719" s="2" t="str">
        <f ca="1">IFERROR(__xludf.DUMMYFUNCTION("""COMPUTED_VALUE"""),"Notebook")</f>
        <v>Notebook</v>
      </c>
      <c r="E719" s="2">
        <f ca="1">IFERROR(__xludf.DUMMYFUNCTION("""COMPUTED_VALUE"""),15.6)</f>
        <v>15.6</v>
      </c>
      <c r="F719" s="2" t="str">
        <f ca="1">IFERROR(__xludf.DUMMYFUNCTION("""COMPUTED_VALUE"""),"1366x768")</f>
        <v>1366x768</v>
      </c>
      <c r="G719" s="2" t="str">
        <f ca="1">IFERROR(__xludf.DUMMYFUNCTION("""COMPUTED_VALUE"""),"AMD A6-Series 7310 2GHz")</f>
        <v>AMD A6-Series 7310 2GHz</v>
      </c>
      <c r="H719" s="2" t="str">
        <f ca="1">IFERROR(__xludf.DUMMYFUNCTION("""COMPUTED_VALUE"""),"4GB")</f>
        <v>4GB</v>
      </c>
      <c r="I719" s="2" t="str">
        <f ca="1">IFERROR(__xludf.DUMMYFUNCTION("""COMPUTED_VALUE"""),"500GB HDD")</f>
        <v>500GB HDD</v>
      </c>
      <c r="J719" s="2" t="str">
        <f ca="1">IFERROR(__xludf.DUMMYFUNCTION("""COMPUTED_VALUE"""),"AMD Radeon R4")</f>
        <v>AMD Radeon R4</v>
      </c>
      <c r="K719" s="2" t="str">
        <f ca="1">IFERROR(__xludf.DUMMYFUNCTION("""COMPUTED_VALUE"""),"Windows 10")</f>
        <v>Windows 10</v>
      </c>
      <c r="L719" s="2" t="str">
        <f ca="1">IFERROR(__xludf.DUMMYFUNCTION("""COMPUTED_VALUE"""),"2.19kg")</f>
        <v>2.19kg</v>
      </c>
      <c r="M719" s="2">
        <f ca="1">IFERROR(__xludf.DUMMYFUNCTION("""COMPUTED_VALUE"""),298)</f>
        <v>298</v>
      </c>
    </row>
    <row r="720" spans="1:13">
      <c r="A720" s="2">
        <f ca="1">IFERROR(__xludf.DUMMYFUNCTION("""COMPUTED_VALUE"""),726)</f>
        <v>726</v>
      </c>
      <c r="B720" s="2" t="str">
        <f ca="1">IFERROR(__xludf.DUMMYFUNCTION("""COMPUTED_VALUE"""),"Mediacom")</f>
        <v>Mediacom</v>
      </c>
      <c r="C720" s="2" t="str">
        <f ca="1">IFERROR(__xludf.DUMMYFUNCTION("""COMPUTED_VALUE"""),"Smartbook 142")</f>
        <v>Smartbook 142</v>
      </c>
      <c r="D720" s="2" t="str">
        <f ca="1">IFERROR(__xludf.DUMMYFUNCTION("""COMPUTED_VALUE"""),"Notebook")</f>
        <v>Notebook</v>
      </c>
      <c r="E720" s="2">
        <f ca="1">IFERROR(__xludf.DUMMYFUNCTION("""COMPUTED_VALUE"""),14)</f>
        <v>14</v>
      </c>
      <c r="F720" s="2" t="str">
        <f ca="1">IFERROR(__xludf.DUMMYFUNCTION("""COMPUTED_VALUE"""),"IPS Panel Full HD 1920x1200")</f>
        <v>IPS Panel Full HD 1920x1200</v>
      </c>
      <c r="G720" s="2" t="str">
        <f ca="1">IFERROR(__xludf.DUMMYFUNCTION("""COMPUTED_VALUE"""),"Intel Atom Z8350 1.92GHz")</f>
        <v>Intel Atom Z8350 1.92GHz</v>
      </c>
      <c r="H720" s="2" t="str">
        <f ca="1">IFERROR(__xludf.DUMMYFUNCTION("""COMPUTED_VALUE"""),"4GB")</f>
        <v>4GB</v>
      </c>
      <c r="I720" s="2" t="str">
        <f ca="1">IFERROR(__xludf.DUMMYFUNCTION("""COMPUTED_VALUE"""),"32GB HDD")</f>
        <v>32GB HDD</v>
      </c>
      <c r="J720" s="2" t="str">
        <f ca="1">IFERROR(__xludf.DUMMYFUNCTION("""COMPUTED_VALUE"""),"Intel HD Graphics 400")</f>
        <v>Intel HD Graphics 400</v>
      </c>
      <c r="K720" s="2" t="str">
        <f ca="1">IFERROR(__xludf.DUMMYFUNCTION("""COMPUTED_VALUE"""),"Windows 10")</f>
        <v>Windows 10</v>
      </c>
      <c r="L720" s="2" t="str">
        <f ca="1">IFERROR(__xludf.DUMMYFUNCTION("""COMPUTED_VALUE"""),"1.4kg")</f>
        <v>1.4kg</v>
      </c>
      <c r="M720" s="2">
        <f ca="1">IFERROR(__xludf.DUMMYFUNCTION("""COMPUTED_VALUE"""),265)</f>
        <v>265</v>
      </c>
    </row>
    <row r="721" spans="1:13">
      <c r="A721" s="2">
        <f ca="1">IFERROR(__xludf.DUMMYFUNCTION("""COMPUTED_VALUE"""),727)</f>
        <v>727</v>
      </c>
      <c r="B721" s="2" t="str">
        <f ca="1">IFERROR(__xludf.DUMMYFUNCTION("""COMPUTED_VALUE"""),"HP")</f>
        <v>HP</v>
      </c>
      <c r="C721" s="2" t="str">
        <f ca="1">IFERROR(__xludf.DUMMYFUNCTION("""COMPUTED_VALUE"""),"ProBook 470")</f>
        <v>ProBook 470</v>
      </c>
      <c r="D721" s="2" t="str">
        <f ca="1">IFERROR(__xludf.DUMMYFUNCTION("""COMPUTED_VALUE"""),"Notebook")</f>
        <v>Notebook</v>
      </c>
      <c r="E721" s="2">
        <f ca="1">IFERROR(__xludf.DUMMYFUNCTION("""COMPUTED_VALUE"""),17.3)</f>
        <v>17.3</v>
      </c>
      <c r="F721" s="2" t="str">
        <f ca="1">IFERROR(__xludf.DUMMYFUNCTION("""COMPUTED_VALUE"""),"Full HD 1920x1080")</f>
        <v>Full HD 1920x1080</v>
      </c>
      <c r="G721" s="2" t="str">
        <f ca="1">IFERROR(__xludf.DUMMYFUNCTION("""COMPUTED_VALUE"""),"Intel Core i7 7500U 2.7GHz")</f>
        <v>Intel Core i7 7500U 2.7GHz</v>
      </c>
      <c r="H721" s="2" t="str">
        <f ca="1">IFERROR(__xludf.DUMMYFUNCTION("""COMPUTED_VALUE"""),"8GB")</f>
        <v>8GB</v>
      </c>
      <c r="I721" s="2" t="str">
        <f ca="1">IFERROR(__xludf.DUMMYFUNCTION("""COMPUTED_VALUE"""),"256GB SSD")</f>
        <v>256GB SSD</v>
      </c>
      <c r="J721" s="2" t="str">
        <f ca="1">IFERROR(__xludf.DUMMYFUNCTION("""COMPUTED_VALUE"""),"Nvidia GeForce 930MX")</f>
        <v>Nvidia GeForce 930MX</v>
      </c>
      <c r="K721" s="2" t="str">
        <f ca="1">IFERROR(__xludf.DUMMYFUNCTION("""COMPUTED_VALUE"""),"Windows 10")</f>
        <v>Windows 10</v>
      </c>
      <c r="L721" s="2" t="str">
        <f ca="1">IFERROR(__xludf.DUMMYFUNCTION("""COMPUTED_VALUE"""),"2.63kg")</f>
        <v>2.63kg</v>
      </c>
      <c r="M721" s="2">
        <f ca="1">IFERROR(__xludf.DUMMYFUNCTION("""COMPUTED_VALUE"""),1200)</f>
        <v>1200</v>
      </c>
    </row>
    <row r="722" spans="1:13">
      <c r="A722" s="2">
        <f ca="1">IFERROR(__xludf.DUMMYFUNCTION("""COMPUTED_VALUE"""),728)</f>
        <v>728</v>
      </c>
      <c r="B722" s="2" t="str">
        <f ca="1">IFERROR(__xludf.DUMMYFUNCTION("""COMPUTED_VALUE"""),"Lenovo")</f>
        <v>Lenovo</v>
      </c>
      <c r="C722" s="2" t="str">
        <f ca="1">IFERROR(__xludf.DUMMYFUNCTION("""COMPUTED_VALUE"""),"ThinkPad X1")</f>
        <v>ThinkPad X1</v>
      </c>
      <c r="D722" s="2" t="str">
        <f ca="1">IFERROR(__xludf.DUMMYFUNCTION("""COMPUTED_VALUE"""),"Ultrabook")</f>
        <v>Ultrabook</v>
      </c>
      <c r="E722" s="2">
        <f ca="1">IFERROR(__xludf.DUMMYFUNCTION("""COMPUTED_VALUE"""),14)</f>
        <v>14</v>
      </c>
      <c r="F722" s="2" t="str">
        <f ca="1">IFERROR(__xludf.DUMMYFUNCTION("""COMPUTED_VALUE"""),"IPS Panel Quad HD+ 2560x1440")</f>
        <v>IPS Panel Quad HD+ 2560x1440</v>
      </c>
      <c r="G722" s="2" t="str">
        <f ca="1">IFERROR(__xludf.DUMMYFUNCTION("""COMPUTED_VALUE"""),"Intel Core i7 6500U 2.5GHz")</f>
        <v>Intel Core i7 6500U 2.5GHz</v>
      </c>
      <c r="H722" s="2" t="str">
        <f ca="1">IFERROR(__xludf.DUMMYFUNCTION("""COMPUTED_VALUE"""),"8GB")</f>
        <v>8GB</v>
      </c>
      <c r="I722" s="2" t="str">
        <f ca="1">IFERROR(__xludf.DUMMYFUNCTION("""COMPUTED_VALUE"""),"512GB SSD")</f>
        <v>512GB SSD</v>
      </c>
      <c r="J722" s="2" t="str">
        <f ca="1">IFERROR(__xludf.DUMMYFUNCTION("""COMPUTED_VALUE"""),"Intel HD Graphics 520")</f>
        <v>Intel HD Graphics 520</v>
      </c>
      <c r="K722" s="2" t="str">
        <f ca="1">IFERROR(__xludf.DUMMYFUNCTION("""COMPUTED_VALUE"""),"Windows 10")</f>
        <v>Windows 10</v>
      </c>
      <c r="L722" s="2" t="str">
        <f ca="1">IFERROR(__xludf.DUMMYFUNCTION("""COMPUTED_VALUE"""),"1.17kg")</f>
        <v>1.17kg</v>
      </c>
      <c r="M722" s="2">
        <f ca="1">IFERROR(__xludf.DUMMYFUNCTION("""COMPUTED_VALUE"""),1686.64)</f>
        <v>1686.64</v>
      </c>
    </row>
    <row r="723" spans="1:13">
      <c r="A723" s="2">
        <f ca="1">IFERROR(__xludf.DUMMYFUNCTION("""COMPUTED_VALUE"""),729)</f>
        <v>729</v>
      </c>
      <c r="B723" s="2" t="str">
        <f ca="1">IFERROR(__xludf.DUMMYFUNCTION("""COMPUTED_VALUE"""),"HP")</f>
        <v>HP</v>
      </c>
      <c r="C723" s="2" t="str">
        <f ca="1">IFERROR(__xludf.DUMMYFUNCTION("""COMPUTED_VALUE"""),"Pavilion X360")</f>
        <v>Pavilion X360</v>
      </c>
      <c r="D723" s="2" t="str">
        <f ca="1">IFERROR(__xludf.DUMMYFUNCTION("""COMPUTED_VALUE"""),"2 in 1 Convertible")</f>
        <v>2 in 1 Convertible</v>
      </c>
      <c r="E723" s="2">
        <f ca="1">IFERROR(__xludf.DUMMYFUNCTION("""COMPUTED_VALUE"""),13.3)</f>
        <v>13.3</v>
      </c>
      <c r="F723" s="2" t="str">
        <f ca="1">IFERROR(__xludf.DUMMYFUNCTION("""COMPUTED_VALUE"""),"IPS Panel Touchscreen 1366x768")</f>
        <v>IPS Panel Touchscreen 1366x768</v>
      </c>
      <c r="G723" s="2" t="str">
        <f ca="1">IFERROR(__xludf.DUMMYFUNCTION("""COMPUTED_VALUE"""),"Intel Core i5 7200U 2.5GHz")</f>
        <v>Intel Core i5 7200U 2.5GHz</v>
      </c>
      <c r="H723" s="2" t="str">
        <f ca="1">IFERROR(__xludf.DUMMYFUNCTION("""COMPUTED_VALUE"""),"8GB")</f>
        <v>8GB</v>
      </c>
      <c r="I723" s="2" t="str">
        <f ca="1">IFERROR(__xludf.DUMMYFUNCTION("""COMPUTED_VALUE"""),"256GB SSD")</f>
        <v>256GB SSD</v>
      </c>
      <c r="J723" s="2" t="str">
        <f ca="1">IFERROR(__xludf.DUMMYFUNCTION("""COMPUTED_VALUE"""),"Intel HD Graphics 620")</f>
        <v>Intel HD Graphics 620</v>
      </c>
      <c r="K723" s="2" t="str">
        <f ca="1">IFERROR(__xludf.DUMMYFUNCTION("""COMPUTED_VALUE"""),"Windows 10")</f>
        <v>Windows 10</v>
      </c>
      <c r="L723" s="2" t="str">
        <f ca="1">IFERROR(__xludf.DUMMYFUNCTION("""COMPUTED_VALUE"""),"1.58kg")</f>
        <v>1.58kg</v>
      </c>
      <c r="M723" s="2">
        <f ca="1">IFERROR(__xludf.DUMMYFUNCTION("""COMPUTED_VALUE"""),836.6)</f>
        <v>836.6</v>
      </c>
    </row>
    <row r="724" spans="1:13">
      <c r="A724" s="2">
        <f ca="1">IFERROR(__xludf.DUMMYFUNCTION("""COMPUTED_VALUE"""),730)</f>
        <v>730</v>
      </c>
      <c r="B724" s="2" t="str">
        <f ca="1">IFERROR(__xludf.DUMMYFUNCTION("""COMPUTED_VALUE"""),"Lenovo")</f>
        <v>Lenovo</v>
      </c>
      <c r="C724" s="2" t="str">
        <f ca="1">IFERROR(__xludf.DUMMYFUNCTION("""COMPUTED_VALUE"""),"ThinkPad T470s")</f>
        <v>ThinkPad T470s</v>
      </c>
      <c r="D724" s="2" t="str">
        <f ca="1">IFERROR(__xludf.DUMMYFUNCTION("""COMPUTED_VALUE"""),"Ultrabook")</f>
        <v>Ultrabook</v>
      </c>
      <c r="E724" s="2">
        <f ca="1">IFERROR(__xludf.DUMMYFUNCTION("""COMPUTED_VALUE"""),14)</f>
        <v>14</v>
      </c>
      <c r="F724" s="2" t="str">
        <f ca="1">IFERROR(__xludf.DUMMYFUNCTION("""COMPUTED_VALUE"""),"IPS Panel Full HD 1920x1080")</f>
        <v>IPS Panel Full HD 1920x1080</v>
      </c>
      <c r="G724" s="2" t="str">
        <f ca="1">IFERROR(__xludf.DUMMYFUNCTION("""COMPUTED_VALUE"""),"Intel Core i5 7200U 2.5GHz")</f>
        <v>Intel Core i5 7200U 2.5GHz</v>
      </c>
      <c r="H724" s="2" t="str">
        <f ca="1">IFERROR(__xludf.DUMMYFUNCTION("""COMPUTED_VALUE"""),"8GB")</f>
        <v>8GB</v>
      </c>
      <c r="I724" s="2" t="str">
        <f ca="1">IFERROR(__xludf.DUMMYFUNCTION("""COMPUTED_VALUE"""),"256GB SSD")</f>
        <v>256GB SSD</v>
      </c>
      <c r="J724" s="2" t="str">
        <f ca="1">IFERROR(__xludf.DUMMYFUNCTION("""COMPUTED_VALUE"""),"Intel HD Graphics 620")</f>
        <v>Intel HD Graphics 620</v>
      </c>
      <c r="K724" s="2" t="str">
        <f ca="1">IFERROR(__xludf.DUMMYFUNCTION("""COMPUTED_VALUE"""),"Windows 10")</f>
        <v>Windows 10</v>
      </c>
      <c r="L724" s="2" t="str">
        <f ca="1">IFERROR(__xludf.DUMMYFUNCTION("""COMPUTED_VALUE"""),"1.32kg")</f>
        <v>1.32kg</v>
      </c>
      <c r="M724" s="2">
        <f ca="1">IFERROR(__xludf.DUMMYFUNCTION("""COMPUTED_VALUE"""),1499)</f>
        <v>1499</v>
      </c>
    </row>
    <row r="725" spans="1:13">
      <c r="A725" s="2">
        <f ca="1">IFERROR(__xludf.DUMMYFUNCTION("""COMPUTED_VALUE"""),731)</f>
        <v>731</v>
      </c>
      <c r="B725" s="2" t="str">
        <f ca="1">IFERROR(__xludf.DUMMYFUNCTION("""COMPUTED_VALUE"""),"Dell")</f>
        <v>Dell</v>
      </c>
      <c r="C725" s="2" t="str">
        <f ca="1">IFERROR(__xludf.DUMMYFUNCTION("""COMPUTED_VALUE"""),"Alienware 17")</f>
        <v>Alienware 17</v>
      </c>
      <c r="D725" s="2" t="str">
        <f ca="1">IFERROR(__xludf.DUMMYFUNCTION("""COMPUTED_VALUE"""),"Gaming")</f>
        <v>Gaming</v>
      </c>
      <c r="E725" s="2">
        <f ca="1">IFERROR(__xludf.DUMMYFUNCTION("""COMPUTED_VALUE"""),17.3)</f>
        <v>17.3</v>
      </c>
      <c r="F725" s="2" t="str">
        <f ca="1">IFERROR(__xludf.DUMMYFUNCTION("""COMPUTED_VALUE"""),"4K Ultra HD 3840x2160")</f>
        <v>4K Ultra HD 3840x2160</v>
      </c>
      <c r="G725" s="2" t="str">
        <f ca="1">IFERROR(__xludf.DUMMYFUNCTION("""COMPUTED_VALUE"""),"Intel Core i7 7700HQ 2.8GHz")</f>
        <v>Intel Core i7 7700HQ 2.8GHz</v>
      </c>
      <c r="H725" s="2" t="str">
        <f ca="1">IFERROR(__xludf.DUMMYFUNCTION("""COMPUTED_VALUE"""),"32GB")</f>
        <v>32GB</v>
      </c>
      <c r="I725" s="2" t="str">
        <f ca="1">IFERROR(__xludf.DUMMYFUNCTION("""COMPUTED_VALUE"""),"1TB SSD +  1TB HDD")</f>
        <v>1TB SSD +  1TB HDD</v>
      </c>
      <c r="J725" s="2" t="str">
        <f ca="1">IFERROR(__xludf.DUMMYFUNCTION("""COMPUTED_VALUE"""),"Nvidia GeForce GTX 1070")</f>
        <v>Nvidia GeForce GTX 1070</v>
      </c>
      <c r="K725" s="2" t="str">
        <f ca="1">IFERROR(__xludf.DUMMYFUNCTION("""COMPUTED_VALUE"""),"Windows 10")</f>
        <v>Windows 10</v>
      </c>
      <c r="L725" s="2" t="str">
        <f ca="1">IFERROR(__xludf.DUMMYFUNCTION("""COMPUTED_VALUE"""),"4.36kg")</f>
        <v>4.36kg</v>
      </c>
      <c r="M725" s="2">
        <f ca="1">IFERROR(__xludf.DUMMYFUNCTION("""COMPUTED_VALUE"""),3659.4)</f>
        <v>3659.4</v>
      </c>
    </row>
    <row r="726" spans="1:13">
      <c r="A726" s="2">
        <f ca="1">IFERROR(__xludf.DUMMYFUNCTION("""COMPUTED_VALUE"""),732)</f>
        <v>732</v>
      </c>
      <c r="B726" s="2" t="str">
        <f ca="1">IFERROR(__xludf.DUMMYFUNCTION("""COMPUTED_VALUE"""),"MSI")</f>
        <v>MSI</v>
      </c>
      <c r="C726" s="2" t="str">
        <f ca="1">IFERROR(__xludf.DUMMYFUNCTION("""COMPUTED_VALUE"""),"GL72M 7REX")</f>
        <v>GL72M 7REX</v>
      </c>
      <c r="D726" s="2" t="str">
        <f ca="1">IFERROR(__xludf.DUMMYFUNCTION("""COMPUTED_VALUE"""),"Gaming")</f>
        <v>Gaming</v>
      </c>
      <c r="E726" s="2">
        <f ca="1">IFERROR(__xludf.DUMMYFUNCTION("""COMPUTED_VALUE"""),17.3)</f>
        <v>17.3</v>
      </c>
      <c r="F726" s="2" t="str">
        <f ca="1">IFERROR(__xludf.DUMMYFUNCTION("""COMPUTED_VALUE"""),"Full HD 1920x1080")</f>
        <v>Full HD 1920x1080</v>
      </c>
      <c r="G726" s="2" t="str">
        <f ca="1">IFERROR(__xludf.DUMMYFUNCTION("""COMPUTED_VALUE"""),"Intel Core i7 7700HQ 2.8GHz")</f>
        <v>Intel Core i7 7700HQ 2.8GHz</v>
      </c>
      <c r="H726" s="2" t="str">
        <f ca="1">IFERROR(__xludf.DUMMYFUNCTION("""COMPUTED_VALUE"""),"8GB")</f>
        <v>8GB</v>
      </c>
      <c r="I726" s="2" t="str">
        <f ca="1">IFERROR(__xludf.DUMMYFUNCTION("""COMPUTED_VALUE"""),"128GB SSD +  1TB HDD")</f>
        <v>128GB SSD +  1TB HDD</v>
      </c>
      <c r="J726" s="2" t="str">
        <f ca="1">IFERROR(__xludf.DUMMYFUNCTION("""COMPUTED_VALUE"""),"Nvidia GeForce GTX 1050 Ti")</f>
        <v>Nvidia GeForce GTX 1050 Ti</v>
      </c>
      <c r="K726" s="2" t="str">
        <f ca="1">IFERROR(__xludf.DUMMYFUNCTION("""COMPUTED_VALUE"""),"Windows 10")</f>
        <v>Windows 10</v>
      </c>
      <c r="L726" s="2" t="str">
        <f ca="1">IFERROR(__xludf.DUMMYFUNCTION("""COMPUTED_VALUE"""),"2.7kg")</f>
        <v>2.7kg</v>
      </c>
      <c r="M726" s="2">
        <f ca="1">IFERROR(__xludf.DUMMYFUNCTION("""COMPUTED_VALUE"""),1348.48)</f>
        <v>1348.48</v>
      </c>
    </row>
    <row r="727" spans="1:13">
      <c r="A727" s="2">
        <f ca="1">IFERROR(__xludf.DUMMYFUNCTION("""COMPUTED_VALUE"""),733)</f>
        <v>733</v>
      </c>
      <c r="B727" s="2" t="str">
        <f ca="1">IFERROR(__xludf.DUMMYFUNCTION("""COMPUTED_VALUE"""),"Lenovo")</f>
        <v>Lenovo</v>
      </c>
      <c r="C727" s="2" t="str">
        <f ca="1">IFERROR(__xludf.DUMMYFUNCTION("""COMPUTED_VALUE"""),"V310-15IKB (i5-7200U/4GB/1TB/No")</f>
        <v>V310-15IKB (i5-7200U/4GB/1TB/No</v>
      </c>
      <c r="D727" s="2" t="str">
        <f ca="1">IFERROR(__xludf.DUMMYFUNCTION("""COMPUTED_VALUE"""),"Notebook")</f>
        <v>Notebook</v>
      </c>
      <c r="E727" s="2">
        <f ca="1">IFERROR(__xludf.DUMMYFUNCTION("""COMPUTED_VALUE"""),15.6)</f>
        <v>15.6</v>
      </c>
      <c r="F727" s="2" t="str">
        <f ca="1">IFERROR(__xludf.DUMMYFUNCTION("""COMPUTED_VALUE"""),"1366x768")</f>
        <v>1366x768</v>
      </c>
      <c r="G727" s="2" t="str">
        <f ca="1">IFERROR(__xludf.DUMMYFUNCTION("""COMPUTED_VALUE"""),"Intel Core i5 7200U 2.5GHz")</f>
        <v>Intel Core i5 7200U 2.5GHz</v>
      </c>
      <c r="H727" s="2" t="str">
        <f ca="1">IFERROR(__xludf.DUMMYFUNCTION("""COMPUTED_VALUE"""),"4GB")</f>
        <v>4GB</v>
      </c>
      <c r="I727" s="2" t="str">
        <f ca="1">IFERROR(__xludf.DUMMYFUNCTION("""COMPUTED_VALUE"""),"1TB HDD")</f>
        <v>1TB HDD</v>
      </c>
      <c r="J727" s="2" t="str">
        <f ca="1">IFERROR(__xludf.DUMMYFUNCTION("""COMPUTED_VALUE"""),"Intel HD Graphics 620")</f>
        <v>Intel HD Graphics 620</v>
      </c>
      <c r="K727" s="2" t="str">
        <f ca="1">IFERROR(__xludf.DUMMYFUNCTION("""COMPUTED_VALUE"""),"No OS")</f>
        <v>No OS</v>
      </c>
      <c r="L727" s="2" t="str">
        <f ca="1">IFERROR(__xludf.DUMMYFUNCTION("""COMPUTED_VALUE"""),"1.9kg")</f>
        <v>1.9kg</v>
      </c>
      <c r="M727" s="2">
        <f ca="1">IFERROR(__xludf.DUMMYFUNCTION("""COMPUTED_VALUE"""),489.9)</f>
        <v>489.9</v>
      </c>
    </row>
    <row r="728" spans="1:13">
      <c r="A728" s="2">
        <f ca="1">IFERROR(__xludf.DUMMYFUNCTION("""COMPUTED_VALUE"""),734)</f>
        <v>734</v>
      </c>
      <c r="B728" s="2" t="str">
        <f ca="1">IFERROR(__xludf.DUMMYFUNCTION("""COMPUTED_VALUE"""),"Dell")</f>
        <v>Dell</v>
      </c>
      <c r="C728" s="2" t="str">
        <f ca="1">IFERROR(__xludf.DUMMYFUNCTION("""COMPUTED_VALUE"""),"Inspiron 5570")</f>
        <v>Inspiron 5570</v>
      </c>
      <c r="D728" s="2" t="str">
        <f ca="1">IFERROR(__xludf.DUMMYFUNCTION("""COMPUTED_VALUE"""),"Notebook")</f>
        <v>Notebook</v>
      </c>
      <c r="E728" s="2">
        <f ca="1">IFERROR(__xludf.DUMMYFUNCTION("""COMPUTED_VALUE"""),15.6)</f>
        <v>15.6</v>
      </c>
      <c r="F728" s="2" t="str">
        <f ca="1">IFERROR(__xludf.DUMMYFUNCTION("""COMPUTED_VALUE"""),"Full HD 1920x1080")</f>
        <v>Full HD 1920x1080</v>
      </c>
      <c r="G728" s="2" t="str">
        <f ca="1">IFERROR(__xludf.DUMMYFUNCTION("""COMPUTED_VALUE"""),"Intel Core i5 8250U 1.6GHz")</f>
        <v>Intel Core i5 8250U 1.6GHz</v>
      </c>
      <c r="H728" s="2" t="str">
        <f ca="1">IFERROR(__xludf.DUMMYFUNCTION("""COMPUTED_VALUE"""),"8GB")</f>
        <v>8GB</v>
      </c>
      <c r="I728" s="2" t="str">
        <f ca="1">IFERROR(__xludf.DUMMYFUNCTION("""COMPUTED_VALUE"""),"128GB SSD +  1TB HDD")</f>
        <v>128GB SSD +  1TB HDD</v>
      </c>
      <c r="J728" s="2" t="str">
        <f ca="1">IFERROR(__xludf.DUMMYFUNCTION("""COMPUTED_VALUE"""),"AMD Radeon 530")</f>
        <v>AMD Radeon 530</v>
      </c>
      <c r="K728" s="2" t="str">
        <f ca="1">IFERROR(__xludf.DUMMYFUNCTION("""COMPUTED_VALUE"""),"Windows 10")</f>
        <v>Windows 10</v>
      </c>
      <c r="L728" s="2" t="str">
        <f ca="1">IFERROR(__xludf.DUMMYFUNCTION("""COMPUTED_VALUE"""),"2.2kg")</f>
        <v>2.2kg</v>
      </c>
      <c r="M728" s="2">
        <f ca="1">IFERROR(__xludf.DUMMYFUNCTION("""COMPUTED_VALUE"""),719)</f>
        <v>719</v>
      </c>
    </row>
    <row r="729" spans="1:13">
      <c r="A729" s="2">
        <f ca="1">IFERROR(__xludf.DUMMYFUNCTION("""COMPUTED_VALUE"""),735)</f>
        <v>735</v>
      </c>
      <c r="B729" s="2" t="str">
        <f ca="1">IFERROR(__xludf.DUMMYFUNCTION("""COMPUTED_VALUE"""),"Dell")</f>
        <v>Dell</v>
      </c>
      <c r="C729" s="2" t="str">
        <f ca="1">IFERROR(__xludf.DUMMYFUNCTION("""COMPUTED_VALUE"""),"Inspiron 5378")</f>
        <v>Inspiron 5378</v>
      </c>
      <c r="D729" s="2" t="str">
        <f ca="1">IFERROR(__xludf.DUMMYFUNCTION("""COMPUTED_VALUE"""),"2 in 1 Convertible")</f>
        <v>2 in 1 Convertible</v>
      </c>
      <c r="E729" s="2">
        <f ca="1">IFERROR(__xludf.DUMMYFUNCTION("""COMPUTED_VALUE"""),13.3)</f>
        <v>13.3</v>
      </c>
      <c r="F729" s="2" t="str">
        <f ca="1">IFERROR(__xludf.DUMMYFUNCTION("""COMPUTED_VALUE"""),"Full HD / Touchscreen 1920x1080")</f>
        <v>Full HD / Touchscreen 1920x1080</v>
      </c>
      <c r="G729" s="2" t="str">
        <f ca="1">IFERROR(__xludf.DUMMYFUNCTION("""COMPUTED_VALUE"""),"Intel Core i3 7100U 2.4GHz")</f>
        <v>Intel Core i3 7100U 2.4GHz</v>
      </c>
      <c r="H729" s="2" t="str">
        <f ca="1">IFERROR(__xludf.DUMMYFUNCTION("""COMPUTED_VALUE"""),"4GB")</f>
        <v>4GB</v>
      </c>
      <c r="I729" s="2" t="str">
        <f ca="1">IFERROR(__xludf.DUMMYFUNCTION("""COMPUTED_VALUE"""),"1TB HDD")</f>
        <v>1TB HDD</v>
      </c>
      <c r="J729" s="2" t="str">
        <f ca="1">IFERROR(__xludf.DUMMYFUNCTION("""COMPUTED_VALUE"""),"Intel HD Graphics 620")</f>
        <v>Intel HD Graphics 620</v>
      </c>
      <c r="K729" s="2" t="str">
        <f ca="1">IFERROR(__xludf.DUMMYFUNCTION("""COMPUTED_VALUE"""),"Windows 10")</f>
        <v>Windows 10</v>
      </c>
      <c r="L729" s="2" t="str">
        <f ca="1">IFERROR(__xludf.DUMMYFUNCTION("""COMPUTED_VALUE"""),"1.71kg")</f>
        <v>1.71kg</v>
      </c>
      <c r="M729" s="2">
        <f ca="1">IFERROR(__xludf.DUMMYFUNCTION("""COMPUTED_VALUE"""),649)</f>
        <v>649</v>
      </c>
    </row>
    <row r="730" spans="1:13">
      <c r="A730" s="2">
        <f ca="1">IFERROR(__xludf.DUMMYFUNCTION("""COMPUTED_VALUE"""),736)</f>
        <v>736</v>
      </c>
      <c r="B730" s="2" t="str">
        <f ca="1">IFERROR(__xludf.DUMMYFUNCTION("""COMPUTED_VALUE"""),"Dell")</f>
        <v>Dell</v>
      </c>
      <c r="C730" s="2" t="str">
        <f ca="1">IFERROR(__xludf.DUMMYFUNCTION("""COMPUTED_VALUE"""),"Inspiron 5567")</f>
        <v>Inspiron 5567</v>
      </c>
      <c r="D730" s="2" t="str">
        <f ca="1">IFERROR(__xludf.DUMMYFUNCTION("""COMPUTED_VALUE"""),"Notebook")</f>
        <v>Notebook</v>
      </c>
      <c r="E730" s="2">
        <f ca="1">IFERROR(__xludf.DUMMYFUNCTION("""COMPUTED_VALUE"""),15.6)</f>
        <v>15.6</v>
      </c>
      <c r="F730" s="2" t="str">
        <f ca="1">IFERROR(__xludf.DUMMYFUNCTION("""COMPUTED_VALUE"""),"1366x768")</f>
        <v>1366x768</v>
      </c>
      <c r="G730" s="2" t="str">
        <f ca="1">IFERROR(__xludf.DUMMYFUNCTION("""COMPUTED_VALUE"""),"Intel Core i5 7200U 2.5GHz")</f>
        <v>Intel Core i5 7200U 2.5GHz</v>
      </c>
      <c r="H730" s="2" t="str">
        <f ca="1">IFERROR(__xludf.DUMMYFUNCTION("""COMPUTED_VALUE"""),"8GB")</f>
        <v>8GB</v>
      </c>
      <c r="I730" s="2" t="str">
        <f ca="1">IFERROR(__xludf.DUMMYFUNCTION("""COMPUTED_VALUE"""),"1TB HDD")</f>
        <v>1TB HDD</v>
      </c>
      <c r="J730" s="2" t="str">
        <f ca="1">IFERROR(__xludf.DUMMYFUNCTION("""COMPUTED_VALUE"""),"AMD Radeon R7 M445")</f>
        <v>AMD Radeon R7 M445</v>
      </c>
      <c r="K730" s="2" t="str">
        <f ca="1">IFERROR(__xludf.DUMMYFUNCTION("""COMPUTED_VALUE"""),"Linux")</f>
        <v>Linux</v>
      </c>
      <c r="L730" s="2" t="str">
        <f ca="1">IFERROR(__xludf.DUMMYFUNCTION("""COMPUTED_VALUE"""),"2.32kg")</f>
        <v>2.32kg</v>
      </c>
      <c r="M730" s="2">
        <f ca="1">IFERROR(__xludf.DUMMYFUNCTION("""COMPUTED_VALUE"""),589.52)</f>
        <v>589.52</v>
      </c>
    </row>
    <row r="731" spans="1:13">
      <c r="A731" s="2">
        <f ca="1">IFERROR(__xludf.DUMMYFUNCTION("""COMPUTED_VALUE"""),737)</f>
        <v>737</v>
      </c>
      <c r="B731" s="2" t="str">
        <f ca="1">IFERROR(__xludf.DUMMYFUNCTION("""COMPUTED_VALUE"""),"HP")</f>
        <v>HP</v>
      </c>
      <c r="C731" s="2" t="str">
        <f ca="1">IFERROR(__xludf.DUMMYFUNCTION("""COMPUTED_VALUE"""),"15-BW037na (A9-9420/4GB/1TB/Radeon")</f>
        <v>15-BW037na (A9-9420/4GB/1TB/Radeon</v>
      </c>
      <c r="D731" s="2" t="str">
        <f ca="1">IFERROR(__xludf.DUMMYFUNCTION("""COMPUTED_VALUE"""),"Notebook")</f>
        <v>Notebook</v>
      </c>
      <c r="E731" s="2">
        <f ca="1">IFERROR(__xludf.DUMMYFUNCTION("""COMPUTED_VALUE"""),15.6)</f>
        <v>15.6</v>
      </c>
      <c r="F731" s="2" t="str">
        <f ca="1">IFERROR(__xludf.DUMMYFUNCTION("""COMPUTED_VALUE"""),"Full HD 1920x1080")</f>
        <v>Full HD 1920x1080</v>
      </c>
      <c r="G731" s="2" t="str">
        <f ca="1">IFERROR(__xludf.DUMMYFUNCTION("""COMPUTED_VALUE"""),"AMD A9-Series 9420 3GHz")</f>
        <v>AMD A9-Series 9420 3GHz</v>
      </c>
      <c r="H731" s="2" t="str">
        <f ca="1">IFERROR(__xludf.DUMMYFUNCTION("""COMPUTED_VALUE"""),"4GB")</f>
        <v>4GB</v>
      </c>
      <c r="I731" s="2" t="str">
        <f ca="1">IFERROR(__xludf.DUMMYFUNCTION("""COMPUTED_VALUE"""),"1TB HDD")</f>
        <v>1TB HDD</v>
      </c>
      <c r="J731" s="2" t="str">
        <f ca="1">IFERROR(__xludf.DUMMYFUNCTION("""COMPUTED_VALUE"""),"AMD Radeon 520")</f>
        <v>AMD Radeon 520</v>
      </c>
      <c r="K731" s="2" t="str">
        <f ca="1">IFERROR(__xludf.DUMMYFUNCTION("""COMPUTED_VALUE"""),"Windows 10")</f>
        <v>Windows 10</v>
      </c>
      <c r="L731" s="2" t="str">
        <f ca="1">IFERROR(__xludf.DUMMYFUNCTION("""COMPUTED_VALUE"""),"2.1kg")</f>
        <v>2.1kg</v>
      </c>
      <c r="M731" s="2">
        <f ca="1">IFERROR(__xludf.DUMMYFUNCTION("""COMPUTED_VALUE"""),489)</f>
        <v>489</v>
      </c>
    </row>
    <row r="732" spans="1:13">
      <c r="A732" s="2">
        <f ca="1">IFERROR(__xludf.DUMMYFUNCTION("""COMPUTED_VALUE"""),738)</f>
        <v>738</v>
      </c>
      <c r="B732" s="2" t="str">
        <f ca="1">IFERROR(__xludf.DUMMYFUNCTION("""COMPUTED_VALUE"""),"Acer")</f>
        <v>Acer</v>
      </c>
      <c r="C732" s="2" t="str">
        <f ca="1">IFERROR(__xludf.DUMMYFUNCTION("""COMPUTED_VALUE"""),"Predator 17")</f>
        <v>Predator 17</v>
      </c>
      <c r="D732" s="2" t="str">
        <f ca="1">IFERROR(__xludf.DUMMYFUNCTION("""COMPUTED_VALUE"""),"Gaming")</f>
        <v>Gaming</v>
      </c>
      <c r="E732" s="2">
        <f ca="1">IFERROR(__xludf.DUMMYFUNCTION("""COMPUTED_VALUE"""),17.3)</f>
        <v>17.3</v>
      </c>
      <c r="F732" s="2" t="str">
        <f ca="1">IFERROR(__xludf.DUMMYFUNCTION("""COMPUTED_VALUE"""),"IPS Panel Full HD 1920x1080")</f>
        <v>IPS Panel Full HD 1920x1080</v>
      </c>
      <c r="G732" s="2" t="str">
        <f ca="1">IFERROR(__xludf.DUMMYFUNCTION("""COMPUTED_VALUE"""),"Intel Core i7 6700HQ 2.6GHz")</f>
        <v>Intel Core i7 6700HQ 2.6GHz</v>
      </c>
      <c r="H732" s="2" t="str">
        <f ca="1">IFERROR(__xludf.DUMMYFUNCTION("""COMPUTED_VALUE"""),"16GB")</f>
        <v>16GB</v>
      </c>
      <c r="I732" s="2" t="str">
        <f ca="1">IFERROR(__xludf.DUMMYFUNCTION("""COMPUTED_VALUE"""),"128GB SSD +  1TB HDD")</f>
        <v>128GB SSD +  1TB HDD</v>
      </c>
      <c r="J732" s="2" t="str">
        <f ca="1">IFERROR(__xludf.DUMMYFUNCTION("""COMPUTED_VALUE"""),"Nvidia GeForce GTX 1060")</f>
        <v>Nvidia GeForce GTX 1060</v>
      </c>
      <c r="K732" s="2" t="str">
        <f ca="1">IFERROR(__xludf.DUMMYFUNCTION("""COMPUTED_VALUE"""),"Windows 10")</f>
        <v>Windows 10</v>
      </c>
      <c r="L732" s="2" t="str">
        <f ca="1">IFERROR(__xludf.DUMMYFUNCTION("""COMPUTED_VALUE"""),"4.2kg")</f>
        <v>4.2kg</v>
      </c>
      <c r="M732" s="2">
        <f ca="1">IFERROR(__xludf.DUMMYFUNCTION("""COMPUTED_VALUE"""),1935)</f>
        <v>1935</v>
      </c>
    </row>
    <row r="733" spans="1:13">
      <c r="A733" s="2">
        <f ca="1">IFERROR(__xludf.DUMMYFUNCTION("""COMPUTED_VALUE"""),739)</f>
        <v>739</v>
      </c>
      <c r="B733" s="2" t="str">
        <f ca="1">IFERROR(__xludf.DUMMYFUNCTION("""COMPUTED_VALUE"""),"Dell")</f>
        <v>Dell</v>
      </c>
      <c r="C733" s="2" t="str">
        <f ca="1">IFERROR(__xludf.DUMMYFUNCTION("""COMPUTED_VALUE"""),"Inspiron 3567")</f>
        <v>Inspiron 3567</v>
      </c>
      <c r="D733" s="2" t="str">
        <f ca="1">IFERROR(__xludf.DUMMYFUNCTION("""COMPUTED_VALUE"""),"Notebook")</f>
        <v>Notebook</v>
      </c>
      <c r="E733" s="2">
        <f ca="1">IFERROR(__xludf.DUMMYFUNCTION("""COMPUTED_VALUE"""),15.6)</f>
        <v>15.6</v>
      </c>
      <c r="F733" s="2" t="str">
        <f ca="1">IFERROR(__xludf.DUMMYFUNCTION("""COMPUTED_VALUE"""),"1366x768")</f>
        <v>1366x768</v>
      </c>
      <c r="G733" s="2" t="str">
        <f ca="1">IFERROR(__xludf.DUMMYFUNCTION("""COMPUTED_VALUE"""),"Intel Core i5 7200U 2.5GHz")</f>
        <v>Intel Core i5 7200U 2.5GHz</v>
      </c>
      <c r="H733" s="2" t="str">
        <f ca="1">IFERROR(__xludf.DUMMYFUNCTION("""COMPUTED_VALUE"""),"12GB")</f>
        <v>12GB</v>
      </c>
      <c r="I733" s="2" t="str">
        <f ca="1">IFERROR(__xludf.DUMMYFUNCTION("""COMPUTED_VALUE"""),"1TB HDD")</f>
        <v>1TB HDD</v>
      </c>
      <c r="J733" s="2" t="str">
        <f ca="1">IFERROR(__xludf.DUMMYFUNCTION("""COMPUTED_VALUE"""),"Intel HD Graphics 620")</f>
        <v>Intel HD Graphics 620</v>
      </c>
      <c r="K733" s="2" t="str">
        <f ca="1">IFERROR(__xludf.DUMMYFUNCTION("""COMPUTED_VALUE"""),"Windows 10")</f>
        <v>Windows 10</v>
      </c>
      <c r="L733" s="2" t="str">
        <f ca="1">IFERROR(__xludf.DUMMYFUNCTION("""COMPUTED_VALUE"""),"2.25kg")</f>
        <v>2.25kg</v>
      </c>
      <c r="M733" s="2">
        <f ca="1">IFERROR(__xludf.DUMMYFUNCTION("""COMPUTED_VALUE"""),649)</f>
        <v>649</v>
      </c>
    </row>
    <row r="734" spans="1:13">
      <c r="A734" s="2">
        <f ca="1">IFERROR(__xludf.DUMMYFUNCTION("""COMPUTED_VALUE"""),740)</f>
        <v>740</v>
      </c>
      <c r="B734" s="2" t="str">
        <f ca="1">IFERROR(__xludf.DUMMYFUNCTION("""COMPUTED_VALUE"""),"HP")</f>
        <v>HP</v>
      </c>
      <c r="C734" s="2" t="str">
        <f ca="1">IFERROR(__xludf.DUMMYFUNCTION("""COMPUTED_VALUE"""),"15-BW091ND (A9-9420/6GB/1TB")</f>
        <v>15-BW091ND (A9-9420/6GB/1TB</v>
      </c>
      <c r="D734" s="2" t="str">
        <f ca="1">IFERROR(__xludf.DUMMYFUNCTION("""COMPUTED_VALUE"""),"Notebook")</f>
        <v>Notebook</v>
      </c>
      <c r="E734" s="2">
        <f ca="1">IFERROR(__xludf.DUMMYFUNCTION("""COMPUTED_VALUE"""),15.6)</f>
        <v>15.6</v>
      </c>
      <c r="F734" s="2" t="str">
        <f ca="1">IFERROR(__xludf.DUMMYFUNCTION("""COMPUTED_VALUE"""),"Full HD 1920x1080")</f>
        <v>Full HD 1920x1080</v>
      </c>
      <c r="G734" s="2" t="str">
        <f ca="1">IFERROR(__xludf.DUMMYFUNCTION("""COMPUTED_VALUE"""),"AMD A9-Series A9-9420 3GHz")</f>
        <v>AMD A9-Series A9-9420 3GHz</v>
      </c>
      <c r="H734" s="2" t="str">
        <f ca="1">IFERROR(__xludf.DUMMYFUNCTION("""COMPUTED_VALUE"""),"6GB")</f>
        <v>6GB</v>
      </c>
      <c r="I734" s="2" t="str">
        <f ca="1">IFERROR(__xludf.DUMMYFUNCTION("""COMPUTED_VALUE"""),"128GB SSD +  1TB HDD")</f>
        <v>128GB SSD +  1TB HDD</v>
      </c>
      <c r="J734" s="2" t="str">
        <f ca="1">IFERROR(__xludf.DUMMYFUNCTION("""COMPUTED_VALUE"""),"AMD Radeon 520")</f>
        <v>AMD Radeon 520</v>
      </c>
      <c r="K734" s="2" t="str">
        <f ca="1">IFERROR(__xludf.DUMMYFUNCTION("""COMPUTED_VALUE"""),"Windows 10")</f>
        <v>Windows 10</v>
      </c>
      <c r="L734" s="2" t="str">
        <f ca="1">IFERROR(__xludf.DUMMYFUNCTION("""COMPUTED_VALUE"""),"2.1kg")</f>
        <v>2.1kg</v>
      </c>
      <c r="M734" s="2">
        <f ca="1">IFERROR(__xludf.DUMMYFUNCTION("""COMPUTED_VALUE"""),650)</f>
        <v>650</v>
      </c>
    </row>
    <row r="735" spans="1:13">
      <c r="A735" s="2">
        <f ca="1">IFERROR(__xludf.DUMMYFUNCTION("""COMPUTED_VALUE"""),741)</f>
        <v>741</v>
      </c>
      <c r="B735" s="2" t="str">
        <f ca="1">IFERROR(__xludf.DUMMYFUNCTION("""COMPUTED_VALUE"""),"Acer")</f>
        <v>Acer</v>
      </c>
      <c r="C735" s="2" t="str">
        <f ca="1">IFERROR(__xludf.DUMMYFUNCTION("""COMPUTED_VALUE"""),"Extensa EX2540-58KR")</f>
        <v>Extensa EX2540-58KR</v>
      </c>
      <c r="D735" s="2" t="str">
        <f ca="1">IFERROR(__xludf.DUMMYFUNCTION("""COMPUTED_VALUE"""),"Notebook")</f>
        <v>Notebook</v>
      </c>
      <c r="E735" s="2">
        <f ca="1">IFERROR(__xludf.DUMMYFUNCTION("""COMPUTED_VALUE"""),15.6)</f>
        <v>15.6</v>
      </c>
      <c r="F735" s="2" t="str">
        <f ca="1">IFERROR(__xludf.DUMMYFUNCTION("""COMPUTED_VALUE"""),"1366x768")</f>
        <v>1366x768</v>
      </c>
      <c r="G735" s="2" t="str">
        <f ca="1">IFERROR(__xludf.DUMMYFUNCTION("""COMPUTED_VALUE"""),"Intel Core i5 7200U 2.5GHz")</f>
        <v>Intel Core i5 7200U 2.5GHz</v>
      </c>
      <c r="H735" s="2" t="str">
        <f ca="1">IFERROR(__xludf.DUMMYFUNCTION("""COMPUTED_VALUE"""),"4GB")</f>
        <v>4GB</v>
      </c>
      <c r="I735" s="2" t="str">
        <f ca="1">IFERROR(__xludf.DUMMYFUNCTION("""COMPUTED_VALUE"""),"500GB HDD")</f>
        <v>500GB HDD</v>
      </c>
      <c r="J735" s="2" t="str">
        <f ca="1">IFERROR(__xludf.DUMMYFUNCTION("""COMPUTED_VALUE"""),"Intel HD Graphics 620")</f>
        <v>Intel HD Graphics 620</v>
      </c>
      <c r="K735" s="2" t="str">
        <f ca="1">IFERROR(__xludf.DUMMYFUNCTION("""COMPUTED_VALUE"""),"Windows 10")</f>
        <v>Windows 10</v>
      </c>
      <c r="L735" s="2" t="str">
        <f ca="1">IFERROR(__xludf.DUMMYFUNCTION("""COMPUTED_VALUE"""),"2.4kg")</f>
        <v>2.4kg</v>
      </c>
      <c r="M735" s="2">
        <f ca="1">IFERROR(__xludf.DUMMYFUNCTION("""COMPUTED_VALUE"""),559)</f>
        <v>559</v>
      </c>
    </row>
    <row r="736" spans="1:13">
      <c r="A736" s="2">
        <f ca="1">IFERROR(__xludf.DUMMYFUNCTION("""COMPUTED_VALUE"""),742)</f>
        <v>742</v>
      </c>
      <c r="B736" s="2" t="str">
        <f ca="1">IFERROR(__xludf.DUMMYFUNCTION("""COMPUTED_VALUE"""),"Lenovo")</f>
        <v>Lenovo</v>
      </c>
      <c r="C736" s="2" t="str">
        <f ca="1">IFERROR(__xludf.DUMMYFUNCTION("""COMPUTED_VALUE"""),"ThinkPad 13")</f>
        <v>ThinkPad 13</v>
      </c>
      <c r="D736" s="2" t="str">
        <f ca="1">IFERROR(__xludf.DUMMYFUNCTION("""COMPUTED_VALUE"""),"Notebook")</f>
        <v>Notebook</v>
      </c>
      <c r="E736" s="2">
        <f ca="1">IFERROR(__xludf.DUMMYFUNCTION("""COMPUTED_VALUE"""),13.3)</f>
        <v>13.3</v>
      </c>
      <c r="F736" s="2" t="str">
        <f ca="1">IFERROR(__xludf.DUMMYFUNCTION("""COMPUTED_VALUE"""),"IPS Panel Full HD 1920x1080")</f>
        <v>IPS Panel Full HD 1920x1080</v>
      </c>
      <c r="G736" s="2" t="str">
        <f ca="1">IFERROR(__xludf.DUMMYFUNCTION("""COMPUTED_VALUE"""),"Intel Core i5 7200U 2.5GHz")</f>
        <v>Intel Core i5 7200U 2.5GHz</v>
      </c>
      <c r="H736" s="2" t="str">
        <f ca="1">IFERROR(__xludf.DUMMYFUNCTION("""COMPUTED_VALUE"""),"8GB")</f>
        <v>8GB</v>
      </c>
      <c r="I736" s="2" t="str">
        <f ca="1">IFERROR(__xludf.DUMMYFUNCTION("""COMPUTED_VALUE"""),"256GB SSD")</f>
        <v>256GB SSD</v>
      </c>
      <c r="J736" s="2" t="str">
        <f ca="1">IFERROR(__xludf.DUMMYFUNCTION("""COMPUTED_VALUE"""),"Intel HD Graphics 620")</f>
        <v>Intel HD Graphics 620</v>
      </c>
      <c r="K736" s="2" t="str">
        <f ca="1">IFERROR(__xludf.DUMMYFUNCTION("""COMPUTED_VALUE"""),"Windows 10")</f>
        <v>Windows 10</v>
      </c>
      <c r="L736" s="2" t="str">
        <f ca="1">IFERROR(__xludf.DUMMYFUNCTION("""COMPUTED_VALUE"""),"1.44kg")</f>
        <v>1.44kg</v>
      </c>
      <c r="M736" s="2">
        <f ca="1">IFERROR(__xludf.DUMMYFUNCTION("""COMPUTED_VALUE"""),960)</f>
        <v>960</v>
      </c>
    </row>
    <row r="737" spans="1:13">
      <c r="A737" s="2">
        <f ca="1">IFERROR(__xludf.DUMMYFUNCTION("""COMPUTED_VALUE"""),743)</f>
        <v>743</v>
      </c>
      <c r="B737" s="2" t="str">
        <f ca="1">IFERROR(__xludf.DUMMYFUNCTION("""COMPUTED_VALUE"""),"Lenovo")</f>
        <v>Lenovo</v>
      </c>
      <c r="C737" s="2" t="str">
        <f ca="1">IFERROR(__xludf.DUMMYFUNCTION("""COMPUTED_VALUE"""),"V310-15IKB (i7-7500U/4GB/1TB/FHD/W10)")</f>
        <v>V310-15IKB (i7-7500U/4GB/1TB/FHD/W10)</v>
      </c>
      <c r="D737" s="2" t="str">
        <f ca="1">IFERROR(__xludf.DUMMYFUNCTION("""COMPUTED_VALUE"""),"Notebook")</f>
        <v>Notebook</v>
      </c>
      <c r="E737" s="2">
        <f ca="1">IFERROR(__xludf.DUMMYFUNCTION("""COMPUTED_VALUE"""),15.6)</f>
        <v>15.6</v>
      </c>
      <c r="F737" s="2" t="str">
        <f ca="1">IFERROR(__xludf.DUMMYFUNCTION("""COMPUTED_VALUE"""),"Full HD 1920x1080")</f>
        <v>Full HD 1920x1080</v>
      </c>
      <c r="G737" s="2" t="str">
        <f ca="1">IFERROR(__xludf.DUMMYFUNCTION("""COMPUTED_VALUE"""),"Intel Core i7 7500U 2.7GHz")</f>
        <v>Intel Core i7 7500U 2.7GHz</v>
      </c>
      <c r="H737" s="2" t="str">
        <f ca="1">IFERROR(__xludf.DUMMYFUNCTION("""COMPUTED_VALUE"""),"4GB")</f>
        <v>4GB</v>
      </c>
      <c r="I737" s="2" t="str">
        <f ca="1">IFERROR(__xludf.DUMMYFUNCTION("""COMPUTED_VALUE"""),"1TB HDD")</f>
        <v>1TB HDD</v>
      </c>
      <c r="J737" s="2" t="str">
        <f ca="1">IFERROR(__xludf.DUMMYFUNCTION("""COMPUTED_VALUE"""),"Intel HD Graphics 620")</f>
        <v>Intel HD Graphics 620</v>
      </c>
      <c r="K737" s="2" t="str">
        <f ca="1">IFERROR(__xludf.DUMMYFUNCTION("""COMPUTED_VALUE"""),"Windows 10")</f>
        <v>Windows 10</v>
      </c>
      <c r="L737" s="2" t="str">
        <f ca="1">IFERROR(__xludf.DUMMYFUNCTION("""COMPUTED_VALUE"""),"1.85kg")</f>
        <v>1.85kg</v>
      </c>
      <c r="M737" s="2">
        <f ca="1">IFERROR(__xludf.DUMMYFUNCTION("""COMPUTED_VALUE"""),779)</f>
        <v>779</v>
      </c>
    </row>
    <row r="738" spans="1:13">
      <c r="A738" s="2">
        <f ca="1">IFERROR(__xludf.DUMMYFUNCTION("""COMPUTED_VALUE"""),744)</f>
        <v>744</v>
      </c>
      <c r="B738" s="2" t="str">
        <f ca="1">IFERROR(__xludf.DUMMYFUNCTION("""COMPUTED_VALUE"""),"HP")</f>
        <v>HP</v>
      </c>
      <c r="C738" s="2" t="str">
        <f ca="1">IFERROR(__xludf.DUMMYFUNCTION("""COMPUTED_VALUE"""),"ZBook 15")</f>
        <v>ZBook 15</v>
      </c>
      <c r="D738" s="2" t="str">
        <f ca="1">IFERROR(__xludf.DUMMYFUNCTION("""COMPUTED_VALUE"""),"Workstation")</f>
        <v>Workstation</v>
      </c>
      <c r="E738" s="2">
        <f ca="1">IFERROR(__xludf.DUMMYFUNCTION("""COMPUTED_VALUE"""),15.6)</f>
        <v>15.6</v>
      </c>
      <c r="F738" s="2" t="str">
        <f ca="1">IFERROR(__xludf.DUMMYFUNCTION("""COMPUTED_VALUE"""),"Full HD 1920x1080")</f>
        <v>Full HD 1920x1080</v>
      </c>
      <c r="G738" s="2" t="str">
        <f ca="1">IFERROR(__xludf.DUMMYFUNCTION("""COMPUTED_VALUE"""),"Intel Core i7 7700HQ 2.8GHz")</f>
        <v>Intel Core i7 7700HQ 2.8GHz</v>
      </c>
      <c r="H738" s="2" t="str">
        <f ca="1">IFERROR(__xludf.DUMMYFUNCTION("""COMPUTED_VALUE"""),"16GB")</f>
        <v>16GB</v>
      </c>
      <c r="I738" s="2" t="str">
        <f ca="1">IFERROR(__xludf.DUMMYFUNCTION("""COMPUTED_VALUE"""),"256GB SSD")</f>
        <v>256GB SSD</v>
      </c>
      <c r="J738" s="2" t="str">
        <f ca="1">IFERROR(__xludf.DUMMYFUNCTION("""COMPUTED_VALUE"""),"Nvidia Quadro M2200")</f>
        <v>Nvidia Quadro M2200</v>
      </c>
      <c r="K738" s="2" t="str">
        <f ca="1">IFERROR(__xludf.DUMMYFUNCTION("""COMPUTED_VALUE"""),"Windows 10")</f>
        <v>Windows 10</v>
      </c>
      <c r="L738" s="2" t="str">
        <f ca="1">IFERROR(__xludf.DUMMYFUNCTION("""COMPUTED_VALUE"""),"2.6kg")</f>
        <v>2.6kg</v>
      </c>
      <c r="M738" s="2">
        <f ca="1">IFERROR(__xludf.DUMMYFUNCTION("""COMPUTED_VALUE"""),2419)</f>
        <v>2419</v>
      </c>
    </row>
    <row r="739" spans="1:13">
      <c r="A739" s="2">
        <f ca="1">IFERROR(__xludf.DUMMYFUNCTION("""COMPUTED_VALUE"""),745)</f>
        <v>745</v>
      </c>
      <c r="B739" s="2" t="str">
        <f ca="1">IFERROR(__xludf.DUMMYFUNCTION("""COMPUTED_VALUE"""),"Dell")</f>
        <v>Dell</v>
      </c>
      <c r="C739" s="2" t="str">
        <f ca="1">IFERROR(__xludf.DUMMYFUNCTION("""COMPUTED_VALUE"""),"Inspiron 5379")</f>
        <v>Inspiron 5379</v>
      </c>
      <c r="D739" s="2" t="str">
        <f ca="1">IFERROR(__xludf.DUMMYFUNCTION("""COMPUTED_VALUE"""),"2 in 1 Convertible")</f>
        <v>2 in 1 Convertible</v>
      </c>
      <c r="E739" s="2">
        <f ca="1">IFERROR(__xludf.DUMMYFUNCTION("""COMPUTED_VALUE"""),13.3)</f>
        <v>13.3</v>
      </c>
      <c r="F739" s="2" t="str">
        <f ca="1">IFERROR(__xludf.DUMMYFUNCTION("""COMPUTED_VALUE"""),"Full HD / Touchscreen 1920x1080")</f>
        <v>Full HD / Touchscreen 1920x1080</v>
      </c>
      <c r="G739" s="2" t="str">
        <f ca="1">IFERROR(__xludf.DUMMYFUNCTION("""COMPUTED_VALUE"""),"Intel Core i5 8250U 1.6GHz")</f>
        <v>Intel Core i5 8250U 1.6GHz</v>
      </c>
      <c r="H739" s="2" t="str">
        <f ca="1">IFERROR(__xludf.DUMMYFUNCTION("""COMPUTED_VALUE"""),"8GB")</f>
        <v>8GB</v>
      </c>
      <c r="I739" s="2" t="str">
        <f ca="1">IFERROR(__xludf.DUMMYFUNCTION("""COMPUTED_VALUE"""),"1TB HDD")</f>
        <v>1TB HDD</v>
      </c>
      <c r="J739" s="2" t="str">
        <f ca="1">IFERROR(__xludf.DUMMYFUNCTION("""COMPUTED_VALUE"""),"Intel UHD Graphics 620")</f>
        <v>Intel UHD Graphics 620</v>
      </c>
      <c r="K739" s="2" t="str">
        <f ca="1">IFERROR(__xludf.DUMMYFUNCTION("""COMPUTED_VALUE"""),"Windows 10")</f>
        <v>Windows 10</v>
      </c>
      <c r="L739" s="2" t="str">
        <f ca="1">IFERROR(__xludf.DUMMYFUNCTION("""COMPUTED_VALUE"""),"1.55kg")</f>
        <v>1.55kg</v>
      </c>
      <c r="M739" s="2">
        <f ca="1">IFERROR(__xludf.DUMMYFUNCTION("""COMPUTED_VALUE"""),659)</f>
        <v>659</v>
      </c>
    </row>
    <row r="740" spans="1:13">
      <c r="A740" s="2">
        <f ca="1">IFERROR(__xludf.DUMMYFUNCTION("""COMPUTED_VALUE"""),746)</f>
        <v>746</v>
      </c>
      <c r="B740" s="2" t="str">
        <f ca="1">IFERROR(__xludf.DUMMYFUNCTION("""COMPUTED_VALUE"""),"MSI")</f>
        <v>MSI</v>
      </c>
      <c r="C740" s="2" t="str">
        <f ca="1">IFERROR(__xludf.DUMMYFUNCTION("""COMPUTED_VALUE"""),"GS63VR 7RF")</f>
        <v>GS63VR 7RF</v>
      </c>
      <c r="D740" s="2" t="str">
        <f ca="1">IFERROR(__xludf.DUMMYFUNCTION("""COMPUTED_VALUE"""),"Gaming")</f>
        <v>Gaming</v>
      </c>
      <c r="E740" s="2">
        <f ca="1">IFERROR(__xludf.DUMMYFUNCTION("""COMPUTED_VALUE"""),15.6)</f>
        <v>15.6</v>
      </c>
      <c r="F740" s="2" t="str">
        <f ca="1">IFERROR(__xludf.DUMMYFUNCTION("""COMPUTED_VALUE"""),"Full HD 1920x1080")</f>
        <v>Full HD 1920x1080</v>
      </c>
      <c r="G740" s="2" t="str">
        <f ca="1">IFERROR(__xludf.DUMMYFUNCTION("""COMPUTED_VALUE"""),"Intel Core i7 7700HQ 2.8GHz")</f>
        <v>Intel Core i7 7700HQ 2.8GHz</v>
      </c>
      <c r="H740" s="2" t="str">
        <f ca="1">IFERROR(__xludf.DUMMYFUNCTION("""COMPUTED_VALUE"""),"16GB")</f>
        <v>16GB</v>
      </c>
      <c r="I740" s="2" t="str">
        <f ca="1">IFERROR(__xludf.DUMMYFUNCTION("""COMPUTED_VALUE"""),"256GB SSD +  1TB HDD")</f>
        <v>256GB SSD +  1TB HDD</v>
      </c>
      <c r="J740" s="2" t="str">
        <f ca="1">IFERROR(__xludf.DUMMYFUNCTION("""COMPUTED_VALUE"""),"Nvidia GeForce GTX 1060")</f>
        <v>Nvidia GeForce GTX 1060</v>
      </c>
      <c r="K740" s="2" t="str">
        <f ca="1">IFERROR(__xludf.DUMMYFUNCTION("""COMPUTED_VALUE"""),"Windows 10")</f>
        <v>Windows 10</v>
      </c>
      <c r="L740" s="2" t="str">
        <f ca="1">IFERROR(__xludf.DUMMYFUNCTION("""COMPUTED_VALUE"""),"1.8kg")</f>
        <v>1.8kg</v>
      </c>
      <c r="M740" s="2">
        <f ca="1">IFERROR(__xludf.DUMMYFUNCTION("""COMPUTED_VALUE"""),2094.48)</f>
        <v>2094.48</v>
      </c>
    </row>
    <row r="741" spans="1:13">
      <c r="A741" s="2">
        <f ca="1">IFERROR(__xludf.DUMMYFUNCTION("""COMPUTED_VALUE"""),747)</f>
        <v>747</v>
      </c>
      <c r="B741" s="2" t="str">
        <f ca="1">IFERROR(__xludf.DUMMYFUNCTION("""COMPUTED_VALUE"""),"Acer")</f>
        <v>Acer</v>
      </c>
      <c r="C741" s="2" t="str">
        <f ca="1">IFERROR(__xludf.DUMMYFUNCTION("""COMPUTED_VALUE"""),"Aspire ES1-572")</f>
        <v>Aspire ES1-572</v>
      </c>
      <c r="D741" s="2" t="str">
        <f ca="1">IFERROR(__xludf.DUMMYFUNCTION("""COMPUTED_VALUE"""),"Notebook")</f>
        <v>Notebook</v>
      </c>
      <c r="E741" s="2">
        <f ca="1">IFERROR(__xludf.DUMMYFUNCTION("""COMPUTED_VALUE"""),15.6)</f>
        <v>15.6</v>
      </c>
      <c r="F741" s="2" t="str">
        <f ca="1">IFERROR(__xludf.DUMMYFUNCTION("""COMPUTED_VALUE"""),"1366x768")</f>
        <v>1366x768</v>
      </c>
      <c r="G741" s="2" t="str">
        <f ca="1">IFERROR(__xludf.DUMMYFUNCTION("""COMPUTED_VALUE"""),"Intel Core i3 6006U 2GHz")</f>
        <v>Intel Core i3 6006U 2GHz</v>
      </c>
      <c r="H741" s="2" t="str">
        <f ca="1">IFERROR(__xludf.DUMMYFUNCTION("""COMPUTED_VALUE"""),"4GB")</f>
        <v>4GB</v>
      </c>
      <c r="I741" s="2" t="str">
        <f ca="1">IFERROR(__xludf.DUMMYFUNCTION("""COMPUTED_VALUE"""),"500GB HDD")</f>
        <v>500GB HDD</v>
      </c>
      <c r="J741" s="2" t="str">
        <f ca="1">IFERROR(__xludf.DUMMYFUNCTION("""COMPUTED_VALUE"""),"Intel HD Graphics 520")</f>
        <v>Intel HD Graphics 520</v>
      </c>
      <c r="K741" s="2" t="str">
        <f ca="1">IFERROR(__xludf.DUMMYFUNCTION("""COMPUTED_VALUE"""),"Windows 10")</f>
        <v>Windows 10</v>
      </c>
      <c r="L741" s="2" t="str">
        <f ca="1">IFERROR(__xludf.DUMMYFUNCTION("""COMPUTED_VALUE"""),"2.4kg")</f>
        <v>2.4kg</v>
      </c>
      <c r="M741" s="2">
        <f ca="1">IFERROR(__xludf.DUMMYFUNCTION("""COMPUTED_VALUE"""),410.8)</f>
        <v>410.8</v>
      </c>
    </row>
    <row r="742" spans="1:13">
      <c r="A742" s="2">
        <f ca="1">IFERROR(__xludf.DUMMYFUNCTION("""COMPUTED_VALUE"""),748)</f>
        <v>748</v>
      </c>
      <c r="B742" s="2" t="str">
        <f ca="1">IFERROR(__xludf.DUMMYFUNCTION("""COMPUTED_VALUE"""),"Dell")</f>
        <v>Dell</v>
      </c>
      <c r="C742" s="2" t="str">
        <f ca="1">IFERROR(__xludf.DUMMYFUNCTION("""COMPUTED_VALUE"""),"Inspiron 7560")</f>
        <v>Inspiron 7560</v>
      </c>
      <c r="D742" s="2" t="str">
        <f ca="1">IFERROR(__xludf.DUMMYFUNCTION("""COMPUTED_VALUE"""),"Notebook")</f>
        <v>Notebook</v>
      </c>
      <c r="E742" s="2">
        <f ca="1">IFERROR(__xludf.DUMMYFUNCTION("""COMPUTED_VALUE"""),15.6)</f>
        <v>15.6</v>
      </c>
      <c r="F742" s="2" t="str">
        <f ca="1">IFERROR(__xludf.DUMMYFUNCTION("""COMPUTED_VALUE"""),"Full HD 1920x1080")</f>
        <v>Full HD 1920x1080</v>
      </c>
      <c r="G742" s="2" t="str">
        <f ca="1">IFERROR(__xludf.DUMMYFUNCTION("""COMPUTED_VALUE"""),"Intel Core i7 7500U 2.7GHz")</f>
        <v>Intel Core i7 7500U 2.7GHz</v>
      </c>
      <c r="H742" s="2" t="str">
        <f ca="1">IFERROR(__xludf.DUMMYFUNCTION("""COMPUTED_VALUE"""),"8GB")</f>
        <v>8GB</v>
      </c>
      <c r="I742" s="2" t="str">
        <f ca="1">IFERROR(__xludf.DUMMYFUNCTION("""COMPUTED_VALUE"""),"128GB SSD +  1TB HDD")</f>
        <v>128GB SSD +  1TB HDD</v>
      </c>
      <c r="J742" s="2" t="str">
        <f ca="1">IFERROR(__xludf.DUMMYFUNCTION("""COMPUTED_VALUE"""),"Nvidia GeForce 940MX")</f>
        <v>Nvidia GeForce 940MX</v>
      </c>
      <c r="K742" s="2" t="str">
        <f ca="1">IFERROR(__xludf.DUMMYFUNCTION("""COMPUTED_VALUE"""),"Windows 10")</f>
        <v>Windows 10</v>
      </c>
      <c r="L742" s="2" t="str">
        <f ca="1">IFERROR(__xludf.DUMMYFUNCTION("""COMPUTED_VALUE"""),"2.0kg")</f>
        <v>2.0kg</v>
      </c>
      <c r="M742" s="2">
        <f ca="1">IFERROR(__xludf.DUMMYFUNCTION("""COMPUTED_VALUE"""),1207)</f>
        <v>1207</v>
      </c>
    </row>
    <row r="743" spans="1:13">
      <c r="A743" s="2">
        <f ca="1">IFERROR(__xludf.DUMMYFUNCTION("""COMPUTED_VALUE"""),749)</f>
        <v>749</v>
      </c>
      <c r="B743" s="2" t="str">
        <f ca="1">IFERROR(__xludf.DUMMYFUNCTION("""COMPUTED_VALUE"""),"Dell")</f>
        <v>Dell</v>
      </c>
      <c r="C743" s="2" t="str">
        <f ca="1">IFERROR(__xludf.DUMMYFUNCTION("""COMPUTED_VALUE"""),"Vostro 3568")</f>
        <v>Vostro 3568</v>
      </c>
      <c r="D743" s="2" t="str">
        <f ca="1">IFERROR(__xludf.DUMMYFUNCTION("""COMPUTED_VALUE"""),"Notebook")</f>
        <v>Notebook</v>
      </c>
      <c r="E743" s="2">
        <f ca="1">IFERROR(__xludf.DUMMYFUNCTION("""COMPUTED_VALUE"""),15.6)</f>
        <v>15.6</v>
      </c>
      <c r="F743" s="2" t="str">
        <f ca="1">IFERROR(__xludf.DUMMYFUNCTION("""COMPUTED_VALUE"""),"1366x768")</f>
        <v>1366x768</v>
      </c>
      <c r="G743" s="2" t="str">
        <f ca="1">IFERROR(__xludf.DUMMYFUNCTION("""COMPUTED_VALUE"""),"Intel Core i3 6006U 2GHz")</f>
        <v>Intel Core i3 6006U 2GHz</v>
      </c>
      <c r="H743" s="2" t="str">
        <f ca="1">IFERROR(__xludf.DUMMYFUNCTION("""COMPUTED_VALUE"""),"8GB")</f>
        <v>8GB</v>
      </c>
      <c r="I743" s="2" t="str">
        <f ca="1">IFERROR(__xludf.DUMMYFUNCTION("""COMPUTED_VALUE"""),"256GB SSD")</f>
        <v>256GB SSD</v>
      </c>
      <c r="J743" s="2" t="str">
        <f ca="1">IFERROR(__xludf.DUMMYFUNCTION("""COMPUTED_VALUE"""),"Intel HD Graphics 520")</f>
        <v>Intel HD Graphics 520</v>
      </c>
      <c r="K743" s="2" t="str">
        <f ca="1">IFERROR(__xludf.DUMMYFUNCTION("""COMPUTED_VALUE"""),"Windows 10")</f>
        <v>Windows 10</v>
      </c>
      <c r="L743" s="2" t="str">
        <f ca="1">IFERROR(__xludf.DUMMYFUNCTION("""COMPUTED_VALUE"""),"2kg")</f>
        <v>2kg</v>
      </c>
      <c r="M743" s="2">
        <f ca="1">IFERROR(__xludf.DUMMYFUNCTION("""COMPUTED_VALUE"""),665)</f>
        <v>665</v>
      </c>
    </row>
    <row r="744" spans="1:13">
      <c r="A744" s="2">
        <f ca="1">IFERROR(__xludf.DUMMYFUNCTION("""COMPUTED_VALUE"""),750)</f>
        <v>750</v>
      </c>
      <c r="B744" s="2" t="str">
        <f ca="1">IFERROR(__xludf.DUMMYFUNCTION("""COMPUTED_VALUE"""),"Toshiba")</f>
        <v>Toshiba</v>
      </c>
      <c r="C744" s="2" t="str">
        <f ca="1">IFERROR(__xludf.DUMMYFUNCTION("""COMPUTED_VALUE"""),"Tecra X40-D-10G")</f>
        <v>Tecra X40-D-10G</v>
      </c>
      <c r="D744" s="2" t="str">
        <f ca="1">IFERROR(__xludf.DUMMYFUNCTION("""COMPUTED_VALUE"""),"Notebook")</f>
        <v>Notebook</v>
      </c>
      <c r="E744" s="2">
        <f ca="1">IFERROR(__xludf.DUMMYFUNCTION("""COMPUTED_VALUE"""),14)</f>
        <v>14</v>
      </c>
      <c r="F744" s="2" t="str">
        <f ca="1">IFERROR(__xludf.DUMMYFUNCTION("""COMPUTED_VALUE"""),"IPS Panel Full HD / Touchscreen 1920x1080")</f>
        <v>IPS Panel Full HD / Touchscreen 1920x1080</v>
      </c>
      <c r="G744" s="2" t="str">
        <f ca="1">IFERROR(__xludf.DUMMYFUNCTION("""COMPUTED_VALUE"""),"Intel Core i5 7200U 2.5GHz")</f>
        <v>Intel Core i5 7200U 2.5GHz</v>
      </c>
      <c r="H744" s="2" t="str">
        <f ca="1">IFERROR(__xludf.DUMMYFUNCTION("""COMPUTED_VALUE"""),"8GB")</f>
        <v>8GB</v>
      </c>
      <c r="I744" s="2" t="str">
        <f ca="1">IFERROR(__xludf.DUMMYFUNCTION("""COMPUTED_VALUE"""),"256GB SSD")</f>
        <v>256GB SSD</v>
      </c>
      <c r="J744" s="2" t="str">
        <f ca="1">IFERROR(__xludf.DUMMYFUNCTION("""COMPUTED_VALUE"""),"Intel HD Graphics 620")</f>
        <v>Intel HD Graphics 620</v>
      </c>
      <c r="K744" s="2" t="str">
        <f ca="1">IFERROR(__xludf.DUMMYFUNCTION("""COMPUTED_VALUE"""),"Windows 10")</f>
        <v>Windows 10</v>
      </c>
      <c r="L744" s="2" t="str">
        <f ca="1">IFERROR(__xludf.DUMMYFUNCTION("""COMPUTED_VALUE"""),"1.25kg")</f>
        <v>1.25kg</v>
      </c>
      <c r="M744" s="2">
        <f ca="1">IFERROR(__xludf.DUMMYFUNCTION("""COMPUTED_VALUE"""),1535)</f>
        <v>1535</v>
      </c>
    </row>
    <row r="745" spans="1:13">
      <c r="A745" s="2">
        <f ca="1">IFERROR(__xludf.DUMMYFUNCTION("""COMPUTED_VALUE"""),751)</f>
        <v>751</v>
      </c>
      <c r="B745" s="2" t="str">
        <f ca="1">IFERROR(__xludf.DUMMYFUNCTION("""COMPUTED_VALUE"""),"Lenovo")</f>
        <v>Lenovo</v>
      </c>
      <c r="C745" s="2" t="str">
        <f ca="1">IFERROR(__xludf.DUMMYFUNCTION("""COMPUTED_VALUE"""),"Flex 5")</f>
        <v>Flex 5</v>
      </c>
      <c r="D745" s="2" t="str">
        <f ca="1">IFERROR(__xludf.DUMMYFUNCTION("""COMPUTED_VALUE"""),"2 in 1 Convertible")</f>
        <v>2 in 1 Convertible</v>
      </c>
      <c r="E745" s="2">
        <f ca="1">IFERROR(__xludf.DUMMYFUNCTION("""COMPUTED_VALUE"""),14)</f>
        <v>14</v>
      </c>
      <c r="F745" s="2" t="str">
        <f ca="1">IFERROR(__xludf.DUMMYFUNCTION("""COMPUTED_VALUE"""),"Full HD / Touchscreen 1920x1080")</f>
        <v>Full HD / Touchscreen 1920x1080</v>
      </c>
      <c r="G745" s="2" t="str">
        <f ca="1">IFERROR(__xludf.DUMMYFUNCTION("""COMPUTED_VALUE"""),"Intel Core i5 7200U 2.5GHz")</f>
        <v>Intel Core i5 7200U 2.5GHz</v>
      </c>
      <c r="H745" s="2" t="str">
        <f ca="1">IFERROR(__xludf.DUMMYFUNCTION("""COMPUTED_VALUE"""),"8GB")</f>
        <v>8GB</v>
      </c>
      <c r="I745" s="2" t="str">
        <f ca="1">IFERROR(__xludf.DUMMYFUNCTION("""COMPUTED_VALUE"""),"256GB SSD")</f>
        <v>256GB SSD</v>
      </c>
      <c r="J745" s="2" t="str">
        <f ca="1">IFERROR(__xludf.DUMMYFUNCTION("""COMPUTED_VALUE"""),"Intel HD Graphics 620")</f>
        <v>Intel HD Graphics 620</v>
      </c>
      <c r="K745" s="2" t="str">
        <f ca="1">IFERROR(__xludf.DUMMYFUNCTION("""COMPUTED_VALUE"""),"Windows 10")</f>
        <v>Windows 10</v>
      </c>
      <c r="L745" s="2" t="str">
        <f ca="1">IFERROR(__xludf.DUMMYFUNCTION("""COMPUTED_VALUE"""),"1.7kg")</f>
        <v>1.7kg</v>
      </c>
      <c r="M745" s="2">
        <f ca="1">IFERROR(__xludf.DUMMYFUNCTION("""COMPUTED_VALUE"""),999)</f>
        <v>999</v>
      </c>
    </row>
    <row r="746" spans="1:13">
      <c r="A746" s="2">
        <f ca="1">IFERROR(__xludf.DUMMYFUNCTION("""COMPUTED_VALUE"""),752)</f>
        <v>752</v>
      </c>
      <c r="B746" s="2" t="str">
        <f ca="1">IFERROR(__xludf.DUMMYFUNCTION("""COMPUTED_VALUE"""),"Lenovo")</f>
        <v>Lenovo</v>
      </c>
      <c r="C746" s="2" t="str">
        <f ca="1">IFERROR(__xludf.DUMMYFUNCTION("""COMPUTED_VALUE"""),"Thinkpad P51s")</f>
        <v>Thinkpad P51s</v>
      </c>
      <c r="D746" s="2" t="str">
        <f ca="1">IFERROR(__xludf.DUMMYFUNCTION("""COMPUTED_VALUE"""),"Workstation")</f>
        <v>Workstation</v>
      </c>
      <c r="E746" s="2">
        <f ca="1">IFERROR(__xludf.DUMMYFUNCTION("""COMPUTED_VALUE"""),15.6)</f>
        <v>15.6</v>
      </c>
      <c r="F746" s="2" t="str">
        <f ca="1">IFERROR(__xludf.DUMMYFUNCTION("""COMPUTED_VALUE"""),"IPS Panel 4K Ultra HD 3840x2160")</f>
        <v>IPS Panel 4K Ultra HD 3840x2160</v>
      </c>
      <c r="G746" s="2" t="str">
        <f ca="1">IFERROR(__xludf.DUMMYFUNCTION("""COMPUTED_VALUE"""),"Intel Core i7 7600U 2.8GHz")</f>
        <v>Intel Core i7 7600U 2.8GHz</v>
      </c>
      <c r="H746" s="2" t="str">
        <f ca="1">IFERROR(__xludf.DUMMYFUNCTION("""COMPUTED_VALUE"""),"16GB")</f>
        <v>16GB</v>
      </c>
      <c r="I746" s="2" t="str">
        <f ca="1">IFERROR(__xludf.DUMMYFUNCTION("""COMPUTED_VALUE"""),"1TB SSD")</f>
        <v>1TB SSD</v>
      </c>
      <c r="J746" s="2" t="str">
        <f ca="1">IFERROR(__xludf.DUMMYFUNCTION("""COMPUTED_VALUE"""),"Nvidia Quadro M520M")</f>
        <v>Nvidia Quadro M520M</v>
      </c>
      <c r="K746" s="2" t="str">
        <f ca="1">IFERROR(__xludf.DUMMYFUNCTION("""COMPUTED_VALUE"""),"Windows 10")</f>
        <v>Windows 10</v>
      </c>
      <c r="L746" s="2" t="str">
        <f ca="1">IFERROR(__xludf.DUMMYFUNCTION("""COMPUTED_VALUE"""),"2.5kg")</f>
        <v>2.5kg</v>
      </c>
      <c r="M746" s="2">
        <f ca="1">IFERROR(__xludf.DUMMYFUNCTION("""COMPUTED_VALUE"""),3299)</f>
        <v>3299</v>
      </c>
    </row>
    <row r="747" spans="1:13">
      <c r="A747" s="2">
        <f ca="1">IFERROR(__xludf.DUMMYFUNCTION("""COMPUTED_VALUE"""),753)</f>
        <v>753</v>
      </c>
      <c r="B747" s="2" t="str">
        <f ca="1">IFERROR(__xludf.DUMMYFUNCTION("""COMPUTED_VALUE"""),"Acer")</f>
        <v>Acer</v>
      </c>
      <c r="C747" s="2" t="str">
        <f ca="1">IFERROR(__xludf.DUMMYFUNCTION("""COMPUTED_VALUE"""),"Chromebook 14")</f>
        <v>Chromebook 14</v>
      </c>
      <c r="D747" s="2" t="str">
        <f ca="1">IFERROR(__xludf.DUMMYFUNCTION("""COMPUTED_VALUE"""),"Notebook")</f>
        <v>Notebook</v>
      </c>
      <c r="E747" s="2">
        <f ca="1">IFERROR(__xludf.DUMMYFUNCTION("""COMPUTED_VALUE"""),14)</f>
        <v>14</v>
      </c>
      <c r="F747" s="2" t="str">
        <f ca="1">IFERROR(__xludf.DUMMYFUNCTION("""COMPUTED_VALUE"""),"1366x768")</f>
        <v>1366x768</v>
      </c>
      <c r="G747" s="2" t="str">
        <f ca="1">IFERROR(__xludf.DUMMYFUNCTION("""COMPUTED_VALUE"""),"Intel Celeron Dual Core N3060 1.6GHz")</f>
        <v>Intel Celeron Dual Core N3060 1.6GHz</v>
      </c>
      <c r="H747" s="2" t="str">
        <f ca="1">IFERROR(__xludf.DUMMYFUNCTION("""COMPUTED_VALUE"""),"2GB")</f>
        <v>2GB</v>
      </c>
      <c r="I747" s="2" t="str">
        <f ca="1">IFERROR(__xludf.DUMMYFUNCTION("""COMPUTED_VALUE"""),"32GB Flash Storage")</f>
        <v>32GB Flash Storage</v>
      </c>
      <c r="J747" s="2" t="str">
        <f ca="1">IFERROR(__xludf.DUMMYFUNCTION("""COMPUTED_VALUE"""),"Intel HD Graphics 400")</f>
        <v>Intel HD Graphics 400</v>
      </c>
      <c r="K747" s="2" t="str">
        <f ca="1">IFERROR(__xludf.DUMMYFUNCTION("""COMPUTED_VALUE"""),"Chrome OS")</f>
        <v>Chrome OS</v>
      </c>
      <c r="L747" s="2" t="str">
        <f ca="1">IFERROR(__xludf.DUMMYFUNCTION("""COMPUTED_VALUE"""),"1.68kg")</f>
        <v>1.68kg</v>
      </c>
      <c r="M747" s="2">
        <f ca="1">IFERROR(__xludf.DUMMYFUNCTION("""COMPUTED_VALUE"""),330)</f>
        <v>330</v>
      </c>
    </row>
    <row r="748" spans="1:13">
      <c r="A748" s="2">
        <f ca="1">IFERROR(__xludf.DUMMYFUNCTION("""COMPUTED_VALUE"""),754)</f>
        <v>754</v>
      </c>
      <c r="B748" s="2" t="str">
        <f ca="1">IFERROR(__xludf.DUMMYFUNCTION("""COMPUTED_VALUE"""),"Samsung")</f>
        <v>Samsung</v>
      </c>
      <c r="C748" s="2" t="str">
        <f ca="1">IFERROR(__xludf.DUMMYFUNCTION("""COMPUTED_VALUE"""),"Notebook 9")</f>
        <v>Notebook 9</v>
      </c>
      <c r="D748" s="2" t="str">
        <f ca="1">IFERROR(__xludf.DUMMYFUNCTION("""COMPUTED_VALUE"""),"Ultrabook")</f>
        <v>Ultrabook</v>
      </c>
      <c r="E748" s="2">
        <f ca="1">IFERROR(__xludf.DUMMYFUNCTION("""COMPUTED_VALUE"""),13.3)</f>
        <v>13.3</v>
      </c>
      <c r="F748" s="2" t="str">
        <f ca="1">IFERROR(__xludf.DUMMYFUNCTION("""COMPUTED_VALUE"""),"Full HD 1920x1080")</f>
        <v>Full HD 1920x1080</v>
      </c>
      <c r="G748" s="2" t="str">
        <f ca="1">IFERROR(__xludf.DUMMYFUNCTION("""COMPUTED_VALUE"""),"Intel Core i7 7500U 2.7GHz")</f>
        <v>Intel Core i7 7500U 2.7GHz</v>
      </c>
      <c r="H748" s="2" t="str">
        <f ca="1">IFERROR(__xludf.DUMMYFUNCTION("""COMPUTED_VALUE"""),"16GB")</f>
        <v>16GB</v>
      </c>
      <c r="I748" s="2" t="str">
        <f ca="1">IFERROR(__xludf.DUMMYFUNCTION("""COMPUTED_VALUE"""),"256GB SSD")</f>
        <v>256GB SSD</v>
      </c>
      <c r="J748" s="2" t="str">
        <f ca="1">IFERROR(__xludf.DUMMYFUNCTION("""COMPUTED_VALUE"""),"Intel HD Graphics 620")</f>
        <v>Intel HD Graphics 620</v>
      </c>
      <c r="K748" s="2" t="str">
        <f ca="1">IFERROR(__xludf.DUMMYFUNCTION("""COMPUTED_VALUE"""),"Windows 10")</f>
        <v>Windows 10</v>
      </c>
      <c r="L748" s="2" t="str">
        <f ca="1">IFERROR(__xludf.DUMMYFUNCTION("""COMPUTED_VALUE"""),"0.81kg")</f>
        <v>0.81kg</v>
      </c>
      <c r="M748" s="2">
        <f ca="1">IFERROR(__xludf.DUMMYFUNCTION("""COMPUTED_VALUE"""),1649)</f>
        <v>1649</v>
      </c>
    </row>
    <row r="749" spans="1:13">
      <c r="A749" s="2">
        <f ca="1">IFERROR(__xludf.DUMMYFUNCTION("""COMPUTED_VALUE"""),755)</f>
        <v>755</v>
      </c>
      <c r="B749" s="2" t="str">
        <f ca="1">IFERROR(__xludf.DUMMYFUNCTION("""COMPUTED_VALUE"""),"HP")</f>
        <v>HP</v>
      </c>
      <c r="C749" s="2" t="str">
        <f ca="1">IFERROR(__xludf.DUMMYFUNCTION("""COMPUTED_VALUE"""),"250 G6")</f>
        <v>250 G6</v>
      </c>
      <c r="D749" s="2" t="str">
        <f ca="1">IFERROR(__xludf.DUMMYFUNCTION("""COMPUTED_VALUE"""),"Notebook")</f>
        <v>Notebook</v>
      </c>
      <c r="E749" s="2">
        <f ca="1">IFERROR(__xludf.DUMMYFUNCTION("""COMPUTED_VALUE"""),15.6)</f>
        <v>15.6</v>
      </c>
      <c r="F749" s="2" t="str">
        <f ca="1">IFERROR(__xludf.DUMMYFUNCTION("""COMPUTED_VALUE"""),"Full HD 1920x1080")</f>
        <v>Full HD 1920x1080</v>
      </c>
      <c r="G749" s="2" t="str">
        <f ca="1">IFERROR(__xludf.DUMMYFUNCTION("""COMPUTED_VALUE"""),"Intel Core i3 6006U 2GHz")</f>
        <v>Intel Core i3 6006U 2GHz</v>
      </c>
      <c r="H749" s="2" t="str">
        <f ca="1">IFERROR(__xludf.DUMMYFUNCTION("""COMPUTED_VALUE"""),"8GB")</f>
        <v>8GB</v>
      </c>
      <c r="I749" s="2" t="str">
        <f ca="1">IFERROR(__xludf.DUMMYFUNCTION("""COMPUTED_VALUE"""),"256GB SSD")</f>
        <v>256GB SSD</v>
      </c>
      <c r="J749" s="2" t="str">
        <f ca="1">IFERROR(__xludf.DUMMYFUNCTION("""COMPUTED_VALUE"""),"Intel HD Graphics 520")</f>
        <v>Intel HD Graphics 520</v>
      </c>
      <c r="K749" s="2" t="str">
        <f ca="1">IFERROR(__xludf.DUMMYFUNCTION("""COMPUTED_VALUE"""),"Windows 10")</f>
        <v>Windows 10</v>
      </c>
      <c r="L749" s="2" t="str">
        <f ca="1">IFERROR(__xludf.DUMMYFUNCTION("""COMPUTED_VALUE"""),"1.86kg")</f>
        <v>1.86kg</v>
      </c>
      <c r="M749" s="2">
        <f ca="1">IFERROR(__xludf.DUMMYFUNCTION("""COMPUTED_VALUE"""),539)</f>
        <v>539</v>
      </c>
    </row>
    <row r="750" spans="1:13">
      <c r="A750" s="2">
        <f ca="1">IFERROR(__xludf.DUMMYFUNCTION("""COMPUTED_VALUE"""),757)</f>
        <v>757</v>
      </c>
      <c r="B750" s="2" t="str">
        <f ca="1">IFERROR(__xludf.DUMMYFUNCTION("""COMPUTED_VALUE"""),"Dell")</f>
        <v>Dell</v>
      </c>
      <c r="C750" s="2" t="str">
        <f ca="1">IFERROR(__xludf.DUMMYFUNCTION("""COMPUTED_VALUE"""),"Latitude 5480")</f>
        <v>Latitude 5480</v>
      </c>
      <c r="D750" s="2" t="str">
        <f ca="1">IFERROR(__xludf.DUMMYFUNCTION("""COMPUTED_VALUE"""),"Notebook")</f>
        <v>Notebook</v>
      </c>
      <c r="E750" s="2">
        <f ca="1">IFERROR(__xludf.DUMMYFUNCTION("""COMPUTED_VALUE"""),14)</f>
        <v>14</v>
      </c>
      <c r="F750" s="2" t="str">
        <f ca="1">IFERROR(__xludf.DUMMYFUNCTION("""COMPUTED_VALUE"""),"1366x768")</f>
        <v>1366x768</v>
      </c>
      <c r="G750" s="2" t="str">
        <f ca="1">IFERROR(__xludf.DUMMYFUNCTION("""COMPUTED_VALUE"""),"Intel Core i5 7200U 2.5GHz")</f>
        <v>Intel Core i5 7200U 2.5GHz</v>
      </c>
      <c r="H750" s="2" t="str">
        <f ca="1">IFERROR(__xludf.DUMMYFUNCTION("""COMPUTED_VALUE"""),"8GB")</f>
        <v>8GB</v>
      </c>
      <c r="I750" s="2" t="str">
        <f ca="1">IFERROR(__xludf.DUMMYFUNCTION("""COMPUTED_VALUE"""),"256GB SSD")</f>
        <v>256GB SSD</v>
      </c>
      <c r="J750" s="2" t="str">
        <f ca="1">IFERROR(__xludf.DUMMYFUNCTION("""COMPUTED_VALUE"""),"Intel HD Graphics 620")</f>
        <v>Intel HD Graphics 620</v>
      </c>
      <c r="K750" s="2" t="str">
        <f ca="1">IFERROR(__xludf.DUMMYFUNCTION("""COMPUTED_VALUE"""),"Windows 10")</f>
        <v>Windows 10</v>
      </c>
      <c r="L750" s="2" t="str">
        <f ca="1">IFERROR(__xludf.DUMMYFUNCTION("""COMPUTED_VALUE"""),"1.6kg")</f>
        <v>1.6kg</v>
      </c>
      <c r="M750" s="2">
        <f ca="1">IFERROR(__xludf.DUMMYFUNCTION("""COMPUTED_VALUE"""),1126.71)</f>
        <v>1126.71</v>
      </c>
    </row>
    <row r="751" spans="1:13">
      <c r="A751" s="2">
        <f ca="1">IFERROR(__xludf.DUMMYFUNCTION("""COMPUTED_VALUE"""),758)</f>
        <v>758</v>
      </c>
      <c r="B751" s="2" t="str">
        <f ca="1">IFERROR(__xludf.DUMMYFUNCTION("""COMPUTED_VALUE"""),"HP")</f>
        <v>HP</v>
      </c>
      <c r="C751" s="2" t="str">
        <f ca="1">IFERROR(__xludf.DUMMYFUNCTION("""COMPUTED_VALUE"""),"Zbook 17")</f>
        <v>Zbook 17</v>
      </c>
      <c r="D751" s="2" t="str">
        <f ca="1">IFERROR(__xludf.DUMMYFUNCTION("""COMPUTED_VALUE"""),"Workstation")</f>
        <v>Workstation</v>
      </c>
      <c r="E751" s="2">
        <f ca="1">IFERROR(__xludf.DUMMYFUNCTION("""COMPUTED_VALUE"""),17.3)</f>
        <v>17.3</v>
      </c>
      <c r="F751" s="2" t="str">
        <f ca="1">IFERROR(__xludf.DUMMYFUNCTION("""COMPUTED_VALUE"""),"IPS Panel Full HD 1920x1080")</f>
        <v>IPS Panel Full HD 1920x1080</v>
      </c>
      <c r="G751" s="2" t="str">
        <f ca="1">IFERROR(__xludf.DUMMYFUNCTION("""COMPUTED_VALUE"""),"Intel Xeon E3-1535M v5 2.9GHz")</f>
        <v>Intel Xeon E3-1535M v5 2.9GHz</v>
      </c>
      <c r="H751" s="2" t="str">
        <f ca="1">IFERROR(__xludf.DUMMYFUNCTION("""COMPUTED_VALUE"""),"16GB")</f>
        <v>16GB</v>
      </c>
      <c r="I751" s="2" t="str">
        <f ca="1">IFERROR(__xludf.DUMMYFUNCTION("""COMPUTED_VALUE"""),"256GB SSD")</f>
        <v>256GB SSD</v>
      </c>
      <c r="J751" s="2" t="str">
        <f ca="1">IFERROR(__xludf.DUMMYFUNCTION("""COMPUTED_VALUE"""),"Nvidia Quadro M2000M")</f>
        <v>Nvidia Quadro M2000M</v>
      </c>
      <c r="K751" s="2" t="str">
        <f ca="1">IFERROR(__xludf.DUMMYFUNCTION("""COMPUTED_VALUE"""),"Windows 7")</f>
        <v>Windows 7</v>
      </c>
      <c r="L751" s="2" t="str">
        <f ca="1">IFERROR(__xludf.DUMMYFUNCTION("""COMPUTED_VALUE"""),"3kg")</f>
        <v>3kg</v>
      </c>
      <c r="M751" s="2">
        <f ca="1">IFERROR(__xludf.DUMMYFUNCTION("""COMPUTED_VALUE"""),4389)</f>
        <v>4389</v>
      </c>
    </row>
    <row r="752" spans="1:13">
      <c r="A752" s="2">
        <f ca="1">IFERROR(__xludf.DUMMYFUNCTION("""COMPUTED_VALUE"""),759)</f>
        <v>759</v>
      </c>
      <c r="B752" s="2" t="str">
        <f ca="1">IFERROR(__xludf.DUMMYFUNCTION("""COMPUTED_VALUE"""),"Lenovo")</f>
        <v>Lenovo</v>
      </c>
      <c r="C752" s="2" t="str">
        <f ca="1">IFERROR(__xludf.DUMMYFUNCTION("""COMPUTED_VALUE"""),"N23 (N3060/4GB/128GB/W10)")</f>
        <v>N23 (N3060/4GB/128GB/W10)</v>
      </c>
      <c r="D752" s="2" t="str">
        <f ca="1">IFERROR(__xludf.DUMMYFUNCTION("""COMPUTED_VALUE"""),"Netbook")</f>
        <v>Netbook</v>
      </c>
      <c r="E752" s="2">
        <f ca="1">IFERROR(__xludf.DUMMYFUNCTION("""COMPUTED_VALUE"""),11.6)</f>
        <v>11.6</v>
      </c>
      <c r="F752" s="2" t="str">
        <f ca="1">IFERROR(__xludf.DUMMYFUNCTION("""COMPUTED_VALUE"""),"Touchscreen 1366x768")</f>
        <v>Touchscreen 1366x768</v>
      </c>
      <c r="G752" s="2" t="str">
        <f ca="1">IFERROR(__xludf.DUMMYFUNCTION("""COMPUTED_VALUE"""),"Intel Celeron Dual Core N3060 1.6GHz")</f>
        <v>Intel Celeron Dual Core N3060 1.6GHz</v>
      </c>
      <c r="H752" s="2" t="str">
        <f ca="1">IFERROR(__xludf.DUMMYFUNCTION("""COMPUTED_VALUE"""),"4GB")</f>
        <v>4GB</v>
      </c>
      <c r="I752" s="2" t="str">
        <f ca="1">IFERROR(__xludf.DUMMYFUNCTION("""COMPUTED_VALUE"""),"128GB SSD")</f>
        <v>128GB SSD</v>
      </c>
      <c r="J752" s="2" t="str">
        <f ca="1">IFERROR(__xludf.DUMMYFUNCTION("""COMPUTED_VALUE"""),"Intel HD Graphics 400")</f>
        <v>Intel HD Graphics 400</v>
      </c>
      <c r="K752" s="2" t="str">
        <f ca="1">IFERROR(__xludf.DUMMYFUNCTION("""COMPUTED_VALUE"""),"Windows 10")</f>
        <v>Windows 10</v>
      </c>
      <c r="L752" s="2" t="str">
        <f ca="1">IFERROR(__xludf.DUMMYFUNCTION("""COMPUTED_VALUE"""),"1.4kg")</f>
        <v>1.4kg</v>
      </c>
      <c r="M752" s="2">
        <f ca="1">IFERROR(__xludf.DUMMYFUNCTION("""COMPUTED_VALUE"""),475)</f>
        <v>475</v>
      </c>
    </row>
    <row r="753" spans="1:13">
      <c r="A753" s="2">
        <f ca="1">IFERROR(__xludf.DUMMYFUNCTION("""COMPUTED_VALUE"""),760)</f>
        <v>760</v>
      </c>
      <c r="B753" s="2" t="str">
        <f ca="1">IFERROR(__xludf.DUMMYFUNCTION("""COMPUTED_VALUE"""),"HP")</f>
        <v>HP</v>
      </c>
      <c r="C753" s="2" t="str">
        <f ca="1">IFERROR(__xludf.DUMMYFUNCTION("""COMPUTED_VALUE"""),"EliteBook 850")</f>
        <v>EliteBook 850</v>
      </c>
      <c r="D753" s="2" t="str">
        <f ca="1">IFERROR(__xludf.DUMMYFUNCTION("""COMPUTED_VALUE"""),"Notebook")</f>
        <v>Notebook</v>
      </c>
      <c r="E753" s="2">
        <f ca="1">IFERROR(__xludf.DUMMYFUNCTION("""COMPUTED_VALUE"""),15.6)</f>
        <v>15.6</v>
      </c>
      <c r="F753" s="2" t="str">
        <f ca="1">IFERROR(__xludf.DUMMYFUNCTION("""COMPUTED_VALUE"""),"Full HD 1920x1080")</f>
        <v>Full HD 1920x1080</v>
      </c>
      <c r="G753" s="2" t="str">
        <f ca="1">IFERROR(__xludf.DUMMYFUNCTION("""COMPUTED_VALUE"""),"Intel Core i5 6300U 2.4GHz")</f>
        <v>Intel Core i5 6300U 2.4GHz</v>
      </c>
      <c r="H753" s="2" t="str">
        <f ca="1">IFERROR(__xludf.DUMMYFUNCTION("""COMPUTED_VALUE"""),"8GB")</f>
        <v>8GB</v>
      </c>
      <c r="I753" s="2" t="str">
        <f ca="1">IFERROR(__xludf.DUMMYFUNCTION("""COMPUTED_VALUE"""),"256GB SSD")</f>
        <v>256GB SSD</v>
      </c>
      <c r="J753" s="2" t="str">
        <f ca="1">IFERROR(__xludf.DUMMYFUNCTION("""COMPUTED_VALUE"""),"Intel HD Graphics 520")</f>
        <v>Intel HD Graphics 520</v>
      </c>
      <c r="K753" s="2" t="str">
        <f ca="1">IFERROR(__xludf.DUMMYFUNCTION("""COMPUTED_VALUE"""),"Windows 10")</f>
        <v>Windows 10</v>
      </c>
      <c r="L753" s="2" t="str">
        <f ca="1">IFERROR(__xludf.DUMMYFUNCTION("""COMPUTED_VALUE"""),"1.84kg")</f>
        <v>1.84kg</v>
      </c>
      <c r="M753" s="2">
        <f ca="1">IFERROR(__xludf.DUMMYFUNCTION("""COMPUTED_VALUE"""),1900)</f>
        <v>1900</v>
      </c>
    </row>
    <row r="754" spans="1:13">
      <c r="A754" s="2">
        <f ca="1">IFERROR(__xludf.DUMMYFUNCTION("""COMPUTED_VALUE"""),761)</f>
        <v>761</v>
      </c>
      <c r="B754" s="2" t="str">
        <f ca="1">IFERROR(__xludf.DUMMYFUNCTION("""COMPUTED_VALUE"""),"Asus")</f>
        <v>Asus</v>
      </c>
      <c r="C754" s="2" t="str">
        <f ca="1">IFERROR(__xludf.DUMMYFUNCTION("""COMPUTED_VALUE"""),"X550VX-XX015D (i5-6300HQ/4GB/1TB/GeForce")</f>
        <v>X550VX-XX015D (i5-6300HQ/4GB/1TB/GeForce</v>
      </c>
      <c r="D754" s="2" t="str">
        <f ca="1">IFERROR(__xludf.DUMMYFUNCTION("""COMPUTED_VALUE"""),"Notebook")</f>
        <v>Notebook</v>
      </c>
      <c r="E754" s="2">
        <f ca="1">IFERROR(__xludf.DUMMYFUNCTION("""COMPUTED_VALUE"""),15.6)</f>
        <v>15.6</v>
      </c>
      <c r="F754" s="2" t="str">
        <f ca="1">IFERROR(__xludf.DUMMYFUNCTION("""COMPUTED_VALUE"""),"1366x768")</f>
        <v>1366x768</v>
      </c>
      <c r="G754" s="2" t="str">
        <f ca="1">IFERROR(__xludf.DUMMYFUNCTION("""COMPUTED_VALUE"""),"Intel Core i5 6300HQ 2.3GHz")</f>
        <v>Intel Core i5 6300HQ 2.3GHz</v>
      </c>
      <c r="H754" s="2" t="str">
        <f ca="1">IFERROR(__xludf.DUMMYFUNCTION("""COMPUTED_VALUE"""),"4GB")</f>
        <v>4GB</v>
      </c>
      <c r="I754" s="2" t="str">
        <f ca="1">IFERROR(__xludf.DUMMYFUNCTION("""COMPUTED_VALUE"""),"1TB HDD")</f>
        <v>1TB HDD</v>
      </c>
      <c r="J754" s="2" t="str">
        <f ca="1">IFERROR(__xludf.DUMMYFUNCTION("""COMPUTED_VALUE"""),"Nvidia GeForce GTX 950M")</f>
        <v>Nvidia GeForce GTX 950M</v>
      </c>
      <c r="K754" s="2" t="str">
        <f ca="1">IFERROR(__xludf.DUMMYFUNCTION("""COMPUTED_VALUE"""),"No OS")</f>
        <v>No OS</v>
      </c>
      <c r="L754" s="2" t="str">
        <f ca="1">IFERROR(__xludf.DUMMYFUNCTION("""COMPUTED_VALUE"""),"2.45kg")</f>
        <v>2.45kg</v>
      </c>
      <c r="M754" s="2">
        <f ca="1">IFERROR(__xludf.DUMMYFUNCTION("""COMPUTED_VALUE"""),579)</f>
        <v>579</v>
      </c>
    </row>
    <row r="755" spans="1:13">
      <c r="A755" s="2">
        <f ca="1">IFERROR(__xludf.DUMMYFUNCTION("""COMPUTED_VALUE"""),762)</f>
        <v>762</v>
      </c>
      <c r="B755" s="2" t="str">
        <f ca="1">IFERROR(__xludf.DUMMYFUNCTION("""COMPUTED_VALUE"""),"Lenovo")</f>
        <v>Lenovo</v>
      </c>
      <c r="C755" s="2" t="str">
        <f ca="1">IFERROR(__xludf.DUMMYFUNCTION("""COMPUTED_VALUE"""),"Thinkpad T460")</f>
        <v>Thinkpad T460</v>
      </c>
      <c r="D755" s="2" t="str">
        <f ca="1">IFERROR(__xludf.DUMMYFUNCTION("""COMPUTED_VALUE"""),"Ultrabook")</f>
        <v>Ultrabook</v>
      </c>
      <c r="E755" s="2">
        <f ca="1">IFERROR(__xludf.DUMMYFUNCTION("""COMPUTED_VALUE"""),14)</f>
        <v>14</v>
      </c>
      <c r="F755" s="2" t="str">
        <f ca="1">IFERROR(__xludf.DUMMYFUNCTION("""COMPUTED_VALUE"""),"Full HD 1920x1080")</f>
        <v>Full HD 1920x1080</v>
      </c>
      <c r="G755" s="2" t="str">
        <f ca="1">IFERROR(__xludf.DUMMYFUNCTION("""COMPUTED_VALUE"""),"Intel Core i5 6200U 2.3GHz")</f>
        <v>Intel Core i5 6200U 2.3GHz</v>
      </c>
      <c r="H755" s="2" t="str">
        <f ca="1">IFERROR(__xludf.DUMMYFUNCTION("""COMPUTED_VALUE"""),"4GB")</f>
        <v>4GB</v>
      </c>
      <c r="I755" s="2" t="str">
        <f ca="1">IFERROR(__xludf.DUMMYFUNCTION("""COMPUTED_VALUE"""),"180GB SSD")</f>
        <v>180GB SSD</v>
      </c>
      <c r="J755" s="2" t="str">
        <f ca="1">IFERROR(__xludf.DUMMYFUNCTION("""COMPUTED_VALUE"""),"Intel HD Graphics 520")</f>
        <v>Intel HD Graphics 520</v>
      </c>
      <c r="K755" s="2" t="str">
        <f ca="1">IFERROR(__xludf.DUMMYFUNCTION("""COMPUTED_VALUE"""),"Windows 10")</f>
        <v>Windows 10</v>
      </c>
      <c r="L755" s="2" t="str">
        <f ca="1">IFERROR(__xludf.DUMMYFUNCTION("""COMPUTED_VALUE"""),"1.7kg")</f>
        <v>1.7kg</v>
      </c>
      <c r="M755" s="2">
        <f ca="1">IFERROR(__xludf.DUMMYFUNCTION("""COMPUTED_VALUE"""),1096)</f>
        <v>1096</v>
      </c>
    </row>
    <row r="756" spans="1:13">
      <c r="A756" s="2">
        <f ca="1">IFERROR(__xludf.DUMMYFUNCTION("""COMPUTED_VALUE"""),763)</f>
        <v>763</v>
      </c>
      <c r="B756" s="2" t="str">
        <f ca="1">IFERROR(__xludf.DUMMYFUNCTION("""COMPUTED_VALUE"""),"Asus")</f>
        <v>Asus</v>
      </c>
      <c r="C756" s="2" t="str">
        <f ca="1">IFERROR(__xludf.DUMMYFUNCTION("""COMPUTED_VALUE"""),"Pro P2540UA-XO0192R")</f>
        <v>Pro P2540UA-XO0192R</v>
      </c>
      <c r="D756" s="2" t="str">
        <f ca="1">IFERROR(__xludf.DUMMYFUNCTION("""COMPUTED_VALUE"""),"Notebook")</f>
        <v>Notebook</v>
      </c>
      <c r="E756" s="2">
        <f ca="1">IFERROR(__xludf.DUMMYFUNCTION("""COMPUTED_VALUE"""),15.6)</f>
        <v>15.6</v>
      </c>
      <c r="F756" s="2" t="str">
        <f ca="1">IFERROR(__xludf.DUMMYFUNCTION("""COMPUTED_VALUE"""),"1366x768")</f>
        <v>1366x768</v>
      </c>
      <c r="G756" s="2" t="str">
        <f ca="1">IFERROR(__xludf.DUMMYFUNCTION("""COMPUTED_VALUE"""),"Intel Core i7 7500U 2.7GHz")</f>
        <v>Intel Core i7 7500U 2.7GHz</v>
      </c>
      <c r="H756" s="2" t="str">
        <f ca="1">IFERROR(__xludf.DUMMYFUNCTION("""COMPUTED_VALUE"""),"4GB")</f>
        <v>4GB</v>
      </c>
      <c r="I756" s="2" t="str">
        <f ca="1">IFERROR(__xludf.DUMMYFUNCTION("""COMPUTED_VALUE"""),"256GB SSD")</f>
        <v>256GB SSD</v>
      </c>
      <c r="J756" s="2" t="str">
        <f ca="1">IFERROR(__xludf.DUMMYFUNCTION("""COMPUTED_VALUE"""),"Intel HD Graphics 620")</f>
        <v>Intel HD Graphics 620</v>
      </c>
      <c r="K756" s="2" t="str">
        <f ca="1">IFERROR(__xludf.DUMMYFUNCTION("""COMPUTED_VALUE"""),"Windows 10")</f>
        <v>Windows 10</v>
      </c>
      <c r="L756" s="2" t="str">
        <f ca="1">IFERROR(__xludf.DUMMYFUNCTION("""COMPUTED_VALUE"""),"2.37kg")</f>
        <v>2.37kg</v>
      </c>
      <c r="M756" s="2">
        <f ca="1">IFERROR(__xludf.DUMMYFUNCTION("""COMPUTED_VALUE"""),849.9)</f>
        <v>849.9</v>
      </c>
    </row>
    <row r="757" spans="1:13">
      <c r="A757" s="2">
        <f ca="1">IFERROR(__xludf.DUMMYFUNCTION("""COMPUTED_VALUE"""),764)</f>
        <v>764</v>
      </c>
      <c r="B757" s="2" t="str">
        <f ca="1">IFERROR(__xludf.DUMMYFUNCTION("""COMPUTED_VALUE"""),"Lenovo")</f>
        <v>Lenovo</v>
      </c>
      <c r="C757" s="2" t="str">
        <f ca="1">IFERROR(__xludf.DUMMYFUNCTION("""COMPUTED_VALUE"""),"Yoga 900-13ISK")</f>
        <v>Yoga 900-13ISK</v>
      </c>
      <c r="D757" s="2" t="str">
        <f ca="1">IFERROR(__xludf.DUMMYFUNCTION("""COMPUTED_VALUE"""),"2 in 1 Convertible")</f>
        <v>2 in 1 Convertible</v>
      </c>
      <c r="E757" s="2">
        <f ca="1">IFERROR(__xludf.DUMMYFUNCTION("""COMPUTED_VALUE"""),13.3)</f>
        <v>13.3</v>
      </c>
      <c r="F757" s="2" t="str">
        <f ca="1">IFERROR(__xludf.DUMMYFUNCTION("""COMPUTED_VALUE"""),"IPS Panel Quad HD+ / Touchscreen 3200x1800")</f>
        <v>IPS Panel Quad HD+ / Touchscreen 3200x1800</v>
      </c>
      <c r="G757" s="2" t="str">
        <f ca="1">IFERROR(__xludf.DUMMYFUNCTION("""COMPUTED_VALUE"""),"Intel Core i5 6260U 1.8GHz")</f>
        <v>Intel Core i5 6260U 1.8GHz</v>
      </c>
      <c r="H757" s="2" t="str">
        <f ca="1">IFERROR(__xludf.DUMMYFUNCTION("""COMPUTED_VALUE"""),"8GB")</f>
        <v>8GB</v>
      </c>
      <c r="I757" s="2" t="str">
        <f ca="1">IFERROR(__xludf.DUMMYFUNCTION("""COMPUTED_VALUE"""),"256GB SSD")</f>
        <v>256GB SSD</v>
      </c>
      <c r="J757" s="2" t="str">
        <f ca="1">IFERROR(__xludf.DUMMYFUNCTION("""COMPUTED_VALUE"""),"Intel HD Graphics 540")</f>
        <v>Intel HD Graphics 540</v>
      </c>
      <c r="K757" s="2" t="str">
        <f ca="1">IFERROR(__xludf.DUMMYFUNCTION("""COMPUTED_VALUE"""),"Windows 10")</f>
        <v>Windows 10</v>
      </c>
      <c r="L757" s="2" t="str">
        <f ca="1">IFERROR(__xludf.DUMMYFUNCTION("""COMPUTED_VALUE"""),"1.3kg")</f>
        <v>1.3kg</v>
      </c>
      <c r="M757" s="2">
        <f ca="1">IFERROR(__xludf.DUMMYFUNCTION("""COMPUTED_VALUE"""),1199)</f>
        <v>1199</v>
      </c>
    </row>
    <row r="758" spans="1:13">
      <c r="A758" s="2">
        <f ca="1">IFERROR(__xludf.DUMMYFUNCTION("""COMPUTED_VALUE"""),765)</f>
        <v>765</v>
      </c>
      <c r="B758" s="2" t="str">
        <f ca="1">IFERROR(__xludf.DUMMYFUNCTION("""COMPUTED_VALUE"""),"HP")</f>
        <v>HP</v>
      </c>
      <c r="C758" s="2" t="str">
        <f ca="1">IFERROR(__xludf.DUMMYFUNCTION("""COMPUTED_VALUE"""),"15-cb003na (i5-7300HQ/8GB/1TB")</f>
        <v>15-cb003na (i5-7300HQ/8GB/1TB</v>
      </c>
      <c r="D758" s="2" t="str">
        <f ca="1">IFERROR(__xludf.DUMMYFUNCTION("""COMPUTED_VALUE"""),"Notebook")</f>
        <v>Notebook</v>
      </c>
      <c r="E758" s="2">
        <f ca="1">IFERROR(__xludf.DUMMYFUNCTION("""COMPUTED_VALUE"""),15.6)</f>
        <v>15.6</v>
      </c>
      <c r="F758" s="2" t="str">
        <f ca="1">IFERROR(__xludf.DUMMYFUNCTION("""COMPUTED_VALUE"""),"IPS Panel Full HD 1920x1080")</f>
        <v>IPS Panel Full HD 1920x1080</v>
      </c>
      <c r="G758" s="2" t="str">
        <f ca="1">IFERROR(__xludf.DUMMYFUNCTION("""COMPUTED_VALUE"""),"Intel Core i5 7300HQ 2.5GHz")</f>
        <v>Intel Core i5 7300HQ 2.5GHz</v>
      </c>
      <c r="H758" s="2" t="str">
        <f ca="1">IFERROR(__xludf.DUMMYFUNCTION("""COMPUTED_VALUE"""),"8GB")</f>
        <v>8GB</v>
      </c>
      <c r="I758" s="2" t="str">
        <f ca="1">IFERROR(__xludf.DUMMYFUNCTION("""COMPUTED_VALUE"""),"128GB SSD +  1TB HDD")</f>
        <v>128GB SSD +  1TB HDD</v>
      </c>
      <c r="J758" s="2" t="str">
        <f ca="1">IFERROR(__xludf.DUMMYFUNCTION("""COMPUTED_VALUE"""),"Nvidia GeForce GTX 1050")</f>
        <v>Nvidia GeForce GTX 1050</v>
      </c>
      <c r="K758" s="2" t="str">
        <f ca="1">IFERROR(__xludf.DUMMYFUNCTION("""COMPUTED_VALUE"""),"Windows 10")</f>
        <v>Windows 10</v>
      </c>
      <c r="L758" s="2" t="str">
        <f ca="1">IFERROR(__xludf.DUMMYFUNCTION("""COMPUTED_VALUE"""),"2.2kg")</f>
        <v>2.2kg</v>
      </c>
      <c r="M758" s="2">
        <f ca="1">IFERROR(__xludf.DUMMYFUNCTION("""COMPUTED_VALUE"""),1099)</f>
        <v>1099</v>
      </c>
    </row>
    <row r="759" spans="1:13">
      <c r="A759" s="2">
        <f ca="1">IFERROR(__xludf.DUMMYFUNCTION("""COMPUTED_VALUE"""),766)</f>
        <v>766</v>
      </c>
      <c r="B759" s="2" t="str">
        <f ca="1">IFERROR(__xludf.DUMMYFUNCTION("""COMPUTED_VALUE"""),"HP")</f>
        <v>HP</v>
      </c>
      <c r="C759" s="2" t="str">
        <f ca="1">IFERROR(__xludf.DUMMYFUNCTION("""COMPUTED_VALUE"""),"ZBook 15")</f>
        <v>ZBook 15</v>
      </c>
      <c r="D759" s="2" t="str">
        <f ca="1">IFERROR(__xludf.DUMMYFUNCTION("""COMPUTED_VALUE"""),"Workstation")</f>
        <v>Workstation</v>
      </c>
      <c r="E759" s="2">
        <f ca="1">IFERROR(__xludf.DUMMYFUNCTION("""COMPUTED_VALUE"""),15.6)</f>
        <v>15.6</v>
      </c>
      <c r="F759" s="2" t="str">
        <f ca="1">IFERROR(__xludf.DUMMYFUNCTION("""COMPUTED_VALUE"""),"Full HD 1920x1080")</f>
        <v>Full HD 1920x1080</v>
      </c>
      <c r="G759" s="2" t="str">
        <f ca="1">IFERROR(__xludf.DUMMYFUNCTION("""COMPUTED_VALUE"""),"Intel Core i7 6700HQ 2.6GHz")</f>
        <v>Intel Core i7 6700HQ 2.6GHz</v>
      </c>
      <c r="H759" s="2" t="str">
        <f ca="1">IFERROR(__xludf.DUMMYFUNCTION("""COMPUTED_VALUE"""),"8GB")</f>
        <v>8GB</v>
      </c>
      <c r="I759" s="2" t="str">
        <f ca="1">IFERROR(__xludf.DUMMYFUNCTION("""COMPUTED_VALUE"""),"256GB SSD")</f>
        <v>256GB SSD</v>
      </c>
      <c r="J759" s="2" t="str">
        <f ca="1">IFERROR(__xludf.DUMMYFUNCTION("""COMPUTED_VALUE"""),"Nvidia Quadro M1000M")</f>
        <v>Nvidia Quadro M1000M</v>
      </c>
      <c r="K759" s="2" t="str">
        <f ca="1">IFERROR(__xludf.DUMMYFUNCTION("""COMPUTED_VALUE"""),"Windows 7")</f>
        <v>Windows 7</v>
      </c>
      <c r="L759" s="2" t="str">
        <f ca="1">IFERROR(__xludf.DUMMYFUNCTION("""COMPUTED_VALUE"""),"2.59kg")</f>
        <v>2.59kg</v>
      </c>
      <c r="M759" s="2">
        <f ca="1">IFERROR(__xludf.DUMMYFUNCTION("""COMPUTED_VALUE"""),1561)</f>
        <v>1561</v>
      </c>
    </row>
    <row r="760" spans="1:13">
      <c r="A760" s="2">
        <f ca="1">IFERROR(__xludf.DUMMYFUNCTION("""COMPUTED_VALUE"""),767)</f>
        <v>767</v>
      </c>
      <c r="B760" s="2" t="str">
        <f ca="1">IFERROR(__xludf.DUMMYFUNCTION("""COMPUTED_VALUE"""),"Dell")</f>
        <v>Dell</v>
      </c>
      <c r="C760" s="2" t="str">
        <f ca="1">IFERROR(__xludf.DUMMYFUNCTION("""COMPUTED_VALUE"""),"Alienware 17")</f>
        <v>Alienware 17</v>
      </c>
      <c r="D760" s="2" t="str">
        <f ca="1">IFERROR(__xludf.DUMMYFUNCTION("""COMPUTED_VALUE"""),"Gaming")</f>
        <v>Gaming</v>
      </c>
      <c r="E760" s="2">
        <f ca="1">IFERROR(__xludf.DUMMYFUNCTION("""COMPUTED_VALUE"""),15.6)</f>
        <v>15.6</v>
      </c>
      <c r="F760" s="2" t="str">
        <f ca="1">IFERROR(__xludf.DUMMYFUNCTION("""COMPUTED_VALUE"""),"IPS Panel 4K Ultra HD 3840x2160")</f>
        <v>IPS Panel 4K Ultra HD 3840x2160</v>
      </c>
      <c r="G760" s="2" t="str">
        <f ca="1">IFERROR(__xludf.DUMMYFUNCTION("""COMPUTED_VALUE"""),"Intel Core i7 7700HQ 2.8GHz")</f>
        <v>Intel Core i7 7700HQ 2.8GHz</v>
      </c>
      <c r="H760" s="2" t="str">
        <f ca="1">IFERROR(__xludf.DUMMYFUNCTION("""COMPUTED_VALUE"""),"16GB")</f>
        <v>16GB</v>
      </c>
      <c r="I760" s="2" t="str">
        <f ca="1">IFERROR(__xludf.DUMMYFUNCTION("""COMPUTED_VALUE"""),"256GB SSD +  1TB HDD")</f>
        <v>256GB SSD +  1TB HDD</v>
      </c>
      <c r="J760" s="2" t="str">
        <f ca="1">IFERROR(__xludf.DUMMYFUNCTION("""COMPUTED_VALUE"""),"Nvidia GeForce GTX 1070")</f>
        <v>Nvidia GeForce GTX 1070</v>
      </c>
      <c r="K760" s="2" t="str">
        <f ca="1">IFERROR(__xludf.DUMMYFUNCTION("""COMPUTED_VALUE"""),"Windows 10")</f>
        <v>Windows 10</v>
      </c>
      <c r="L760" s="2" t="str">
        <f ca="1">IFERROR(__xludf.DUMMYFUNCTION("""COMPUTED_VALUE"""),"4.42kg")</f>
        <v>4.42kg</v>
      </c>
      <c r="M760" s="2">
        <f ca="1">IFERROR(__xludf.DUMMYFUNCTION("""COMPUTED_VALUE"""),2868.99)</f>
        <v>2868.99</v>
      </c>
    </row>
    <row r="761" spans="1:13">
      <c r="A761" s="2">
        <f ca="1">IFERROR(__xludf.DUMMYFUNCTION("""COMPUTED_VALUE"""),768)</f>
        <v>768</v>
      </c>
      <c r="B761" s="2" t="str">
        <f ca="1">IFERROR(__xludf.DUMMYFUNCTION("""COMPUTED_VALUE"""),"Acer")</f>
        <v>Acer</v>
      </c>
      <c r="C761" s="2" t="str">
        <f ca="1">IFERROR(__xludf.DUMMYFUNCTION("""COMPUTED_VALUE"""),"Aspire 3")</f>
        <v>Aspire 3</v>
      </c>
      <c r="D761" s="2" t="str">
        <f ca="1">IFERROR(__xludf.DUMMYFUNCTION("""COMPUTED_VALUE"""),"Notebook")</f>
        <v>Notebook</v>
      </c>
      <c r="E761" s="2">
        <f ca="1">IFERROR(__xludf.DUMMYFUNCTION("""COMPUTED_VALUE"""),15.6)</f>
        <v>15.6</v>
      </c>
      <c r="F761" s="2" t="str">
        <f ca="1">IFERROR(__xludf.DUMMYFUNCTION("""COMPUTED_VALUE"""),"1366x768")</f>
        <v>1366x768</v>
      </c>
      <c r="G761" s="2" t="str">
        <f ca="1">IFERROR(__xludf.DUMMYFUNCTION("""COMPUTED_VALUE"""),"Intel Core i5 7200U 2.5GHz")</f>
        <v>Intel Core i5 7200U 2.5GHz</v>
      </c>
      <c r="H761" s="2" t="str">
        <f ca="1">IFERROR(__xludf.DUMMYFUNCTION("""COMPUTED_VALUE"""),"4GB")</f>
        <v>4GB</v>
      </c>
      <c r="I761" s="2" t="str">
        <f ca="1">IFERROR(__xludf.DUMMYFUNCTION("""COMPUTED_VALUE"""),"256GB SSD")</f>
        <v>256GB SSD</v>
      </c>
      <c r="J761" s="2" t="str">
        <f ca="1">IFERROR(__xludf.DUMMYFUNCTION("""COMPUTED_VALUE"""),"Intel HD Graphics 620")</f>
        <v>Intel HD Graphics 620</v>
      </c>
      <c r="K761" s="2" t="str">
        <f ca="1">IFERROR(__xludf.DUMMYFUNCTION("""COMPUTED_VALUE"""),"Windows 10")</f>
        <v>Windows 10</v>
      </c>
      <c r="L761" s="2" t="str">
        <f ca="1">IFERROR(__xludf.DUMMYFUNCTION("""COMPUTED_VALUE"""),"2.1kg")</f>
        <v>2.1kg</v>
      </c>
      <c r="M761" s="2">
        <f ca="1">IFERROR(__xludf.DUMMYFUNCTION("""COMPUTED_VALUE"""),599)</f>
        <v>599</v>
      </c>
    </row>
    <row r="762" spans="1:13">
      <c r="A762" s="2">
        <f ca="1">IFERROR(__xludf.DUMMYFUNCTION("""COMPUTED_VALUE"""),769)</f>
        <v>769</v>
      </c>
      <c r="B762" s="2" t="str">
        <f ca="1">IFERROR(__xludf.DUMMYFUNCTION("""COMPUTED_VALUE"""),"Lenovo")</f>
        <v>Lenovo</v>
      </c>
      <c r="C762" s="2" t="str">
        <f ca="1">IFERROR(__xludf.DUMMYFUNCTION("""COMPUTED_VALUE"""),"Legion Y520-15IKBN")</f>
        <v>Legion Y520-15IKBN</v>
      </c>
      <c r="D762" s="2" t="str">
        <f ca="1">IFERROR(__xludf.DUMMYFUNCTION("""COMPUTED_VALUE"""),"Gaming")</f>
        <v>Gaming</v>
      </c>
      <c r="E762" s="2">
        <f ca="1">IFERROR(__xludf.DUMMYFUNCTION("""COMPUTED_VALUE"""),15.6)</f>
        <v>15.6</v>
      </c>
      <c r="F762" s="2" t="str">
        <f ca="1">IFERROR(__xludf.DUMMYFUNCTION("""COMPUTED_VALUE"""),"IPS Panel Full HD 1920x1080")</f>
        <v>IPS Panel Full HD 1920x1080</v>
      </c>
      <c r="G762" s="2" t="str">
        <f ca="1">IFERROR(__xludf.DUMMYFUNCTION("""COMPUTED_VALUE"""),"Intel Core i7 7700HQ 2.8GHz")</f>
        <v>Intel Core i7 7700HQ 2.8GHz</v>
      </c>
      <c r="H762" s="2" t="str">
        <f ca="1">IFERROR(__xludf.DUMMYFUNCTION("""COMPUTED_VALUE"""),"8GB")</f>
        <v>8GB</v>
      </c>
      <c r="I762" s="2" t="str">
        <f ca="1">IFERROR(__xludf.DUMMYFUNCTION("""COMPUTED_VALUE"""),"128GB SSD +  1TB HDD")</f>
        <v>128GB SSD +  1TB HDD</v>
      </c>
      <c r="J762" s="2" t="str">
        <f ca="1">IFERROR(__xludf.DUMMYFUNCTION("""COMPUTED_VALUE"""),"Nvidia GeForce GTX 1050")</f>
        <v>Nvidia GeForce GTX 1050</v>
      </c>
      <c r="K762" s="2" t="str">
        <f ca="1">IFERROR(__xludf.DUMMYFUNCTION("""COMPUTED_VALUE"""),"Windows 10")</f>
        <v>Windows 10</v>
      </c>
      <c r="L762" s="2" t="str">
        <f ca="1">IFERROR(__xludf.DUMMYFUNCTION("""COMPUTED_VALUE"""),"2.5kg")</f>
        <v>2.5kg</v>
      </c>
      <c r="M762" s="2">
        <f ca="1">IFERROR(__xludf.DUMMYFUNCTION("""COMPUTED_VALUE"""),1048)</f>
        <v>1048</v>
      </c>
    </row>
    <row r="763" spans="1:13">
      <c r="A763" s="2">
        <f ca="1">IFERROR(__xludf.DUMMYFUNCTION("""COMPUTED_VALUE"""),770)</f>
        <v>770</v>
      </c>
      <c r="B763" s="2" t="str">
        <f ca="1">IFERROR(__xludf.DUMMYFUNCTION("""COMPUTED_VALUE"""),"Dell")</f>
        <v>Dell</v>
      </c>
      <c r="C763" s="2" t="str">
        <f ca="1">IFERROR(__xludf.DUMMYFUNCTION("""COMPUTED_VALUE"""),"Latitude 7280")</f>
        <v>Latitude 7280</v>
      </c>
      <c r="D763" s="2" t="str">
        <f ca="1">IFERROR(__xludf.DUMMYFUNCTION("""COMPUTED_VALUE"""),"Ultrabook")</f>
        <v>Ultrabook</v>
      </c>
      <c r="E763" s="2">
        <f ca="1">IFERROR(__xludf.DUMMYFUNCTION("""COMPUTED_VALUE"""),12.5)</f>
        <v>12.5</v>
      </c>
      <c r="F763" s="2" t="str">
        <f ca="1">IFERROR(__xludf.DUMMYFUNCTION("""COMPUTED_VALUE"""),"Full HD 1920x1080")</f>
        <v>Full HD 1920x1080</v>
      </c>
      <c r="G763" s="2" t="str">
        <f ca="1">IFERROR(__xludf.DUMMYFUNCTION("""COMPUTED_VALUE"""),"Intel Core i7 7600U 2.8GHz")</f>
        <v>Intel Core i7 7600U 2.8GHz</v>
      </c>
      <c r="H763" s="2" t="str">
        <f ca="1">IFERROR(__xludf.DUMMYFUNCTION("""COMPUTED_VALUE"""),"16GB")</f>
        <v>16GB</v>
      </c>
      <c r="I763" s="2" t="str">
        <f ca="1">IFERROR(__xludf.DUMMYFUNCTION("""COMPUTED_VALUE"""),"256GB SSD")</f>
        <v>256GB SSD</v>
      </c>
      <c r="J763" s="2" t="str">
        <f ca="1">IFERROR(__xludf.DUMMYFUNCTION("""COMPUTED_VALUE"""),"Intel HD Graphics 620")</f>
        <v>Intel HD Graphics 620</v>
      </c>
      <c r="K763" s="2" t="str">
        <f ca="1">IFERROR(__xludf.DUMMYFUNCTION("""COMPUTED_VALUE"""),"Windows 10")</f>
        <v>Windows 10</v>
      </c>
      <c r="L763" s="2" t="str">
        <f ca="1">IFERROR(__xludf.DUMMYFUNCTION("""COMPUTED_VALUE"""),"1.18kg")</f>
        <v>1.18kg</v>
      </c>
      <c r="M763" s="2">
        <f ca="1">IFERROR(__xludf.DUMMYFUNCTION("""COMPUTED_VALUE"""),1859)</f>
        <v>1859</v>
      </c>
    </row>
    <row r="764" spans="1:13">
      <c r="A764" s="2">
        <f ca="1">IFERROR(__xludf.DUMMYFUNCTION("""COMPUTED_VALUE"""),771)</f>
        <v>771</v>
      </c>
      <c r="B764" s="2" t="str">
        <f ca="1">IFERROR(__xludf.DUMMYFUNCTION("""COMPUTED_VALUE"""),"Google")</f>
        <v>Google</v>
      </c>
      <c r="C764" s="2" t="str">
        <f ca="1">IFERROR(__xludf.DUMMYFUNCTION("""COMPUTED_VALUE"""),"Pixelbook (Core")</f>
        <v>Pixelbook (Core</v>
      </c>
      <c r="D764" s="2" t="str">
        <f ca="1">IFERROR(__xludf.DUMMYFUNCTION("""COMPUTED_VALUE"""),"Ultrabook")</f>
        <v>Ultrabook</v>
      </c>
      <c r="E764" s="2">
        <f ca="1">IFERROR(__xludf.DUMMYFUNCTION("""COMPUTED_VALUE"""),12.3)</f>
        <v>12.3</v>
      </c>
      <c r="F764" s="2" t="str">
        <f ca="1">IFERROR(__xludf.DUMMYFUNCTION("""COMPUTED_VALUE"""),"Touchscreen 2400x1600")</f>
        <v>Touchscreen 2400x1600</v>
      </c>
      <c r="G764" s="2" t="str">
        <f ca="1">IFERROR(__xludf.DUMMYFUNCTION("""COMPUTED_VALUE"""),"Intel Core i5 7Y57 1.2GHz")</f>
        <v>Intel Core i5 7Y57 1.2GHz</v>
      </c>
      <c r="H764" s="2" t="str">
        <f ca="1">IFERROR(__xludf.DUMMYFUNCTION("""COMPUTED_VALUE"""),"8GB")</f>
        <v>8GB</v>
      </c>
      <c r="I764" s="2" t="str">
        <f ca="1">IFERROR(__xludf.DUMMYFUNCTION("""COMPUTED_VALUE"""),"256GB SSD")</f>
        <v>256GB SSD</v>
      </c>
      <c r="J764" s="2" t="str">
        <f ca="1">IFERROR(__xludf.DUMMYFUNCTION("""COMPUTED_VALUE"""),"Intel HD Graphics 615")</f>
        <v>Intel HD Graphics 615</v>
      </c>
      <c r="K764" s="2" t="str">
        <f ca="1">IFERROR(__xludf.DUMMYFUNCTION("""COMPUTED_VALUE"""),"Chrome OS")</f>
        <v>Chrome OS</v>
      </c>
      <c r="L764" s="2" t="str">
        <f ca="1">IFERROR(__xludf.DUMMYFUNCTION("""COMPUTED_VALUE"""),"1.1kg")</f>
        <v>1.1kg</v>
      </c>
      <c r="M764" s="2">
        <f ca="1">IFERROR(__xludf.DUMMYFUNCTION("""COMPUTED_VALUE"""),1559)</f>
        <v>1559</v>
      </c>
    </row>
    <row r="765" spans="1:13">
      <c r="A765" s="2">
        <f ca="1">IFERROR(__xludf.DUMMYFUNCTION("""COMPUTED_VALUE"""),772)</f>
        <v>772</v>
      </c>
      <c r="B765" s="2" t="str">
        <f ca="1">IFERROR(__xludf.DUMMYFUNCTION("""COMPUTED_VALUE"""),"Asus")</f>
        <v>Asus</v>
      </c>
      <c r="C765" s="2" t="str">
        <f ca="1">IFERROR(__xludf.DUMMYFUNCTION("""COMPUTED_VALUE"""),"Zenbook UX330UA-AH5Q")</f>
        <v>Zenbook UX330UA-AH5Q</v>
      </c>
      <c r="D765" s="2" t="str">
        <f ca="1">IFERROR(__xludf.DUMMYFUNCTION("""COMPUTED_VALUE"""),"Ultrabook")</f>
        <v>Ultrabook</v>
      </c>
      <c r="E765" s="2">
        <f ca="1">IFERROR(__xludf.DUMMYFUNCTION("""COMPUTED_VALUE"""),13.3)</f>
        <v>13.3</v>
      </c>
      <c r="F765" s="2" t="str">
        <f ca="1">IFERROR(__xludf.DUMMYFUNCTION("""COMPUTED_VALUE"""),"IPS Panel Quad HD+ 3200x1800")</f>
        <v>IPS Panel Quad HD+ 3200x1800</v>
      </c>
      <c r="G765" s="2" t="str">
        <f ca="1">IFERROR(__xludf.DUMMYFUNCTION("""COMPUTED_VALUE"""),"Intel Core i5 7200U 2.5GHz")</f>
        <v>Intel Core i5 7200U 2.5GHz</v>
      </c>
      <c r="H765" s="2" t="str">
        <f ca="1">IFERROR(__xludf.DUMMYFUNCTION("""COMPUTED_VALUE"""),"8GB")</f>
        <v>8GB</v>
      </c>
      <c r="I765" s="2" t="str">
        <f ca="1">IFERROR(__xludf.DUMMYFUNCTION("""COMPUTED_VALUE"""),"256GB SSD")</f>
        <v>256GB SSD</v>
      </c>
      <c r="J765" s="2" t="str">
        <f ca="1">IFERROR(__xludf.DUMMYFUNCTION("""COMPUTED_VALUE"""),"Intel HD Graphics 620")</f>
        <v>Intel HD Graphics 620</v>
      </c>
      <c r="K765" s="2" t="str">
        <f ca="1">IFERROR(__xludf.DUMMYFUNCTION("""COMPUTED_VALUE"""),"Windows 10")</f>
        <v>Windows 10</v>
      </c>
      <c r="L765" s="2" t="str">
        <f ca="1">IFERROR(__xludf.DUMMYFUNCTION("""COMPUTED_VALUE"""),"1.2kg")</f>
        <v>1.2kg</v>
      </c>
      <c r="M765" s="2">
        <f ca="1">IFERROR(__xludf.DUMMYFUNCTION("""COMPUTED_VALUE"""),1129)</f>
        <v>1129</v>
      </c>
    </row>
    <row r="766" spans="1:13">
      <c r="A766" s="2">
        <f ca="1">IFERROR(__xludf.DUMMYFUNCTION("""COMPUTED_VALUE"""),773)</f>
        <v>773</v>
      </c>
      <c r="B766" s="2" t="str">
        <f ca="1">IFERROR(__xludf.DUMMYFUNCTION("""COMPUTED_VALUE"""),"Dell")</f>
        <v>Dell</v>
      </c>
      <c r="C766" s="2" t="str">
        <f ca="1">IFERROR(__xludf.DUMMYFUNCTION("""COMPUTED_VALUE"""),"Latitude 3380")</f>
        <v>Latitude 3380</v>
      </c>
      <c r="D766" s="2" t="str">
        <f ca="1">IFERROR(__xludf.DUMMYFUNCTION("""COMPUTED_VALUE"""),"Notebook")</f>
        <v>Notebook</v>
      </c>
      <c r="E766" s="2">
        <f ca="1">IFERROR(__xludf.DUMMYFUNCTION("""COMPUTED_VALUE"""),13.3)</f>
        <v>13.3</v>
      </c>
      <c r="F766" s="2" t="str">
        <f ca="1">IFERROR(__xludf.DUMMYFUNCTION("""COMPUTED_VALUE"""),"1366x768")</f>
        <v>1366x768</v>
      </c>
      <c r="G766" s="2" t="str">
        <f ca="1">IFERROR(__xludf.DUMMYFUNCTION("""COMPUTED_VALUE"""),"Intel Core i3 6006U 2GHz")</f>
        <v>Intel Core i3 6006U 2GHz</v>
      </c>
      <c r="H766" s="2" t="str">
        <f ca="1">IFERROR(__xludf.DUMMYFUNCTION("""COMPUTED_VALUE"""),"4GB")</f>
        <v>4GB</v>
      </c>
      <c r="I766" s="2" t="str">
        <f ca="1">IFERROR(__xludf.DUMMYFUNCTION("""COMPUTED_VALUE"""),"500GB HDD")</f>
        <v>500GB HDD</v>
      </c>
      <c r="J766" s="2" t="str">
        <f ca="1">IFERROR(__xludf.DUMMYFUNCTION("""COMPUTED_VALUE"""),"Intel HD Graphics 520")</f>
        <v>Intel HD Graphics 520</v>
      </c>
      <c r="K766" s="2" t="str">
        <f ca="1">IFERROR(__xludf.DUMMYFUNCTION("""COMPUTED_VALUE"""),"Windows 10")</f>
        <v>Windows 10</v>
      </c>
      <c r="L766" s="2" t="str">
        <f ca="1">IFERROR(__xludf.DUMMYFUNCTION("""COMPUTED_VALUE"""),"1.65kg")</f>
        <v>1.65kg</v>
      </c>
      <c r="M766" s="2">
        <f ca="1">IFERROR(__xludf.DUMMYFUNCTION("""COMPUTED_VALUE"""),849)</f>
        <v>849</v>
      </c>
    </row>
    <row r="767" spans="1:13">
      <c r="A767" s="2">
        <f ca="1">IFERROR(__xludf.DUMMYFUNCTION("""COMPUTED_VALUE"""),774)</f>
        <v>774</v>
      </c>
      <c r="B767" s="2" t="str">
        <f ca="1">IFERROR(__xludf.DUMMYFUNCTION("""COMPUTED_VALUE"""),"Acer")</f>
        <v>Acer</v>
      </c>
      <c r="C767" s="2" t="str">
        <f ca="1">IFERROR(__xludf.DUMMYFUNCTION("""COMPUTED_VALUE"""),"TravelMate P238-M")</f>
        <v>TravelMate P238-M</v>
      </c>
      <c r="D767" s="2" t="str">
        <f ca="1">IFERROR(__xludf.DUMMYFUNCTION("""COMPUTED_VALUE"""),"Notebook")</f>
        <v>Notebook</v>
      </c>
      <c r="E767" s="2">
        <f ca="1">IFERROR(__xludf.DUMMYFUNCTION("""COMPUTED_VALUE"""),13.3)</f>
        <v>13.3</v>
      </c>
      <c r="F767" s="2" t="str">
        <f ca="1">IFERROR(__xludf.DUMMYFUNCTION("""COMPUTED_VALUE"""),"1366x768")</f>
        <v>1366x768</v>
      </c>
      <c r="G767" s="2" t="str">
        <f ca="1">IFERROR(__xludf.DUMMYFUNCTION("""COMPUTED_VALUE"""),"Intel Core i5 6200U 2.3GHz")</f>
        <v>Intel Core i5 6200U 2.3GHz</v>
      </c>
      <c r="H767" s="2" t="str">
        <f ca="1">IFERROR(__xludf.DUMMYFUNCTION("""COMPUTED_VALUE"""),"4GB")</f>
        <v>4GB</v>
      </c>
      <c r="I767" s="2" t="str">
        <f ca="1">IFERROR(__xludf.DUMMYFUNCTION("""COMPUTED_VALUE"""),"128GB SSD")</f>
        <v>128GB SSD</v>
      </c>
      <c r="J767" s="2" t="str">
        <f ca="1">IFERROR(__xludf.DUMMYFUNCTION("""COMPUTED_VALUE"""),"Intel HD Graphics 520")</f>
        <v>Intel HD Graphics 520</v>
      </c>
      <c r="K767" s="2" t="str">
        <f ca="1">IFERROR(__xludf.DUMMYFUNCTION("""COMPUTED_VALUE"""),"Windows 10")</f>
        <v>Windows 10</v>
      </c>
      <c r="L767" s="2" t="str">
        <f ca="1">IFERROR(__xludf.DUMMYFUNCTION("""COMPUTED_VALUE"""),"1.6kg")</f>
        <v>1.6kg</v>
      </c>
      <c r="M767" s="2">
        <f ca="1">IFERROR(__xludf.DUMMYFUNCTION("""COMPUTED_VALUE"""),655)</f>
        <v>655</v>
      </c>
    </row>
    <row r="768" spans="1:13">
      <c r="A768" s="2">
        <f ca="1">IFERROR(__xludf.DUMMYFUNCTION("""COMPUTED_VALUE"""),775)</f>
        <v>775</v>
      </c>
      <c r="B768" s="2" t="str">
        <f ca="1">IFERROR(__xludf.DUMMYFUNCTION("""COMPUTED_VALUE"""),"Asus")</f>
        <v>Asus</v>
      </c>
      <c r="C768" s="2" t="str">
        <f ca="1">IFERROR(__xludf.DUMMYFUNCTION("""COMPUTED_VALUE"""),"X751NV-TY001 (N4200/4GB/1TB/GeForce")</f>
        <v>X751NV-TY001 (N4200/4GB/1TB/GeForce</v>
      </c>
      <c r="D768" s="2" t="str">
        <f ca="1">IFERROR(__xludf.DUMMYFUNCTION("""COMPUTED_VALUE"""),"Notebook")</f>
        <v>Notebook</v>
      </c>
      <c r="E768" s="2">
        <f ca="1">IFERROR(__xludf.DUMMYFUNCTION("""COMPUTED_VALUE"""),17.3)</f>
        <v>17.3</v>
      </c>
      <c r="F768" s="2" t="str">
        <f ca="1">IFERROR(__xludf.DUMMYFUNCTION("""COMPUTED_VALUE"""),"1366x768")</f>
        <v>1366x768</v>
      </c>
      <c r="G768" s="2" t="str">
        <f ca="1">IFERROR(__xludf.DUMMYFUNCTION("""COMPUTED_VALUE"""),"Intel Pentium Quad Core N4200 1.1GHz")</f>
        <v>Intel Pentium Quad Core N4200 1.1GHz</v>
      </c>
      <c r="H768" s="2" t="str">
        <f ca="1">IFERROR(__xludf.DUMMYFUNCTION("""COMPUTED_VALUE"""),"4GB")</f>
        <v>4GB</v>
      </c>
      <c r="I768" s="2" t="str">
        <f ca="1">IFERROR(__xludf.DUMMYFUNCTION("""COMPUTED_VALUE"""),"1TB HDD")</f>
        <v>1TB HDD</v>
      </c>
      <c r="J768" s="2" t="str">
        <f ca="1">IFERROR(__xludf.DUMMYFUNCTION("""COMPUTED_VALUE"""),"Nvidia GeForce 920MX")</f>
        <v>Nvidia GeForce 920MX</v>
      </c>
      <c r="K768" s="2" t="str">
        <f ca="1">IFERROR(__xludf.DUMMYFUNCTION("""COMPUTED_VALUE"""),"Windows 10")</f>
        <v>Windows 10</v>
      </c>
      <c r="L768" s="2" t="str">
        <f ca="1">IFERROR(__xludf.DUMMYFUNCTION("""COMPUTED_VALUE"""),"2.8kg")</f>
        <v>2.8kg</v>
      </c>
      <c r="M768" s="2">
        <f ca="1">IFERROR(__xludf.DUMMYFUNCTION("""COMPUTED_VALUE"""),470.34)</f>
        <v>470.34</v>
      </c>
    </row>
    <row r="769" spans="1:13">
      <c r="A769" s="2">
        <f ca="1">IFERROR(__xludf.DUMMYFUNCTION("""COMPUTED_VALUE"""),776)</f>
        <v>776</v>
      </c>
      <c r="B769" s="2" t="str">
        <f ca="1">IFERROR(__xludf.DUMMYFUNCTION("""COMPUTED_VALUE"""),"Dell")</f>
        <v>Dell</v>
      </c>
      <c r="C769" s="2" t="str">
        <f ca="1">IFERROR(__xludf.DUMMYFUNCTION("""COMPUTED_VALUE"""),"Inspiron 7559")</f>
        <v>Inspiron 7559</v>
      </c>
      <c r="D769" s="2" t="str">
        <f ca="1">IFERROR(__xludf.DUMMYFUNCTION("""COMPUTED_VALUE"""),"Gaming")</f>
        <v>Gaming</v>
      </c>
      <c r="E769" s="2">
        <f ca="1">IFERROR(__xludf.DUMMYFUNCTION("""COMPUTED_VALUE"""),15.6)</f>
        <v>15.6</v>
      </c>
      <c r="F769" s="2" t="str">
        <f ca="1">IFERROR(__xludf.DUMMYFUNCTION("""COMPUTED_VALUE"""),"IPS Panel Touchscreen / 4K Ultra HD 3840x2160")</f>
        <v>IPS Panel Touchscreen / 4K Ultra HD 3840x2160</v>
      </c>
      <c r="G769" s="2" t="str">
        <f ca="1">IFERROR(__xludf.DUMMYFUNCTION("""COMPUTED_VALUE"""),"Intel Core i7 6700HQ 2.6GHz")</f>
        <v>Intel Core i7 6700HQ 2.6GHz</v>
      </c>
      <c r="H769" s="2" t="str">
        <f ca="1">IFERROR(__xludf.DUMMYFUNCTION("""COMPUTED_VALUE"""),"16GB")</f>
        <v>16GB</v>
      </c>
      <c r="I769" s="2" t="str">
        <f ca="1">IFERROR(__xludf.DUMMYFUNCTION("""COMPUTED_VALUE"""),"128GB SSD +  1TB HDD")</f>
        <v>128GB SSD +  1TB HDD</v>
      </c>
      <c r="J769" s="2" t="str">
        <f ca="1">IFERROR(__xludf.DUMMYFUNCTION("""COMPUTED_VALUE"""),"Nvidia GeForce GTX 960M")</f>
        <v>Nvidia GeForce GTX 960M</v>
      </c>
      <c r="K769" s="2" t="str">
        <f ca="1">IFERROR(__xludf.DUMMYFUNCTION("""COMPUTED_VALUE"""),"Windows 10")</f>
        <v>Windows 10</v>
      </c>
      <c r="L769" s="2" t="str">
        <f ca="1">IFERROR(__xludf.DUMMYFUNCTION("""COMPUTED_VALUE"""),"2.72kg")</f>
        <v>2.72kg</v>
      </c>
      <c r="M769" s="2">
        <f ca="1">IFERROR(__xludf.DUMMYFUNCTION("""COMPUTED_VALUE"""),1099)</f>
        <v>1099</v>
      </c>
    </row>
    <row r="770" spans="1:13">
      <c r="A770" s="2">
        <f ca="1">IFERROR(__xludf.DUMMYFUNCTION("""COMPUTED_VALUE"""),777)</f>
        <v>777</v>
      </c>
      <c r="B770" s="2" t="str">
        <f ca="1">IFERROR(__xludf.DUMMYFUNCTION("""COMPUTED_VALUE"""),"Samsung")</f>
        <v>Samsung</v>
      </c>
      <c r="C770" s="2" t="str">
        <f ca="1">IFERROR(__xludf.DUMMYFUNCTION("""COMPUTED_VALUE"""),"Notebook 9")</f>
        <v>Notebook 9</v>
      </c>
      <c r="D770" s="2" t="str">
        <f ca="1">IFERROR(__xludf.DUMMYFUNCTION("""COMPUTED_VALUE"""),"Ultrabook")</f>
        <v>Ultrabook</v>
      </c>
      <c r="E770" s="2">
        <f ca="1">IFERROR(__xludf.DUMMYFUNCTION("""COMPUTED_VALUE"""),13.3)</f>
        <v>13.3</v>
      </c>
      <c r="F770" s="2" t="str">
        <f ca="1">IFERROR(__xludf.DUMMYFUNCTION("""COMPUTED_VALUE"""),"Full HD / Touchscreen 1920x1080")</f>
        <v>Full HD / Touchscreen 1920x1080</v>
      </c>
      <c r="G770" s="2" t="str">
        <f ca="1">IFERROR(__xludf.DUMMYFUNCTION("""COMPUTED_VALUE"""),"Intel Core i7 7500U 2.7GHz")</f>
        <v>Intel Core i7 7500U 2.7GHz</v>
      </c>
      <c r="H770" s="2" t="str">
        <f ca="1">IFERROR(__xludf.DUMMYFUNCTION("""COMPUTED_VALUE"""),"8GB")</f>
        <v>8GB</v>
      </c>
      <c r="I770" s="2" t="str">
        <f ca="1">IFERROR(__xludf.DUMMYFUNCTION("""COMPUTED_VALUE"""),"256GB SSD")</f>
        <v>256GB SSD</v>
      </c>
      <c r="J770" s="2" t="str">
        <f ca="1">IFERROR(__xludf.DUMMYFUNCTION("""COMPUTED_VALUE"""),"Intel HD Graphics 620")</f>
        <v>Intel HD Graphics 620</v>
      </c>
      <c r="K770" s="2" t="str">
        <f ca="1">IFERROR(__xludf.DUMMYFUNCTION("""COMPUTED_VALUE"""),"Windows 10")</f>
        <v>Windows 10</v>
      </c>
      <c r="L770" s="2" t="str">
        <f ca="1">IFERROR(__xludf.DUMMYFUNCTION("""COMPUTED_VALUE"""),"1.31kg")</f>
        <v>1.31kg</v>
      </c>
      <c r="M770" s="2">
        <f ca="1">IFERROR(__xludf.DUMMYFUNCTION("""COMPUTED_VALUE"""),1599)</f>
        <v>1599</v>
      </c>
    </row>
    <row r="771" spans="1:13">
      <c r="A771" s="2">
        <f ca="1">IFERROR(__xludf.DUMMYFUNCTION("""COMPUTED_VALUE"""),778)</f>
        <v>778</v>
      </c>
      <c r="B771" s="2" t="str">
        <f ca="1">IFERROR(__xludf.DUMMYFUNCTION("""COMPUTED_VALUE"""),"Acer")</f>
        <v>Acer</v>
      </c>
      <c r="C771" s="2" t="str">
        <f ca="1">IFERROR(__xludf.DUMMYFUNCTION("""COMPUTED_VALUE"""),"Aspire A315-31")</f>
        <v>Aspire A315-31</v>
      </c>
      <c r="D771" s="2" t="str">
        <f ca="1">IFERROR(__xludf.DUMMYFUNCTION("""COMPUTED_VALUE"""),"Notebook")</f>
        <v>Notebook</v>
      </c>
      <c r="E771" s="2">
        <f ca="1">IFERROR(__xludf.DUMMYFUNCTION("""COMPUTED_VALUE"""),15.6)</f>
        <v>15.6</v>
      </c>
      <c r="F771" s="2" t="str">
        <f ca="1">IFERROR(__xludf.DUMMYFUNCTION("""COMPUTED_VALUE"""),"1366x768")</f>
        <v>1366x768</v>
      </c>
      <c r="G771" s="2" t="str">
        <f ca="1">IFERROR(__xludf.DUMMYFUNCTION("""COMPUTED_VALUE"""),"Intel Pentium Quad Core N4200 1.1GHz")</f>
        <v>Intel Pentium Quad Core N4200 1.1GHz</v>
      </c>
      <c r="H771" s="2" t="str">
        <f ca="1">IFERROR(__xludf.DUMMYFUNCTION("""COMPUTED_VALUE"""),"4GB")</f>
        <v>4GB</v>
      </c>
      <c r="I771" s="2" t="str">
        <f ca="1">IFERROR(__xludf.DUMMYFUNCTION("""COMPUTED_VALUE"""),"1TB HDD")</f>
        <v>1TB HDD</v>
      </c>
      <c r="J771" s="2" t="str">
        <f ca="1">IFERROR(__xludf.DUMMYFUNCTION("""COMPUTED_VALUE"""),"Intel HD Graphics 505")</f>
        <v>Intel HD Graphics 505</v>
      </c>
      <c r="K771" s="2" t="str">
        <f ca="1">IFERROR(__xludf.DUMMYFUNCTION("""COMPUTED_VALUE"""),"Linux")</f>
        <v>Linux</v>
      </c>
      <c r="L771" s="2" t="str">
        <f ca="1">IFERROR(__xludf.DUMMYFUNCTION("""COMPUTED_VALUE"""),"2.1kg")</f>
        <v>2.1kg</v>
      </c>
      <c r="M771" s="2">
        <f ca="1">IFERROR(__xludf.DUMMYFUNCTION("""COMPUTED_VALUE"""),298)</f>
        <v>298</v>
      </c>
    </row>
    <row r="772" spans="1:13">
      <c r="A772" s="2">
        <f ca="1">IFERROR(__xludf.DUMMYFUNCTION("""COMPUTED_VALUE"""),779)</f>
        <v>779</v>
      </c>
      <c r="B772" s="2" t="str">
        <f ca="1">IFERROR(__xludf.DUMMYFUNCTION("""COMPUTED_VALUE"""),"Dell")</f>
        <v>Dell</v>
      </c>
      <c r="C772" s="2" t="str">
        <f ca="1">IFERROR(__xludf.DUMMYFUNCTION("""COMPUTED_VALUE"""),"Inspiron 5567")</f>
        <v>Inspiron 5567</v>
      </c>
      <c r="D772" s="2" t="str">
        <f ca="1">IFERROR(__xludf.DUMMYFUNCTION("""COMPUTED_VALUE"""),"Notebook")</f>
        <v>Notebook</v>
      </c>
      <c r="E772" s="2">
        <f ca="1">IFERROR(__xludf.DUMMYFUNCTION("""COMPUTED_VALUE"""),15.6)</f>
        <v>15.6</v>
      </c>
      <c r="F772" s="2" t="str">
        <f ca="1">IFERROR(__xludf.DUMMYFUNCTION("""COMPUTED_VALUE"""),"Full HD 1920x1080")</f>
        <v>Full HD 1920x1080</v>
      </c>
      <c r="G772" s="2" t="str">
        <f ca="1">IFERROR(__xludf.DUMMYFUNCTION("""COMPUTED_VALUE"""),"Intel Core i7 7500U 2.7GHz")</f>
        <v>Intel Core i7 7500U 2.7GHz</v>
      </c>
      <c r="H772" s="2" t="str">
        <f ca="1">IFERROR(__xludf.DUMMYFUNCTION("""COMPUTED_VALUE"""),"16GB")</f>
        <v>16GB</v>
      </c>
      <c r="I772" s="2" t="str">
        <f ca="1">IFERROR(__xludf.DUMMYFUNCTION("""COMPUTED_VALUE"""),"256GB SSD")</f>
        <v>256GB SSD</v>
      </c>
      <c r="J772" s="2" t="str">
        <f ca="1">IFERROR(__xludf.DUMMYFUNCTION("""COMPUTED_VALUE"""),"AMD Radeon R7 M445")</f>
        <v>AMD Radeon R7 M445</v>
      </c>
      <c r="K772" s="2" t="str">
        <f ca="1">IFERROR(__xludf.DUMMYFUNCTION("""COMPUTED_VALUE"""),"Windows 10")</f>
        <v>Windows 10</v>
      </c>
      <c r="L772" s="2" t="str">
        <f ca="1">IFERROR(__xludf.DUMMYFUNCTION("""COMPUTED_VALUE"""),"2.3kg")</f>
        <v>2.3kg</v>
      </c>
      <c r="M772" s="2">
        <f ca="1">IFERROR(__xludf.DUMMYFUNCTION("""COMPUTED_VALUE"""),1181.27)</f>
        <v>1181.27</v>
      </c>
    </row>
    <row r="773" spans="1:13">
      <c r="A773" s="2">
        <f ca="1">IFERROR(__xludf.DUMMYFUNCTION("""COMPUTED_VALUE"""),780)</f>
        <v>780</v>
      </c>
      <c r="B773" s="2" t="str">
        <f ca="1">IFERROR(__xludf.DUMMYFUNCTION("""COMPUTED_VALUE"""),"Samsung")</f>
        <v>Samsung</v>
      </c>
      <c r="C773" s="2" t="str">
        <f ca="1">IFERROR(__xludf.DUMMYFUNCTION("""COMPUTED_VALUE"""),"Notebook 9")</f>
        <v>Notebook 9</v>
      </c>
      <c r="D773" s="2" t="str">
        <f ca="1">IFERROR(__xludf.DUMMYFUNCTION("""COMPUTED_VALUE"""),"2 in 1 Convertible")</f>
        <v>2 in 1 Convertible</v>
      </c>
      <c r="E773" s="2">
        <f ca="1">IFERROR(__xludf.DUMMYFUNCTION("""COMPUTED_VALUE"""),15)</f>
        <v>15</v>
      </c>
      <c r="F773" s="2" t="str">
        <f ca="1">IFERROR(__xludf.DUMMYFUNCTION("""COMPUTED_VALUE"""),"Full HD / Touchscreen 1920x1080")</f>
        <v>Full HD / Touchscreen 1920x1080</v>
      </c>
      <c r="G773" s="2" t="str">
        <f ca="1">IFERROR(__xludf.DUMMYFUNCTION("""COMPUTED_VALUE"""),"Intel Core i7 7500U 2.7GHz")</f>
        <v>Intel Core i7 7500U 2.7GHz</v>
      </c>
      <c r="H773" s="2" t="str">
        <f ca="1">IFERROR(__xludf.DUMMYFUNCTION("""COMPUTED_VALUE"""),"16GB")</f>
        <v>16GB</v>
      </c>
      <c r="I773" s="2" t="str">
        <f ca="1">IFERROR(__xludf.DUMMYFUNCTION("""COMPUTED_VALUE"""),"256GB SSD")</f>
        <v>256GB SSD</v>
      </c>
      <c r="J773" s="2" t="str">
        <f ca="1">IFERROR(__xludf.DUMMYFUNCTION("""COMPUTED_VALUE"""),"AMD Radeon 540")</f>
        <v>AMD Radeon 540</v>
      </c>
      <c r="K773" s="2" t="str">
        <f ca="1">IFERROR(__xludf.DUMMYFUNCTION("""COMPUTED_VALUE"""),"Windows 10")</f>
        <v>Windows 10</v>
      </c>
      <c r="L773" s="2" t="str">
        <f ca="1">IFERROR(__xludf.DUMMYFUNCTION("""COMPUTED_VALUE"""),"1.71kg")</f>
        <v>1.71kg</v>
      </c>
      <c r="M773" s="2">
        <f ca="1">IFERROR(__xludf.DUMMYFUNCTION("""COMPUTED_VALUE"""),1799)</f>
        <v>1799</v>
      </c>
    </row>
    <row r="774" spans="1:13">
      <c r="A774" s="2">
        <f ca="1">IFERROR(__xludf.DUMMYFUNCTION("""COMPUTED_VALUE"""),781)</f>
        <v>781</v>
      </c>
      <c r="B774" s="2" t="str">
        <f ca="1">IFERROR(__xludf.DUMMYFUNCTION("""COMPUTED_VALUE"""),"Toshiba")</f>
        <v>Toshiba</v>
      </c>
      <c r="C774" s="2" t="str">
        <f ca="1">IFERROR(__xludf.DUMMYFUNCTION("""COMPUTED_VALUE"""),"Tecra A40-C-1E5")</f>
        <v>Tecra A40-C-1E5</v>
      </c>
      <c r="D774" s="2" t="str">
        <f ca="1">IFERROR(__xludf.DUMMYFUNCTION("""COMPUTED_VALUE"""),"Notebook")</f>
        <v>Notebook</v>
      </c>
      <c r="E774" s="2">
        <f ca="1">IFERROR(__xludf.DUMMYFUNCTION("""COMPUTED_VALUE"""),14)</f>
        <v>14</v>
      </c>
      <c r="F774" s="2" t="str">
        <f ca="1">IFERROR(__xludf.DUMMYFUNCTION("""COMPUTED_VALUE"""),"IPS Panel 1366x768")</f>
        <v>IPS Panel 1366x768</v>
      </c>
      <c r="G774" s="2" t="str">
        <f ca="1">IFERROR(__xludf.DUMMYFUNCTION("""COMPUTED_VALUE"""),"Intel Core i5 6200U 2.3GHz")</f>
        <v>Intel Core i5 6200U 2.3GHz</v>
      </c>
      <c r="H774" s="2" t="str">
        <f ca="1">IFERROR(__xludf.DUMMYFUNCTION("""COMPUTED_VALUE"""),"4GB")</f>
        <v>4GB</v>
      </c>
      <c r="I774" s="2" t="str">
        <f ca="1">IFERROR(__xludf.DUMMYFUNCTION("""COMPUTED_VALUE"""),"128GB SSD")</f>
        <v>128GB SSD</v>
      </c>
      <c r="J774" s="2" t="str">
        <f ca="1">IFERROR(__xludf.DUMMYFUNCTION("""COMPUTED_VALUE"""),"Intel HD Graphics 520")</f>
        <v>Intel HD Graphics 520</v>
      </c>
      <c r="K774" s="2" t="str">
        <f ca="1">IFERROR(__xludf.DUMMYFUNCTION("""COMPUTED_VALUE"""),"Windows 10")</f>
        <v>Windows 10</v>
      </c>
      <c r="L774" s="2" t="str">
        <f ca="1">IFERROR(__xludf.DUMMYFUNCTION("""COMPUTED_VALUE"""),"1.75kg")</f>
        <v>1.75kg</v>
      </c>
      <c r="M774" s="2">
        <f ca="1">IFERROR(__xludf.DUMMYFUNCTION("""COMPUTED_VALUE"""),1020)</f>
        <v>1020</v>
      </c>
    </row>
    <row r="775" spans="1:13">
      <c r="A775" s="2">
        <f ca="1">IFERROR(__xludf.DUMMYFUNCTION("""COMPUTED_VALUE"""),782)</f>
        <v>782</v>
      </c>
      <c r="B775" s="2" t="str">
        <f ca="1">IFERROR(__xludf.DUMMYFUNCTION("""COMPUTED_VALUE"""),"Dell")</f>
        <v>Dell</v>
      </c>
      <c r="C775" s="2" t="str">
        <f ca="1">IFERROR(__xludf.DUMMYFUNCTION("""COMPUTED_VALUE"""),"Inspiron 7567")</f>
        <v>Inspiron 7567</v>
      </c>
      <c r="D775" s="2" t="str">
        <f ca="1">IFERROR(__xludf.DUMMYFUNCTION("""COMPUTED_VALUE"""),"Gaming")</f>
        <v>Gaming</v>
      </c>
      <c r="E775" s="2">
        <f ca="1">IFERROR(__xludf.DUMMYFUNCTION("""COMPUTED_VALUE"""),15.6)</f>
        <v>15.6</v>
      </c>
      <c r="F775" s="2" t="str">
        <f ca="1">IFERROR(__xludf.DUMMYFUNCTION("""COMPUTED_VALUE"""),"Full HD 1920x1080")</f>
        <v>Full HD 1920x1080</v>
      </c>
      <c r="G775" s="2" t="str">
        <f ca="1">IFERROR(__xludf.DUMMYFUNCTION("""COMPUTED_VALUE"""),"Intel Core i7 7700HQ 2.8GHz")</f>
        <v>Intel Core i7 7700HQ 2.8GHz</v>
      </c>
      <c r="H775" s="2" t="str">
        <f ca="1">IFERROR(__xludf.DUMMYFUNCTION("""COMPUTED_VALUE"""),"8GB")</f>
        <v>8GB</v>
      </c>
      <c r="I775" s="2" t="str">
        <f ca="1">IFERROR(__xludf.DUMMYFUNCTION("""COMPUTED_VALUE"""),"1TB HDD")</f>
        <v>1TB HDD</v>
      </c>
      <c r="J775" s="2" t="str">
        <f ca="1">IFERROR(__xludf.DUMMYFUNCTION("""COMPUTED_VALUE"""),"Nvidia GeForce GTX 1050")</f>
        <v>Nvidia GeForce GTX 1050</v>
      </c>
      <c r="K775" s="2" t="str">
        <f ca="1">IFERROR(__xludf.DUMMYFUNCTION("""COMPUTED_VALUE"""),"Windows 10")</f>
        <v>Windows 10</v>
      </c>
      <c r="L775" s="2" t="str">
        <f ca="1">IFERROR(__xludf.DUMMYFUNCTION("""COMPUTED_VALUE"""),"2.62kg")</f>
        <v>2.62kg</v>
      </c>
      <c r="M775" s="2">
        <f ca="1">IFERROR(__xludf.DUMMYFUNCTION("""COMPUTED_VALUE"""),1099)</f>
        <v>1099</v>
      </c>
    </row>
    <row r="776" spans="1:13">
      <c r="A776" s="2">
        <f ca="1">IFERROR(__xludf.DUMMYFUNCTION("""COMPUTED_VALUE"""),783)</f>
        <v>783</v>
      </c>
      <c r="B776" s="2" t="str">
        <f ca="1">IFERROR(__xludf.DUMMYFUNCTION("""COMPUTED_VALUE"""),"HP")</f>
        <v>HP</v>
      </c>
      <c r="C776" s="2" t="str">
        <f ca="1">IFERROR(__xludf.DUMMYFUNCTION("""COMPUTED_VALUE"""),"EliteBook 820")</f>
        <v>EliteBook 820</v>
      </c>
      <c r="D776" s="2" t="str">
        <f ca="1">IFERROR(__xludf.DUMMYFUNCTION("""COMPUTED_VALUE"""),"Ultrabook")</f>
        <v>Ultrabook</v>
      </c>
      <c r="E776" s="2">
        <f ca="1">IFERROR(__xludf.DUMMYFUNCTION("""COMPUTED_VALUE"""),12.5)</f>
        <v>12.5</v>
      </c>
      <c r="F776" s="2" t="str">
        <f ca="1">IFERROR(__xludf.DUMMYFUNCTION("""COMPUTED_VALUE"""),"1366x768")</f>
        <v>1366x768</v>
      </c>
      <c r="G776" s="2" t="str">
        <f ca="1">IFERROR(__xludf.DUMMYFUNCTION("""COMPUTED_VALUE"""),"Intel Core i5 6200U 2.3GHz")</f>
        <v>Intel Core i5 6200U 2.3GHz</v>
      </c>
      <c r="H776" s="2" t="str">
        <f ca="1">IFERROR(__xludf.DUMMYFUNCTION("""COMPUTED_VALUE"""),"4GB")</f>
        <v>4GB</v>
      </c>
      <c r="I776" s="2" t="str">
        <f ca="1">IFERROR(__xludf.DUMMYFUNCTION("""COMPUTED_VALUE"""),"256GB SSD")</f>
        <v>256GB SSD</v>
      </c>
      <c r="J776" s="2" t="str">
        <f ca="1">IFERROR(__xludf.DUMMYFUNCTION("""COMPUTED_VALUE"""),"Intel HD Graphics 520")</f>
        <v>Intel HD Graphics 520</v>
      </c>
      <c r="K776" s="2" t="str">
        <f ca="1">IFERROR(__xludf.DUMMYFUNCTION("""COMPUTED_VALUE"""),"Windows 10")</f>
        <v>Windows 10</v>
      </c>
      <c r="L776" s="2" t="str">
        <f ca="1">IFERROR(__xludf.DUMMYFUNCTION("""COMPUTED_VALUE"""),"1.26kg")</f>
        <v>1.26kg</v>
      </c>
      <c r="M776" s="2">
        <f ca="1">IFERROR(__xludf.DUMMYFUNCTION("""COMPUTED_VALUE"""),1244)</f>
        <v>1244</v>
      </c>
    </row>
    <row r="777" spans="1:13">
      <c r="A777" s="2">
        <f ca="1">IFERROR(__xludf.DUMMYFUNCTION("""COMPUTED_VALUE"""),784)</f>
        <v>784</v>
      </c>
      <c r="B777" s="2" t="str">
        <f ca="1">IFERROR(__xludf.DUMMYFUNCTION("""COMPUTED_VALUE"""),"Asus")</f>
        <v>Asus</v>
      </c>
      <c r="C777" s="2" t="str">
        <f ca="1">IFERROR(__xludf.DUMMYFUNCTION("""COMPUTED_VALUE"""),"Q524UQ-BHI7T15 (i7-7500U/12GB/2TB/GeForce")</f>
        <v>Q524UQ-BHI7T15 (i7-7500U/12GB/2TB/GeForce</v>
      </c>
      <c r="D777" s="2" t="str">
        <f ca="1">IFERROR(__xludf.DUMMYFUNCTION("""COMPUTED_VALUE"""),"2 in 1 Convertible")</f>
        <v>2 in 1 Convertible</v>
      </c>
      <c r="E777" s="2">
        <f ca="1">IFERROR(__xludf.DUMMYFUNCTION("""COMPUTED_VALUE"""),15.6)</f>
        <v>15.6</v>
      </c>
      <c r="F777" s="2" t="str">
        <f ca="1">IFERROR(__xludf.DUMMYFUNCTION("""COMPUTED_VALUE"""),"Full HD / Touchscreen 1920x1080")</f>
        <v>Full HD / Touchscreen 1920x1080</v>
      </c>
      <c r="G777" s="2" t="str">
        <f ca="1">IFERROR(__xludf.DUMMYFUNCTION("""COMPUTED_VALUE"""),"Intel Core i7 7500U 2.7GHz")</f>
        <v>Intel Core i7 7500U 2.7GHz</v>
      </c>
      <c r="H777" s="2" t="str">
        <f ca="1">IFERROR(__xludf.DUMMYFUNCTION("""COMPUTED_VALUE"""),"12GB")</f>
        <v>12GB</v>
      </c>
      <c r="I777" s="2" t="str">
        <f ca="1">IFERROR(__xludf.DUMMYFUNCTION("""COMPUTED_VALUE"""),"2TB HDD")</f>
        <v>2TB HDD</v>
      </c>
      <c r="J777" s="2" t="str">
        <f ca="1">IFERROR(__xludf.DUMMYFUNCTION("""COMPUTED_VALUE"""),"Nvidia GeForce 940MX")</f>
        <v>Nvidia GeForce 940MX</v>
      </c>
      <c r="K777" s="2" t="str">
        <f ca="1">IFERROR(__xludf.DUMMYFUNCTION("""COMPUTED_VALUE"""),"Windows 10")</f>
        <v>Windows 10</v>
      </c>
      <c r="L777" s="2" t="str">
        <f ca="1">IFERROR(__xludf.DUMMYFUNCTION("""COMPUTED_VALUE"""),"2.3kg")</f>
        <v>2.3kg</v>
      </c>
      <c r="M777" s="2">
        <f ca="1">IFERROR(__xludf.DUMMYFUNCTION("""COMPUTED_VALUE"""),839)</f>
        <v>839</v>
      </c>
    </row>
    <row r="778" spans="1:13">
      <c r="A778" s="2">
        <f ca="1">IFERROR(__xludf.DUMMYFUNCTION("""COMPUTED_VALUE"""),785)</f>
        <v>785</v>
      </c>
      <c r="B778" s="2" t="str">
        <f ca="1">IFERROR(__xludf.DUMMYFUNCTION("""COMPUTED_VALUE"""),"Lenovo")</f>
        <v>Lenovo</v>
      </c>
      <c r="C778" s="2" t="str">
        <f ca="1">IFERROR(__xludf.DUMMYFUNCTION("""COMPUTED_VALUE"""),"Thinkpad P50")</f>
        <v>Thinkpad P50</v>
      </c>
      <c r="D778" s="2" t="str">
        <f ca="1">IFERROR(__xludf.DUMMYFUNCTION("""COMPUTED_VALUE"""),"Notebook")</f>
        <v>Notebook</v>
      </c>
      <c r="E778" s="2">
        <f ca="1">IFERROR(__xludf.DUMMYFUNCTION("""COMPUTED_VALUE"""),15.6)</f>
        <v>15.6</v>
      </c>
      <c r="F778" s="2" t="str">
        <f ca="1">IFERROR(__xludf.DUMMYFUNCTION("""COMPUTED_VALUE"""),"4K Ultra HD 3840x2160")</f>
        <v>4K Ultra HD 3840x2160</v>
      </c>
      <c r="G778" s="2" t="str">
        <f ca="1">IFERROR(__xludf.DUMMYFUNCTION("""COMPUTED_VALUE"""),"Intel Core i7 6820HQ 2.7GHz")</f>
        <v>Intel Core i7 6820HQ 2.7GHz</v>
      </c>
      <c r="H778" s="2" t="str">
        <f ca="1">IFERROR(__xludf.DUMMYFUNCTION("""COMPUTED_VALUE"""),"16GB")</f>
        <v>16GB</v>
      </c>
      <c r="I778" s="2" t="str">
        <f ca="1">IFERROR(__xludf.DUMMYFUNCTION("""COMPUTED_VALUE"""),"512GB SSD")</f>
        <v>512GB SSD</v>
      </c>
      <c r="J778" s="2" t="str">
        <f ca="1">IFERROR(__xludf.DUMMYFUNCTION("""COMPUTED_VALUE"""),"Nvidia Quadro M2000M")</f>
        <v>Nvidia Quadro M2000M</v>
      </c>
      <c r="K778" s="2" t="str">
        <f ca="1">IFERROR(__xludf.DUMMYFUNCTION("""COMPUTED_VALUE"""),"Windows 7")</f>
        <v>Windows 7</v>
      </c>
      <c r="L778" s="2" t="str">
        <f ca="1">IFERROR(__xludf.DUMMYFUNCTION("""COMPUTED_VALUE"""),"2.5kg")</f>
        <v>2.5kg</v>
      </c>
      <c r="M778" s="2">
        <f ca="1">IFERROR(__xludf.DUMMYFUNCTION("""COMPUTED_VALUE"""),2370)</f>
        <v>2370</v>
      </c>
    </row>
    <row r="779" spans="1:13">
      <c r="A779" s="2">
        <f ca="1">IFERROR(__xludf.DUMMYFUNCTION("""COMPUTED_VALUE"""),786)</f>
        <v>786</v>
      </c>
      <c r="B779" s="2" t="str">
        <f ca="1">IFERROR(__xludf.DUMMYFUNCTION("""COMPUTED_VALUE"""),"Acer")</f>
        <v>Acer</v>
      </c>
      <c r="C779" s="2" t="str">
        <f ca="1">IFERROR(__xludf.DUMMYFUNCTION("""COMPUTED_VALUE"""),"Swift 3")</f>
        <v>Swift 3</v>
      </c>
      <c r="D779" s="2" t="str">
        <f ca="1">IFERROR(__xludf.DUMMYFUNCTION("""COMPUTED_VALUE"""),"Notebook")</f>
        <v>Notebook</v>
      </c>
      <c r="E779" s="2">
        <f ca="1">IFERROR(__xludf.DUMMYFUNCTION("""COMPUTED_VALUE"""),14)</f>
        <v>14</v>
      </c>
      <c r="F779" s="2" t="str">
        <f ca="1">IFERROR(__xludf.DUMMYFUNCTION("""COMPUTED_VALUE"""),"IPS Panel Full HD 1920x1080")</f>
        <v>IPS Panel Full HD 1920x1080</v>
      </c>
      <c r="G779" s="2" t="str">
        <f ca="1">IFERROR(__xludf.DUMMYFUNCTION("""COMPUTED_VALUE"""),"Intel Core i3 7100U 2.4GHz")</f>
        <v>Intel Core i3 7100U 2.4GHz</v>
      </c>
      <c r="H779" s="2" t="str">
        <f ca="1">IFERROR(__xludf.DUMMYFUNCTION("""COMPUTED_VALUE"""),"4GB")</f>
        <v>4GB</v>
      </c>
      <c r="I779" s="2" t="str">
        <f ca="1">IFERROR(__xludf.DUMMYFUNCTION("""COMPUTED_VALUE"""),"128GB SSD")</f>
        <v>128GB SSD</v>
      </c>
      <c r="J779" s="2" t="str">
        <f ca="1">IFERROR(__xludf.DUMMYFUNCTION("""COMPUTED_VALUE"""),"Intel HD Graphics 620")</f>
        <v>Intel HD Graphics 620</v>
      </c>
      <c r="K779" s="2" t="str">
        <f ca="1">IFERROR(__xludf.DUMMYFUNCTION("""COMPUTED_VALUE"""),"Windows 10")</f>
        <v>Windows 10</v>
      </c>
      <c r="L779" s="2" t="str">
        <f ca="1">IFERROR(__xludf.DUMMYFUNCTION("""COMPUTED_VALUE"""),"1.8kg")</f>
        <v>1.8kg</v>
      </c>
      <c r="M779" s="2">
        <f ca="1">IFERROR(__xludf.DUMMYFUNCTION("""COMPUTED_VALUE"""),636)</f>
        <v>636</v>
      </c>
    </row>
    <row r="780" spans="1:13">
      <c r="A780" s="2">
        <f ca="1">IFERROR(__xludf.DUMMYFUNCTION("""COMPUTED_VALUE"""),787)</f>
        <v>787</v>
      </c>
      <c r="B780" s="2" t="str">
        <f ca="1">IFERROR(__xludf.DUMMYFUNCTION("""COMPUTED_VALUE"""),"Razer")</f>
        <v>Razer</v>
      </c>
      <c r="C780" s="2" t="str">
        <f ca="1">IFERROR(__xludf.DUMMYFUNCTION("""COMPUTED_VALUE"""),"Blade Pro")</f>
        <v>Blade Pro</v>
      </c>
      <c r="D780" s="2" t="str">
        <f ca="1">IFERROR(__xludf.DUMMYFUNCTION("""COMPUTED_VALUE"""),"Gaming")</f>
        <v>Gaming</v>
      </c>
      <c r="E780" s="2">
        <f ca="1">IFERROR(__xludf.DUMMYFUNCTION("""COMPUTED_VALUE"""),14)</f>
        <v>14</v>
      </c>
      <c r="F780" s="2" t="str">
        <f ca="1">IFERROR(__xludf.DUMMYFUNCTION("""COMPUTED_VALUE"""),"Full HD 1920x1080")</f>
        <v>Full HD 1920x1080</v>
      </c>
      <c r="G780" s="2" t="str">
        <f ca="1">IFERROR(__xludf.DUMMYFUNCTION("""COMPUTED_VALUE"""),"Intel Core i7 7700HQ 2.8GHz")</f>
        <v>Intel Core i7 7700HQ 2.8GHz</v>
      </c>
      <c r="H780" s="2" t="str">
        <f ca="1">IFERROR(__xludf.DUMMYFUNCTION("""COMPUTED_VALUE"""),"16GB")</f>
        <v>16GB</v>
      </c>
      <c r="I780" s="2" t="str">
        <f ca="1">IFERROR(__xludf.DUMMYFUNCTION("""COMPUTED_VALUE"""),"512GB SSD")</f>
        <v>512GB SSD</v>
      </c>
      <c r="J780" s="2" t="str">
        <f ca="1">IFERROR(__xludf.DUMMYFUNCTION("""COMPUTED_VALUE"""),"Nvidia GeForce GTX 1060")</f>
        <v>Nvidia GeForce GTX 1060</v>
      </c>
      <c r="K780" s="2" t="str">
        <f ca="1">IFERROR(__xludf.DUMMYFUNCTION("""COMPUTED_VALUE"""),"Windows 10")</f>
        <v>Windows 10</v>
      </c>
      <c r="L780" s="2" t="str">
        <f ca="1">IFERROR(__xludf.DUMMYFUNCTION("""COMPUTED_VALUE"""),"1.95kg")</f>
        <v>1.95kg</v>
      </c>
      <c r="M780" s="2">
        <f ca="1">IFERROR(__xludf.DUMMYFUNCTION("""COMPUTED_VALUE"""),2899)</f>
        <v>2899</v>
      </c>
    </row>
    <row r="781" spans="1:13">
      <c r="A781" s="2">
        <f ca="1">IFERROR(__xludf.DUMMYFUNCTION("""COMPUTED_VALUE"""),788)</f>
        <v>788</v>
      </c>
      <c r="B781" s="2" t="str">
        <f ca="1">IFERROR(__xludf.DUMMYFUNCTION("""COMPUTED_VALUE"""),"Asus")</f>
        <v>Asus</v>
      </c>
      <c r="C781" s="2" t="str">
        <f ca="1">IFERROR(__xludf.DUMMYFUNCTION("""COMPUTED_VALUE"""),"Vivobook Max")</f>
        <v>Vivobook Max</v>
      </c>
      <c r="D781" s="2" t="str">
        <f ca="1">IFERROR(__xludf.DUMMYFUNCTION("""COMPUTED_VALUE"""),"Notebook")</f>
        <v>Notebook</v>
      </c>
      <c r="E781" s="2">
        <f ca="1">IFERROR(__xludf.DUMMYFUNCTION("""COMPUTED_VALUE"""),15.6)</f>
        <v>15.6</v>
      </c>
      <c r="F781" s="2" t="str">
        <f ca="1">IFERROR(__xludf.DUMMYFUNCTION("""COMPUTED_VALUE"""),"1920x1080")</f>
        <v>1920x1080</v>
      </c>
      <c r="G781" s="2" t="str">
        <f ca="1">IFERROR(__xludf.DUMMYFUNCTION("""COMPUTED_VALUE"""),"Intel Pentium Dual Core N4200 1.1GHz")</f>
        <v>Intel Pentium Dual Core N4200 1.1GHz</v>
      </c>
      <c r="H781" s="2" t="str">
        <f ca="1">IFERROR(__xludf.DUMMYFUNCTION("""COMPUTED_VALUE"""),"8GB")</f>
        <v>8GB</v>
      </c>
      <c r="I781" s="2" t="str">
        <f ca="1">IFERROR(__xludf.DUMMYFUNCTION("""COMPUTED_VALUE"""),"128GB SSD")</f>
        <v>128GB SSD</v>
      </c>
      <c r="J781" s="2" t="str">
        <f ca="1">IFERROR(__xludf.DUMMYFUNCTION("""COMPUTED_VALUE"""),"Intel HD Graphics 505")</f>
        <v>Intel HD Graphics 505</v>
      </c>
      <c r="K781" s="2" t="str">
        <f ca="1">IFERROR(__xludf.DUMMYFUNCTION("""COMPUTED_VALUE"""),"Windows 10")</f>
        <v>Windows 10</v>
      </c>
      <c r="L781" s="2" t="str">
        <f ca="1">IFERROR(__xludf.DUMMYFUNCTION("""COMPUTED_VALUE"""),"2kg")</f>
        <v>2kg</v>
      </c>
      <c r="M781" s="2">
        <f ca="1">IFERROR(__xludf.DUMMYFUNCTION("""COMPUTED_VALUE"""),581.9)</f>
        <v>581.9</v>
      </c>
    </row>
    <row r="782" spans="1:13">
      <c r="A782" s="2">
        <f ca="1">IFERROR(__xludf.DUMMYFUNCTION("""COMPUTED_VALUE"""),789)</f>
        <v>789</v>
      </c>
      <c r="B782" s="2" t="str">
        <f ca="1">IFERROR(__xludf.DUMMYFUNCTION("""COMPUTED_VALUE"""),"Dell")</f>
        <v>Dell</v>
      </c>
      <c r="C782" s="2" t="str">
        <f ca="1">IFERROR(__xludf.DUMMYFUNCTION("""COMPUTED_VALUE"""),"Alienware 17")</f>
        <v>Alienware 17</v>
      </c>
      <c r="D782" s="2" t="str">
        <f ca="1">IFERROR(__xludf.DUMMYFUNCTION("""COMPUTED_VALUE"""),"Gaming")</f>
        <v>Gaming</v>
      </c>
      <c r="E782" s="2">
        <f ca="1">IFERROR(__xludf.DUMMYFUNCTION("""COMPUTED_VALUE"""),17.3)</f>
        <v>17.3</v>
      </c>
      <c r="F782" s="2" t="str">
        <f ca="1">IFERROR(__xludf.DUMMYFUNCTION("""COMPUTED_VALUE"""),"IPS Panel Full HD 1920x1080")</f>
        <v>IPS Panel Full HD 1920x1080</v>
      </c>
      <c r="G782" s="2" t="str">
        <f ca="1">IFERROR(__xludf.DUMMYFUNCTION("""COMPUTED_VALUE"""),"Intel Core i7 7700HQ 2.8GHz")</f>
        <v>Intel Core i7 7700HQ 2.8GHz</v>
      </c>
      <c r="H782" s="2" t="str">
        <f ca="1">IFERROR(__xludf.DUMMYFUNCTION("""COMPUTED_VALUE"""),"32GB")</f>
        <v>32GB</v>
      </c>
      <c r="I782" s="2" t="str">
        <f ca="1">IFERROR(__xludf.DUMMYFUNCTION("""COMPUTED_VALUE"""),"1TB SSD +  1TB HDD")</f>
        <v>1TB SSD +  1TB HDD</v>
      </c>
      <c r="J782" s="2" t="str">
        <f ca="1">IFERROR(__xludf.DUMMYFUNCTION("""COMPUTED_VALUE"""),"Nvidia GeForce GTX 1070M")</f>
        <v>Nvidia GeForce GTX 1070M</v>
      </c>
      <c r="K782" s="2" t="str">
        <f ca="1">IFERROR(__xludf.DUMMYFUNCTION("""COMPUTED_VALUE"""),"Windows 10")</f>
        <v>Windows 10</v>
      </c>
      <c r="L782" s="2" t="str">
        <f ca="1">IFERROR(__xludf.DUMMYFUNCTION("""COMPUTED_VALUE"""),"4.42kg")</f>
        <v>4.42kg</v>
      </c>
      <c r="M782" s="2">
        <f ca="1">IFERROR(__xludf.DUMMYFUNCTION("""COMPUTED_VALUE"""),3588.8)</f>
        <v>3588.8</v>
      </c>
    </row>
    <row r="783" spans="1:13">
      <c r="A783" s="2">
        <f ca="1">IFERROR(__xludf.DUMMYFUNCTION("""COMPUTED_VALUE"""),790)</f>
        <v>790</v>
      </c>
      <c r="B783" s="2" t="str">
        <f ca="1">IFERROR(__xludf.DUMMYFUNCTION("""COMPUTED_VALUE"""),"Asus")</f>
        <v>Asus</v>
      </c>
      <c r="C783" s="2" t="str">
        <f ca="1">IFERROR(__xludf.DUMMYFUNCTION("""COMPUTED_VALUE"""),"Rog G752VS-BA171T")</f>
        <v>Rog G752VS-BA171T</v>
      </c>
      <c r="D783" s="2" t="str">
        <f ca="1">IFERROR(__xludf.DUMMYFUNCTION("""COMPUTED_VALUE"""),"Gaming")</f>
        <v>Gaming</v>
      </c>
      <c r="E783" s="2">
        <f ca="1">IFERROR(__xludf.DUMMYFUNCTION("""COMPUTED_VALUE"""),17.3)</f>
        <v>17.3</v>
      </c>
      <c r="F783" s="2" t="str">
        <f ca="1">IFERROR(__xludf.DUMMYFUNCTION("""COMPUTED_VALUE"""),"IPS Panel Full HD 1920x1080")</f>
        <v>IPS Panel Full HD 1920x1080</v>
      </c>
      <c r="G783" s="2" t="str">
        <f ca="1">IFERROR(__xludf.DUMMYFUNCTION("""COMPUTED_VALUE"""),"Intel Core i7 6700HQ 2.6GHz")</f>
        <v>Intel Core i7 6700HQ 2.6GHz</v>
      </c>
      <c r="H783" s="2" t="str">
        <f ca="1">IFERROR(__xludf.DUMMYFUNCTION("""COMPUTED_VALUE"""),"16GB")</f>
        <v>16GB</v>
      </c>
      <c r="I783" s="2" t="str">
        <f ca="1">IFERROR(__xludf.DUMMYFUNCTION("""COMPUTED_VALUE"""),"256GB SSD +  1TB HDD")</f>
        <v>256GB SSD +  1TB HDD</v>
      </c>
      <c r="J783" s="2" t="str">
        <f ca="1">IFERROR(__xludf.DUMMYFUNCTION("""COMPUTED_VALUE"""),"Nvidia GeForce GTX 1070")</f>
        <v>Nvidia GeForce GTX 1070</v>
      </c>
      <c r="K783" s="2" t="str">
        <f ca="1">IFERROR(__xludf.DUMMYFUNCTION("""COMPUTED_VALUE"""),"Windows 10")</f>
        <v>Windows 10</v>
      </c>
      <c r="L783" s="2" t="str">
        <f ca="1">IFERROR(__xludf.DUMMYFUNCTION("""COMPUTED_VALUE"""),"4.3kg")</f>
        <v>4.3kg</v>
      </c>
      <c r="M783" s="2">
        <f ca="1">IFERROR(__xludf.DUMMYFUNCTION("""COMPUTED_VALUE"""),2350)</f>
        <v>2350</v>
      </c>
    </row>
    <row r="784" spans="1:13">
      <c r="A784" s="2">
        <f ca="1">IFERROR(__xludf.DUMMYFUNCTION("""COMPUTED_VALUE"""),791)</f>
        <v>791</v>
      </c>
      <c r="B784" s="2" t="str">
        <f ca="1">IFERROR(__xludf.DUMMYFUNCTION("""COMPUTED_VALUE"""),"Toshiba")</f>
        <v>Toshiba</v>
      </c>
      <c r="C784" s="2" t="str">
        <f ca="1">IFERROR(__xludf.DUMMYFUNCTION("""COMPUTED_VALUE"""),"Tecra Z40-C-161")</f>
        <v>Tecra Z40-C-161</v>
      </c>
      <c r="D784" s="2" t="str">
        <f ca="1">IFERROR(__xludf.DUMMYFUNCTION("""COMPUTED_VALUE"""),"Ultrabook")</f>
        <v>Ultrabook</v>
      </c>
      <c r="E784" s="2">
        <f ca="1">IFERROR(__xludf.DUMMYFUNCTION("""COMPUTED_VALUE"""),14)</f>
        <v>14</v>
      </c>
      <c r="F784" s="2" t="str">
        <f ca="1">IFERROR(__xludf.DUMMYFUNCTION("""COMPUTED_VALUE"""),"IPS Panel Full HD 1920x1080")</f>
        <v>IPS Panel Full HD 1920x1080</v>
      </c>
      <c r="G784" s="2" t="str">
        <f ca="1">IFERROR(__xludf.DUMMYFUNCTION("""COMPUTED_VALUE"""),"Intel Core i7 6600U 2.6GHz")</f>
        <v>Intel Core i7 6600U 2.6GHz</v>
      </c>
      <c r="H784" s="2" t="str">
        <f ca="1">IFERROR(__xludf.DUMMYFUNCTION("""COMPUTED_VALUE"""),"16GB")</f>
        <v>16GB</v>
      </c>
      <c r="I784" s="2" t="str">
        <f ca="1">IFERROR(__xludf.DUMMYFUNCTION("""COMPUTED_VALUE"""),"512GB SSD")</f>
        <v>512GB SSD</v>
      </c>
      <c r="J784" s="2" t="str">
        <f ca="1">IFERROR(__xludf.DUMMYFUNCTION("""COMPUTED_VALUE"""),"Nvidia GeForce 930M")</f>
        <v>Nvidia GeForce 930M</v>
      </c>
      <c r="K784" s="2" t="str">
        <f ca="1">IFERROR(__xludf.DUMMYFUNCTION("""COMPUTED_VALUE"""),"Windows 10")</f>
        <v>Windows 10</v>
      </c>
      <c r="L784" s="2" t="str">
        <f ca="1">IFERROR(__xludf.DUMMYFUNCTION("""COMPUTED_VALUE"""),"1.47kg")</f>
        <v>1.47kg</v>
      </c>
      <c r="M784" s="2">
        <f ca="1">IFERROR(__xludf.DUMMYFUNCTION("""COMPUTED_VALUE"""),1764)</f>
        <v>1764</v>
      </c>
    </row>
    <row r="785" spans="1:13">
      <c r="A785" s="2">
        <f ca="1">IFERROR(__xludf.DUMMYFUNCTION("""COMPUTED_VALUE"""),792)</f>
        <v>792</v>
      </c>
      <c r="B785" s="2" t="str">
        <f ca="1">IFERROR(__xludf.DUMMYFUNCTION("""COMPUTED_VALUE"""),"Lenovo")</f>
        <v>Lenovo</v>
      </c>
      <c r="C785" s="2" t="str">
        <f ca="1">IFERROR(__xludf.DUMMYFUNCTION("""COMPUTED_VALUE"""),"IdeaPad 110-15IBR")</f>
        <v>IdeaPad 110-15IBR</v>
      </c>
      <c r="D785" s="2" t="str">
        <f ca="1">IFERROR(__xludf.DUMMYFUNCTION("""COMPUTED_VALUE"""),"Notebook")</f>
        <v>Notebook</v>
      </c>
      <c r="E785" s="2">
        <f ca="1">IFERROR(__xludf.DUMMYFUNCTION("""COMPUTED_VALUE"""),15.6)</f>
        <v>15.6</v>
      </c>
      <c r="F785" s="2" t="str">
        <f ca="1">IFERROR(__xludf.DUMMYFUNCTION("""COMPUTED_VALUE"""),"1366x768")</f>
        <v>1366x768</v>
      </c>
      <c r="G785" s="2" t="str">
        <f ca="1">IFERROR(__xludf.DUMMYFUNCTION("""COMPUTED_VALUE"""),"Intel Celeron Quad Core N3710 1.6GHz")</f>
        <v>Intel Celeron Quad Core N3710 1.6GHz</v>
      </c>
      <c r="H785" s="2" t="str">
        <f ca="1">IFERROR(__xludf.DUMMYFUNCTION("""COMPUTED_VALUE"""),"8GB")</f>
        <v>8GB</v>
      </c>
      <c r="I785" s="2" t="str">
        <f ca="1">IFERROR(__xludf.DUMMYFUNCTION("""COMPUTED_VALUE"""),"1TB HDD")</f>
        <v>1TB HDD</v>
      </c>
      <c r="J785" s="2" t="str">
        <f ca="1">IFERROR(__xludf.DUMMYFUNCTION("""COMPUTED_VALUE"""),"Intel HD Graphics 405")</f>
        <v>Intel HD Graphics 405</v>
      </c>
      <c r="K785" s="2" t="str">
        <f ca="1">IFERROR(__xludf.DUMMYFUNCTION("""COMPUTED_VALUE"""),"No OS")</f>
        <v>No OS</v>
      </c>
      <c r="L785" s="2" t="str">
        <f ca="1">IFERROR(__xludf.DUMMYFUNCTION("""COMPUTED_VALUE"""),"2.2kg")</f>
        <v>2.2kg</v>
      </c>
      <c r="M785" s="2">
        <f ca="1">IFERROR(__xludf.DUMMYFUNCTION("""COMPUTED_VALUE"""),329)</f>
        <v>329</v>
      </c>
    </row>
    <row r="786" spans="1:13">
      <c r="A786" s="2">
        <f ca="1">IFERROR(__xludf.DUMMYFUNCTION("""COMPUTED_VALUE"""),793)</f>
        <v>793</v>
      </c>
      <c r="B786" s="2" t="str">
        <f ca="1">IFERROR(__xludf.DUMMYFUNCTION("""COMPUTED_VALUE"""),"Lenovo")</f>
        <v>Lenovo</v>
      </c>
      <c r="C786" s="2" t="str">
        <f ca="1">IFERROR(__xludf.DUMMYFUNCTION("""COMPUTED_VALUE"""),"ThinkPad T470s")</f>
        <v>ThinkPad T470s</v>
      </c>
      <c r="D786" s="2" t="str">
        <f ca="1">IFERROR(__xludf.DUMMYFUNCTION("""COMPUTED_VALUE"""),"Ultrabook")</f>
        <v>Ultrabook</v>
      </c>
      <c r="E786" s="2">
        <f ca="1">IFERROR(__xludf.DUMMYFUNCTION("""COMPUTED_VALUE"""),14)</f>
        <v>14</v>
      </c>
      <c r="F786" s="2" t="str">
        <f ca="1">IFERROR(__xludf.DUMMYFUNCTION("""COMPUTED_VALUE"""),"Full HD 1920x1080")</f>
        <v>Full HD 1920x1080</v>
      </c>
      <c r="G786" s="2" t="str">
        <f ca="1">IFERROR(__xludf.DUMMYFUNCTION("""COMPUTED_VALUE"""),"Intel Core i7 7500U 2.7GHz")</f>
        <v>Intel Core i7 7500U 2.7GHz</v>
      </c>
      <c r="H786" s="2" t="str">
        <f ca="1">IFERROR(__xludf.DUMMYFUNCTION("""COMPUTED_VALUE"""),"16GB")</f>
        <v>16GB</v>
      </c>
      <c r="I786" s="2" t="str">
        <f ca="1">IFERROR(__xludf.DUMMYFUNCTION("""COMPUTED_VALUE"""),"512GB SSD")</f>
        <v>512GB SSD</v>
      </c>
      <c r="J786" s="2" t="str">
        <f ca="1">IFERROR(__xludf.DUMMYFUNCTION("""COMPUTED_VALUE"""),"Intel HD Graphics 620")</f>
        <v>Intel HD Graphics 620</v>
      </c>
      <c r="K786" s="2" t="str">
        <f ca="1">IFERROR(__xludf.DUMMYFUNCTION("""COMPUTED_VALUE"""),"Windows 10")</f>
        <v>Windows 10</v>
      </c>
      <c r="L786" s="2" t="str">
        <f ca="1">IFERROR(__xludf.DUMMYFUNCTION("""COMPUTED_VALUE"""),"1.7kg")</f>
        <v>1.7kg</v>
      </c>
      <c r="M786" s="2">
        <f ca="1">IFERROR(__xludf.DUMMYFUNCTION("""COMPUTED_VALUE"""),2299)</f>
        <v>2299</v>
      </c>
    </row>
    <row r="787" spans="1:13">
      <c r="A787" s="2">
        <f ca="1">IFERROR(__xludf.DUMMYFUNCTION("""COMPUTED_VALUE"""),794)</f>
        <v>794</v>
      </c>
      <c r="B787" s="2" t="str">
        <f ca="1">IFERROR(__xludf.DUMMYFUNCTION("""COMPUTED_VALUE"""),"MSI")</f>
        <v>MSI</v>
      </c>
      <c r="C787" s="2" t="str">
        <f ca="1">IFERROR(__xludf.DUMMYFUNCTION("""COMPUTED_VALUE"""),"GS43VR 7RE")</f>
        <v>GS43VR 7RE</v>
      </c>
      <c r="D787" s="2" t="str">
        <f ca="1">IFERROR(__xludf.DUMMYFUNCTION("""COMPUTED_VALUE"""),"Gaming")</f>
        <v>Gaming</v>
      </c>
      <c r="E787" s="2">
        <f ca="1">IFERROR(__xludf.DUMMYFUNCTION("""COMPUTED_VALUE"""),14)</f>
        <v>14</v>
      </c>
      <c r="F787" s="2" t="str">
        <f ca="1">IFERROR(__xludf.DUMMYFUNCTION("""COMPUTED_VALUE"""),"IPS Panel Full HD 1920x1080")</f>
        <v>IPS Panel Full HD 1920x1080</v>
      </c>
      <c r="G787" s="2" t="str">
        <f ca="1">IFERROR(__xludf.DUMMYFUNCTION("""COMPUTED_VALUE"""),"Intel Core i7 7700HQ 2.8GHz")</f>
        <v>Intel Core i7 7700HQ 2.8GHz</v>
      </c>
      <c r="H787" s="2" t="str">
        <f ca="1">IFERROR(__xludf.DUMMYFUNCTION("""COMPUTED_VALUE"""),"16GB")</f>
        <v>16GB</v>
      </c>
      <c r="I787" s="2" t="str">
        <f ca="1">IFERROR(__xludf.DUMMYFUNCTION("""COMPUTED_VALUE"""),"256GB SSD +  1TB HDD")</f>
        <v>256GB SSD +  1TB HDD</v>
      </c>
      <c r="J787" s="2" t="str">
        <f ca="1">IFERROR(__xludf.DUMMYFUNCTION("""COMPUTED_VALUE"""),"Nvidia GeForce GTX 1060")</f>
        <v>Nvidia GeForce GTX 1060</v>
      </c>
      <c r="K787" s="2" t="str">
        <f ca="1">IFERROR(__xludf.DUMMYFUNCTION("""COMPUTED_VALUE"""),"Windows 10")</f>
        <v>Windows 10</v>
      </c>
      <c r="L787" s="2" t="str">
        <f ca="1">IFERROR(__xludf.DUMMYFUNCTION("""COMPUTED_VALUE"""),"1.6kg")</f>
        <v>1.6kg</v>
      </c>
      <c r="M787" s="2">
        <f ca="1">IFERROR(__xludf.DUMMYFUNCTION("""COMPUTED_VALUE"""),1891)</f>
        <v>1891</v>
      </c>
    </row>
    <row r="788" spans="1:13">
      <c r="A788" s="2">
        <f ca="1">IFERROR(__xludf.DUMMYFUNCTION("""COMPUTED_VALUE"""),795)</f>
        <v>795</v>
      </c>
      <c r="B788" s="2" t="str">
        <f ca="1">IFERROR(__xludf.DUMMYFUNCTION("""COMPUTED_VALUE"""),"MSI")</f>
        <v>MSI</v>
      </c>
      <c r="C788" s="2" t="str">
        <f ca="1">IFERROR(__xludf.DUMMYFUNCTION("""COMPUTED_VALUE"""),"GL62M (i5-7300HQ/8GB/1TB")</f>
        <v>GL62M (i5-7300HQ/8GB/1TB</v>
      </c>
      <c r="D788" s="2" t="str">
        <f ca="1">IFERROR(__xludf.DUMMYFUNCTION("""COMPUTED_VALUE"""),"Gaming")</f>
        <v>Gaming</v>
      </c>
      <c r="E788" s="2">
        <f ca="1">IFERROR(__xludf.DUMMYFUNCTION("""COMPUTED_VALUE"""),15.6)</f>
        <v>15.6</v>
      </c>
      <c r="F788" s="2" t="str">
        <f ca="1">IFERROR(__xludf.DUMMYFUNCTION("""COMPUTED_VALUE"""),"Full HD 1920x1080")</f>
        <v>Full HD 1920x1080</v>
      </c>
      <c r="G788" s="2" t="str">
        <f ca="1">IFERROR(__xludf.DUMMYFUNCTION("""COMPUTED_VALUE"""),"Intel Core i5 7300HQ 2.5GHz")</f>
        <v>Intel Core i5 7300HQ 2.5GHz</v>
      </c>
      <c r="H788" s="2" t="str">
        <f ca="1">IFERROR(__xludf.DUMMYFUNCTION("""COMPUTED_VALUE"""),"8GB")</f>
        <v>8GB</v>
      </c>
      <c r="I788" s="2" t="str">
        <f ca="1">IFERROR(__xludf.DUMMYFUNCTION("""COMPUTED_VALUE"""),"128GB SSD +  1TB HDD")</f>
        <v>128GB SSD +  1TB HDD</v>
      </c>
      <c r="J788" s="2" t="str">
        <f ca="1">IFERROR(__xludf.DUMMYFUNCTION("""COMPUTED_VALUE"""),"Nvidia GeForce GTX 1050")</f>
        <v>Nvidia GeForce GTX 1050</v>
      </c>
      <c r="K788" s="2" t="str">
        <f ca="1">IFERROR(__xludf.DUMMYFUNCTION("""COMPUTED_VALUE"""),"Windows 10")</f>
        <v>Windows 10</v>
      </c>
      <c r="L788" s="2" t="str">
        <f ca="1">IFERROR(__xludf.DUMMYFUNCTION("""COMPUTED_VALUE"""),"2.2kg")</f>
        <v>2.2kg</v>
      </c>
      <c r="M788" s="2">
        <f ca="1">IFERROR(__xludf.DUMMYFUNCTION("""COMPUTED_VALUE"""),1089)</f>
        <v>1089</v>
      </c>
    </row>
    <row r="789" spans="1:13">
      <c r="A789" s="2">
        <f ca="1">IFERROR(__xludf.DUMMYFUNCTION("""COMPUTED_VALUE"""),796)</f>
        <v>796</v>
      </c>
      <c r="B789" s="2" t="str">
        <f ca="1">IFERROR(__xludf.DUMMYFUNCTION("""COMPUTED_VALUE"""),"Lenovo")</f>
        <v>Lenovo</v>
      </c>
      <c r="C789" s="2" t="str">
        <f ca="1">IFERROR(__xludf.DUMMYFUNCTION("""COMPUTED_VALUE"""),"Legion Y520-15IKBN")</f>
        <v>Legion Y520-15IKBN</v>
      </c>
      <c r="D789" s="2" t="str">
        <f ca="1">IFERROR(__xludf.DUMMYFUNCTION("""COMPUTED_VALUE"""),"Gaming")</f>
        <v>Gaming</v>
      </c>
      <c r="E789" s="2">
        <f ca="1">IFERROR(__xludf.DUMMYFUNCTION("""COMPUTED_VALUE"""),15.6)</f>
        <v>15.6</v>
      </c>
      <c r="F789" s="2" t="str">
        <f ca="1">IFERROR(__xludf.DUMMYFUNCTION("""COMPUTED_VALUE"""),"IPS Panel Full HD 1920x1080")</f>
        <v>IPS Panel Full HD 1920x1080</v>
      </c>
      <c r="G789" s="2" t="str">
        <f ca="1">IFERROR(__xludf.DUMMYFUNCTION("""COMPUTED_VALUE"""),"Intel Core i7 7700HQ 2.8GHz")</f>
        <v>Intel Core i7 7700HQ 2.8GHz</v>
      </c>
      <c r="H789" s="2" t="str">
        <f ca="1">IFERROR(__xludf.DUMMYFUNCTION("""COMPUTED_VALUE"""),"4GB")</f>
        <v>4GB</v>
      </c>
      <c r="I789" s="2" t="str">
        <f ca="1">IFERROR(__xludf.DUMMYFUNCTION("""COMPUTED_VALUE"""),"1TB HDD")</f>
        <v>1TB HDD</v>
      </c>
      <c r="J789" s="2" t="str">
        <f ca="1">IFERROR(__xludf.DUMMYFUNCTION("""COMPUTED_VALUE"""),"Nvidia GeForce GTX 1050")</f>
        <v>Nvidia GeForce GTX 1050</v>
      </c>
      <c r="K789" s="2" t="str">
        <f ca="1">IFERROR(__xludf.DUMMYFUNCTION("""COMPUTED_VALUE"""),"Windows 10")</f>
        <v>Windows 10</v>
      </c>
      <c r="L789" s="2" t="str">
        <f ca="1">IFERROR(__xludf.DUMMYFUNCTION("""COMPUTED_VALUE"""),"2.4kg")</f>
        <v>2.4kg</v>
      </c>
      <c r="M789" s="2">
        <f ca="1">IFERROR(__xludf.DUMMYFUNCTION("""COMPUTED_VALUE"""),999)</f>
        <v>999</v>
      </c>
    </row>
    <row r="790" spans="1:13">
      <c r="A790" s="2">
        <f ca="1">IFERROR(__xludf.DUMMYFUNCTION("""COMPUTED_VALUE"""),797)</f>
        <v>797</v>
      </c>
      <c r="B790" s="2" t="str">
        <f ca="1">IFERROR(__xludf.DUMMYFUNCTION("""COMPUTED_VALUE"""),"Acer")</f>
        <v>Acer</v>
      </c>
      <c r="C790" s="2" t="str">
        <f ca="1">IFERROR(__xludf.DUMMYFUNCTION("""COMPUTED_VALUE"""),"Predator G9-793")</f>
        <v>Predator G9-793</v>
      </c>
      <c r="D790" s="2" t="str">
        <f ca="1">IFERROR(__xludf.DUMMYFUNCTION("""COMPUTED_VALUE"""),"Gaming")</f>
        <v>Gaming</v>
      </c>
      <c r="E790" s="2">
        <f ca="1">IFERROR(__xludf.DUMMYFUNCTION("""COMPUTED_VALUE"""),17.3)</f>
        <v>17.3</v>
      </c>
      <c r="F790" s="2" t="str">
        <f ca="1">IFERROR(__xludf.DUMMYFUNCTION("""COMPUTED_VALUE"""),"IPS Panel Full HD 1920x1080")</f>
        <v>IPS Panel Full HD 1920x1080</v>
      </c>
      <c r="G790" s="2" t="str">
        <f ca="1">IFERROR(__xludf.DUMMYFUNCTION("""COMPUTED_VALUE"""),"Intel Core i7 7700HQ 2.8GHz")</f>
        <v>Intel Core i7 7700HQ 2.8GHz</v>
      </c>
      <c r="H790" s="2" t="str">
        <f ca="1">IFERROR(__xludf.DUMMYFUNCTION("""COMPUTED_VALUE"""),"16GB")</f>
        <v>16GB</v>
      </c>
      <c r="I790" s="2" t="str">
        <f ca="1">IFERROR(__xludf.DUMMYFUNCTION("""COMPUTED_VALUE"""),"256GB SSD +  1TB HDD")</f>
        <v>256GB SSD +  1TB HDD</v>
      </c>
      <c r="J790" s="2" t="str">
        <f ca="1">IFERROR(__xludf.DUMMYFUNCTION("""COMPUTED_VALUE"""),"Nvidia GeForce GTX 1060")</f>
        <v>Nvidia GeForce GTX 1060</v>
      </c>
      <c r="K790" s="2" t="str">
        <f ca="1">IFERROR(__xludf.DUMMYFUNCTION("""COMPUTED_VALUE"""),"Windows 10")</f>
        <v>Windows 10</v>
      </c>
      <c r="L790" s="2" t="str">
        <f ca="1">IFERROR(__xludf.DUMMYFUNCTION("""COMPUTED_VALUE"""),"4.2kg")</f>
        <v>4.2kg</v>
      </c>
      <c r="M790" s="2">
        <f ca="1">IFERROR(__xludf.DUMMYFUNCTION("""COMPUTED_VALUE"""),2299)</f>
        <v>2299</v>
      </c>
    </row>
    <row r="791" spans="1:13">
      <c r="A791" s="2">
        <f ca="1">IFERROR(__xludf.DUMMYFUNCTION("""COMPUTED_VALUE"""),798)</f>
        <v>798</v>
      </c>
      <c r="B791" s="2" t="str">
        <f ca="1">IFERROR(__xludf.DUMMYFUNCTION("""COMPUTED_VALUE"""),"Dell")</f>
        <v>Dell</v>
      </c>
      <c r="C791" s="2" t="str">
        <f ca="1">IFERROR(__xludf.DUMMYFUNCTION("""COMPUTED_VALUE"""),"Inspiron 7567")</f>
        <v>Inspiron 7567</v>
      </c>
      <c r="D791" s="2" t="str">
        <f ca="1">IFERROR(__xludf.DUMMYFUNCTION("""COMPUTED_VALUE"""),"Gaming")</f>
        <v>Gaming</v>
      </c>
      <c r="E791" s="2">
        <f ca="1">IFERROR(__xludf.DUMMYFUNCTION("""COMPUTED_VALUE"""),15.6)</f>
        <v>15.6</v>
      </c>
      <c r="F791" s="2" t="str">
        <f ca="1">IFERROR(__xludf.DUMMYFUNCTION("""COMPUTED_VALUE"""),"Full HD 1920x1080")</f>
        <v>Full HD 1920x1080</v>
      </c>
      <c r="G791" s="2" t="str">
        <f ca="1">IFERROR(__xludf.DUMMYFUNCTION("""COMPUTED_VALUE"""),"Intel Core i5 7300HQ 2.5GHz")</f>
        <v>Intel Core i5 7300HQ 2.5GHz</v>
      </c>
      <c r="H791" s="2" t="str">
        <f ca="1">IFERROR(__xludf.DUMMYFUNCTION("""COMPUTED_VALUE"""),"8GB")</f>
        <v>8GB</v>
      </c>
      <c r="I791" s="2" t="str">
        <f ca="1">IFERROR(__xludf.DUMMYFUNCTION("""COMPUTED_VALUE"""),"256GB SSD")</f>
        <v>256GB SSD</v>
      </c>
      <c r="J791" s="2" t="str">
        <f ca="1">IFERROR(__xludf.DUMMYFUNCTION("""COMPUTED_VALUE"""),"Nvidia GeForce GTX 1050")</f>
        <v>Nvidia GeForce GTX 1050</v>
      </c>
      <c r="K791" s="2" t="str">
        <f ca="1">IFERROR(__xludf.DUMMYFUNCTION("""COMPUTED_VALUE"""),"Windows 10")</f>
        <v>Windows 10</v>
      </c>
      <c r="L791" s="2" t="str">
        <f ca="1">IFERROR(__xludf.DUMMYFUNCTION("""COMPUTED_VALUE"""),"2.62kg")</f>
        <v>2.62kg</v>
      </c>
      <c r="M791" s="2">
        <f ca="1">IFERROR(__xludf.DUMMYFUNCTION("""COMPUTED_VALUE"""),985)</f>
        <v>985</v>
      </c>
    </row>
    <row r="792" spans="1:13">
      <c r="A792" s="2">
        <f ca="1">IFERROR(__xludf.DUMMYFUNCTION("""COMPUTED_VALUE"""),799)</f>
        <v>799</v>
      </c>
      <c r="B792" s="2" t="str">
        <f ca="1">IFERROR(__xludf.DUMMYFUNCTION("""COMPUTED_VALUE"""),"Asus")</f>
        <v>Asus</v>
      </c>
      <c r="C792" s="2" t="str">
        <f ca="1">IFERROR(__xludf.DUMMYFUNCTION("""COMPUTED_VALUE"""),"FX502VM-DM560T (i7-7700HQ/8GB/1TB")</f>
        <v>FX502VM-DM560T (i7-7700HQ/8GB/1TB</v>
      </c>
      <c r="D792" s="2" t="str">
        <f ca="1">IFERROR(__xludf.DUMMYFUNCTION("""COMPUTED_VALUE"""),"Gaming")</f>
        <v>Gaming</v>
      </c>
      <c r="E792" s="2">
        <f ca="1">IFERROR(__xludf.DUMMYFUNCTION("""COMPUTED_VALUE"""),15.6)</f>
        <v>15.6</v>
      </c>
      <c r="F792" s="2" t="str">
        <f ca="1">IFERROR(__xludf.DUMMYFUNCTION("""COMPUTED_VALUE"""),"Full HD 1920x1080")</f>
        <v>Full HD 1920x1080</v>
      </c>
      <c r="G792" s="2" t="str">
        <f ca="1">IFERROR(__xludf.DUMMYFUNCTION("""COMPUTED_VALUE"""),"Intel Core i7 7700HQ 2.8GHz")</f>
        <v>Intel Core i7 7700HQ 2.8GHz</v>
      </c>
      <c r="H792" s="2" t="str">
        <f ca="1">IFERROR(__xludf.DUMMYFUNCTION("""COMPUTED_VALUE"""),"8GB")</f>
        <v>8GB</v>
      </c>
      <c r="I792" s="2" t="str">
        <f ca="1">IFERROR(__xludf.DUMMYFUNCTION("""COMPUTED_VALUE"""),"128GB SSD +  1TB HDD")</f>
        <v>128GB SSD +  1TB HDD</v>
      </c>
      <c r="J792" s="2" t="str">
        <f ca="1">IFERROR(__xludf.DUMMYFUNCTION("""COMPUTED_VALUE"""),"Nvidia GeForce GTX1060")</f>
        <v>Nvidia GeForce GTX1060</v>
      </c>
      <c r="K792" s="2" t="str">
        <f ca="1">IFERROR(__xludf.DUMMYFUNCTION("""COMPUTED_VALUE"""),"Windows 10")</f>
        <v>Windows 10</v>
      </c>
      <c r="L792" s="2" t="str">
        <f ca="1">IFERROR(__xludf.DUMMYFUNCTION("""COMPUTED_VALUE"""),"2.24kg")</f>
        <v>2.24kg</v>
      </c>
      <c r="M792" s="2">
        <f ca="1">IFERROR(__xludf.DUMMYFUNCTION("""COMPUTED_VALUE"""),1339)</f>
        <v>1339</v>
      </c>
    </row>
    <row r="793" spans="1:13">
      <c r="A793" s="2">
        <f ca="1">IFERROR(__xludf.DUMMYFUNCTION("""COMPUTED_VALUE"""),800)</f>
        <v>800</v>
      </c>
      <c r="B793" s="2" t="str">
        <f ca="1">IFERROR(__xludf.DUMMYFUNCTION("""COMPUTED_VALUE"""),"Vero")</f>
        <v>Vero</v>
      </c>
      <c r="C793" s="2" t="str">
        <f ca="1">IFERROR(__xludf.DUMMYFUNCTION("""COMPUTED_VALUE"""),"K146 (N3350/4GB/32GB/W10)")</f>
        <v>K146 (N3350/4GB/32GB/W10)</v>
      </c>
      <c r="D793" s="2" t="str">
        <f ca="1">IFERROR(__xludf.DUMMYFUNCTION("""COMPUTED_VALUE"""),"Notebook")</f>
        <v>Notebook</v>
      </c>
      <c r="E793" s="2">
        <f ca="1">IFERROR(__xludf.DUMMYFUNCTION("""COMPUTED_VALUE"""),14)</f>
        <v>14</v>
      </c>
      <c r="F793" s="2" t="str">
        <f ca="1">IFERROR(__xludf.DUMMYFUNCTION("""COMPUTED_VALUE"""),"1920x1080")</f>
        <v>1920x1080</v>
      </c>
      <c r="G793" s="2" t="str">
        <f ca="1">IFERROR(__xludf.DUMMYFUNCTION("""COMPUTED_VALUE"""),"Intel Celeron Dual Core N3350 1.1GHz")</f>
        <v>Intel Celeron Dual Core N3350 1.1GHz</v>
      </c>
      <c r="H793" s="2" t="str">
        <f ca="1">IFERROR(__xludf.DUMMYFUNCTION("""COMPUTED_VALUE"""),"4GB")</f>
        <v>4GB</v>
      </c>
      <c r="I793" s="2" t="str">
        <f ca="1">IFERROR(__xludf.DUMMYFUNCTION("""COMPUTED_VALUE"""),"32GB Flash Storage")</f>
        <v>32GB Flash Storage</v>
      </c>
      <c r="J793" s="2" t="str">
        <f ca="1">IFERROR(__xludf.DUMMYFUNCTION("""COMPUTED_VALUE"""),"Intel HD Graphics 500")</f>
        <v>Intel HD Graphics 500</v>
      </c>
      <c r="K793" s="2" t="str">
        <f ca="1">IFERROR(__xludf.DUMMYFUNCTION("""COMPUTED_VALUE"""),"Windows 10")</f>
        <v>Windows 10</v>
      </c>
      <c r="L793" s="2" t="str">
        <f ca="1">IFERROR(__xludf.DUMMYFUNCTION("""COMPUTED_VALUE"""),"1.22kg")</f>
        <v>1.22kg</v>
      </c>
      <c r="M793" s="2">
        <f ca="1">IFERROR(__xludf.DUMMYFUNCTION("""COMPUTED_VALUE"""),202.9)</f>
        <v>202.9</v>
      </c>
    </row>
    <row r="794" spans="1:13">
      <c r="A794" s="2">
        <f ca="1">IFERROR(__xludf.DUMMYFUNCTION("""COMPUTED_VALUE"""),801)</f>
        <v>801</v>
      </c>
      <c r="B794" s="2" t="str">
        <f ca="1">IFERROR(__xludf.DUMMYFUNCTION("""COMPUTED_VALUE"""),"Lenovo")</f>
        <v>Lenovo</v>
      </c>
      <c r="C794" s="2" t="str">
        <f ca="1">IFERROR(__xludf.DUMMYFUNCTION("""COMPUTED_VALUE"""),"ThinkPad Yoga")</f>
        <v>ThinkPad Yoga</v>
      </c>
      <c r="D794" s="2" t="str">
        <f ca="1">IFERROR(__xludf.DUMMYFUNCTION("""COMPUTED_VALUE"""),"2 in 1 Convertible")</f>
        <v>2 in 1 Convertible</v>
      </c>
      <c r="E794" s="2">
        <f ca="1">IFERROR(__xludf.DUMMYFUNCTION("""COMPUTED_VALUE"""),13.3)</f>
        <v>13.3</v>
      </c>
      <c r="F794" s="2" t="str">
        <f ca="1">IFERROR(__xludf.DUMMYFUNCTION("""COMPUTED_VALUE"""),"IPS Panel Full HD / Touchscreen 1920x1080")</f>
        <v>IPS Panel Full HD / Touchscreen 1920x1080</v>
      </c>
      <c r="G794" s="2" t="str">
        <f ca="1">IFERROR(__xludf.DUMMYFUNCTION("""COMPUTED_VALUE"""),"Intel Core i7 7500U 2.7GHz")</f>
        <v>Intel Core i7 7500U 2.7GHz</v>
      </c>
      <c r="H794" s="2" t="str">
        <f ca="1">IFERROR(__xludf.DUMMYFUNCTION("""COMPUTED_VALUE"""),"8GB")</f>
        <v>8GB</v>
      </c>
      <c r="I794" s="2" t="str">
        <f ca="1">IFERROR(__xludf.DUMMYFUNCTION("""COMPUTED_VALUE"""),"512GB SSD")</f>
        <v>512GB SSD</v>
      </c>
      <c r="J794" s="2" t="str">
        <f ca="1">IFERROR(__xludf.DUMMYFUNCTION("""COMPUTED_VALUE"""),"Intel HD Graphics 620")</f>
        <v>Intel HD Graphics 620</v>
      </c>
      <c r="K794" s="2" t="str">
        <f ca="1">IFERROR(__xludf.DUMMYFUNCTION("""COMPUTED_VALUE"""),"Windows 10")</f>
        <v>Windows 10</v>
      </c>
      <c r="L794" s="2" t="str">
        <f ca="1">IFERROR(__xludf.DUMMYFUNCTION("""COMPUTED_VALUE"""),"1.37kg")</f>
        <v>1.37kg</v>
      </c>
      <c r="M794" s="2">
        <f ca="1">IFERROR(__xludf.DUMMYFUNCTION("""COMPUTED_VALUE"""),1970)</f>
        <v>1970</v>
      </c>
    </row>
    <row r="795" spans="1:13">
      <c r="A795" s="2">
        <f ca="1">IFERROR(__xludf.DUMMYFUNCTION("""COMPUTED_VALUE"""),802)</f>
        <v>802</v>
      </c>
      <c r="B795" s="2" t="str">
        <f ca="1">IFERROR(__xludf.DUMMYFUNCTION("""COMPUTED_VALUE"""),"Lenovo")</f>
        <v>Lenovo</v>
      </c>
      <c r="C795" s="2" t="str">
        <f ca="1">IFERROR(__xludf.DUMMYFUNCTION("""COMPUTED_VALUE"""),"Yoga 510-15IKB")</f>
        <v>Yoga 510-15IKB</v>
      </c>
      <c r="D795" s="2" t="str">
        <f ca="1">IFERROR(__xludf.DUMMYFUNCTION("""COMPUTED_VALUE"""),"2 in 1 Convertible")</f>
        <v>2 in 1 Convertible</v>
      </c>
      <c r="E795" s="2">
        <f ca="1">IFERROR(__xludf.DUMMYFUNCTION("""COMPUTED_VALUE"""),15.6)</f>
        <v>15.6</v>
      </c>
      <c r="F795" s="2" t="str">
        <f ca="1">IFERROR(__xludf.DUMMYFUNCTION("""COMPUTED_VALUE"""),"Full HD / Touchscreen 1920x1080")</f>
        <v>Full HD / Touchscreen 1920x1080</v>
      </c>
      <c r="G795" s="2" t="str">
        <f ca="1">IFERROR(__xludf.DUMMYFUNCTION("""COMPUTED_VALUE"""),"Intel Core i5 7200U 2.5GHz")</f>
        <v>Intel Core i5 7200U 2.5GHz</v>
      </c>
      <c r="H795" s="2" t="str">
        <f ca="1">IFERROR(__xludf.DUMMYFUNCTION("""COMPUTED_VALUE"""),"8GB")</f>
        <v>8GB</v>
      </c>
      <c r="I795" s="2" t="str">
        <f ca="1">IFERROR(__xludf.DUMMYFUNCTION("""COMPUTED_VALUE"""),"256GB SSD")</f>
        <v>256GB SSD</v>
      </c>
      <c r="J795" s="2" t="str">
        <f ca="1">IFERROR(__xludf.DUMMYFUNCTION("""COMPUTED_VALUE"""),"AMD Radeon R7 M460")</f>
        <v>AMD Radeon R7 M460</v>
      </c>
      <c r="K795" s="2" t="str">
        <f ca="1">IFERROR(__xludf.DUMMYFUNCTION("""COMPUTED_VALUE"""),"Windows 10")</f>
        <v>Windows 10</v>
      </c>
      <c r="L795" s="2" t="str">
        <f ca="1">IFERROR(__xludf.DUMMYFUNCTION("""COMPUTED_VALUE"""),"2.08kg")</f>
        <v>2.08kg</v>
      </c>
      <c r="M795" s="2">
        <f ca="1">IFERROR(__xludf.DUMMYFUNCTION("""COMPUTED_VALUE"""),959)</f>
        <v>959</v>
      </c>
    </row>
    <row r="796" spans="1:13">
      <c r="A796" s="2">
        <f ca="1">IFERROR(__xludf.DUMMYFUNCTION("""COMPUTED_VALUE"""),803)</f>
        <v>803</v>
      </c>
      <c r="B796" s="2" t="str">
        <f ca="1">IFERROR(__xludf.DUMMYFUNCTION("""COMPUTED_VALUE"""),"Apple")</f>
        <v>Apple</v>
      </c>
      <c r="C796" s="2" t="str">
        <f ca="1">IFERROR(__xludf.DUMMYFUNCTION("""COMPUTED_VALUE"""),"MacBook 12""")</f>
        <v>MacBook 12"</v>
      </c>
      <c r="D796" s="2" t="str">
        <f ca="1">IFERROR(__xludf.DUMMYFUNCTION("""COMPUTED_VALUE"""),"Ultrabook")</f>
        <v>Ultrabook</v>
      </c>
      <c r="E796" s="2">
        <f ca="1">IFERROR(__xludf.DUMMYFUNCTION("""COMPUTED_VALUE"""),12)</f>
        <v>12</v>
      </c>
      <c r="F796" s="2" t="str">
        <f ca="1">IFERROR(__xludf.DUMMYFUNCTION("""COMPUTED_VALUE"""),"IPS Panel Retina Display 2304x1440")</f>
        <v>IPS Panel Retina Display 2304x1440</v>
      </c>
      <c r="G796" s="2" t="str">
        <f ca="1">IFERROR(__xludf.DUMMYFUNCTION("""COMPUTED_VALUE"""),"Intel Core M 1.2GHz")</f>
        <v>Intel Core M 1.2GHz</v>
      </c>
      <c r="H796" s="2" t="str">
        <f ca="1">IFERROR(__xludf.DUMMYFUNCTION("""COMPUTED_VALUE"""),"8GB")</f>
        <v>8GB</v>
      </c>
      <c r="I796" s="2" t="str">
        <f ca="1">IFERROR(__xludf.DUMMYFUNCTION("""COMPUTED_VALUE"""),"512GB Flash Storage")</f>
        <v>512GB Flash Storage</v>
      </c>
      <c r="J796" s="2" t="str">
        <f ca="1">IFERROR(__xludf.DUMMYFUNCTION("""COMPUTED_VALUE"""),"Intel HD Graphics 5300")</f>
        <v>Intel HD Graphics 5300</v>
      </c>
      <c r="K796" s="2" t="str">
        <f ca="1">IFERROR(__xludf.DUMMYFUNCTION("""COMPUTED_VALUE"""),"Mac OS X")</f>
        <v>Mac OS X</v>
      </c>
      <c r="L796" s="2" t="str">
        <f ca="1">IFERROR(__xludf.DUMMYFUNCTION("""COMPUTED_VALUE"""),"0.920kg")</f>
        <v>0.920kg</v>
      </c>
      <c r="M796" s="2">
        <f ca="1">IFERROR(__xludf.DUMMYFUNCTION("""COMPUTED_VALUE"""),1165)</f>
        <v>1165</v>
      </c>
    </row>
    <row r="797" spans="1:13">
      <c r="A797" s="2">
        <f ca="1">IFERROR(__xludf.DUMMYFUNCTION("""COMPUTED_VALUE"""),804)</f>
        <v>804</v>
      </c>
      <c r="B797" s="2" t="str">
        <f ca="1">IFERROR(__xludf.DUMMYFUNCTION("""COMPUTED_VALUE"""),"Lenovo")</f>
        <v>Lenovo</v>
      </c>
      <c r="C797" s="2" t="str">
        <f ca="1">IFERROR(__xludf.DUMMYFUNCTION("""COMPUTED_VALUE"""),"ThinkPad X1")</f>
        <v>ThinkPad X1</v>
      </c>
      <c r="D797" s="2" t="str">
        <f ca="1">IFERROR(__xludf.DUMMYFUNCTION("""COMPUTED_VALUE"""),"2 in 1 Convertible")</f>
        <v>2 in 1 Convertible</v>
      </c>
      <c r="E797" s="2">
        <f ca="1">IFERROR(__xludf.DUMMYFUNCTION("""COMPUTED_VALUE"""),14)</f>
        <v>14</v>
      </c>
      <c r="F797" s="2" t="str">
        <f ca="1">IFERROR(__xludf.DUMMYFUNCTION("""COMPUTED_VALUE"""),"IPS Panel Touchscreen 2560x1440")</f>
        <v>IPS Panel Touchscreen 2560x1440</v>
      </c>
      <c r="G797" s="2" t="str">
        <f ca="1">IFERROR(__xludf.DUMMYFUNCTION("""COMPUTED_VALUE"""),"Intel Core i5 7200U 2.5GHz")</f>
        <v>Intel Core i5 7200U 2.5GHz</v>
      </c>
      <c r="H797" s="2" t="str">
        <f ca="1">IFERROR(__xludf.DUMMYFUNCTION("""COMPUTED_VALUE"""),"8GB")</f>
        <v>8GB</v>
      </c>
      <c r="I797" s="2" t="str">
        <f ca="1">IFERROR(__xludf.DUMMYFUNCTION("""COMPUTED_VALUE"""),"256GB SSD")</f>
        <v>256GB SSD</v>
      </c>
      <c r="J797" s="2" t="str">
        <f ca="1">IFERROR(__xludf.DUMMYFUNCTION("""COMPUTED_VALUE"""),"Intel HD Graphics 620")</f>
        <v>Intel HD Graphics 620</v>
      </c>
      <c r="K797" s="2" t="str">
        <f ca="1">IFERROR(__xludf.DUMMYFUNCTION("""COMPUTED_VALUE"""),"Windows 10")</f>
        <v>Windows 10</v>
      </c>
      <c r="L797" s="2" t="str">
        <f ca="1">IFERROR(__xludf.DUMMYFUNCTION("""COMPUTED_VALUE"""),"1.42kg")</f>
        <v>1.42kg</v>
      </c>
      <c r="M797" s="2">
        <f ca="1">IFERROR(__xludf.DUMMYFUNCTION("""COMPUTED_VALUE"""),2330)</f>
        <v>2330</v>
      </c>
    </row>
    <row r="798" spans="1:13">
      <c r="A798" s="2">
        <f ca="1">IFERROR(__xludf.DUMMYFUNCTION("""COMPUTED_VALUE"""),805)</f>
        <v>805</v>
      </c>
      <c r="B798" s="2" t="str">
        <f ca="1">IFERROR(__xludf.DUMMYFUNCTION("""COMPUTED_VALUE"""),"Asus")</f>
        <v>Asus</v>
      </c>
      <c r="C798" s="2" t="str">
        <f ca="1">IFERROR(__xludf.DUMMYFUNCTION("""COMPUTED_VALUE"""),"R417NA-RS01 (N3350/4GB/32GB/W10)")</f>
        <v>R417NA-RS01 (N3350/4GB/32GB/W10)</v>
      </c>
      <c r="D798" s="2" t="str">
        <f ca="1">IFERROR(__xludf.DUMMYFUNCTION("""COMPUTED_VALUE"""),"Notebook")</f>
        <v>Notebook</v>
      </c>
      <c r="E798" s="2">
        <f ca="1">IFERROR(__xludf.DUMMYFUNCTION("""COMPUTED_VALUE"""),14)</f>
        <v>14</v>
      </c>
      <c r="F798" s="2" t="str">
        <f ca="1">IFERROR(__xludf.DUMMYFUNCTION("""COMPUTED_VALUE"""),"1366x768")</f>
        <v>1366x768</v>
      </c>
      <c r="G798" s="2" t="str">
        <f ca="1">IFERROR(__xludf.DUMMYFUNCTION("""COMPUTED_VALUE"""),"Intel Celeron Dual Core N3350 1.1GHz")</f>
        <v>Intel Celeron Dual Core N3350 1.1GHz</v>
      </c>
      <c r="H798" s="2" t="str">
        <f ca="1">IFERROR(__xludf.DUMMYFUNCTION("""COMPUTED_VALUE"""),"4GB")</f>
        <v>4GB</v>
      </c>
      <c r="I798" s="2" t="str">
        <f ca="1">IFERROR(__xludf.DUMMYFUNCTION("""COMPUTED_VALUE"""),"32GB Flash Storage")</f>
        <v>32GB Flash Storage</v>
      </c>
      <c r="J798" s="2" t="str">
        <f ca="1">IFERROR(__xludf.DUMMYFUNCTION("""COMPUTED_VALUE"""),"Intel HD Graphics 500")</f>
        <v>Intel HD Graphics 500</v>
      </c>
      <c r="K798" s="2" t="str">
        <f ca="1">IFERROR(__xludf.DUMMYFUNCTION("""COMPUTED_VALUE"""),"Windows 10")</f>
        <v>Windows 10</v>
      </c>
      <c r="L798" s="2" t="str">
        <f ca="1">IFERROR(__xludf.DUMMYFUNCTION("""COMPUTED_VALUE"""),"1.63kg")</f>
        <v>1.63kg</v>
      </c>
      <c r="M798" s="2">
        <f ca="1">IFERROR(__xludf.DUMMYFUNCTION("""COMPUTED_VALUE"""),299)</f>
        <v>299</v>
      </c>
    </row>
    <row r="799" spans="1:13">
      <c r="A799" s="2">
        <f ca="1">IFERROR(__xludf.DUMMYFUNCTION("""COMPUTED_VALUE"""),806)</f>
        <v>806</v>
      </c>
      <c r="B799" s="2" t="str">
        <f ca="1">IFERROR(__xludf.DUMMYFUNCTION("""COMPUTED_VALUE"""),"Dell")</f>
        <v>Dell</v>
      </c>
      <c r="C799" s="2" t="str">
        <f ca="1">IFERROR(__xludf.DUMMYFUNCTION("""COMPUTED_VALUE"""),"Latitude 3580")</f>
        <v>Latitude 3580</v>
      </c>
      <c r="D799" s="2" t="str">
        <f ca="1">IFERROR(__xludf.DUMMYFUNCTION("""COMPUTED_VALUE"""),"Notebook")</f>
        <v>Notebook</v>
      </c>
      <c r="E799" s="2">
        <f ca="1">IFERROR(__xludf.DUMMYFUNCTION("""COMPUTED_VALUE"""),15.6)</f>
        <v>15.6</v>
      </c>
      <c r="F799" s="2" t="str">
        <f ca="1">IFERROR(__xludf.DUMMYFUNCTION("""COMPUTED_VALUE"""),"1366x768")</f>
        <v>1366x768</v>
      </c>
      <c r="G799" s="2" t="str">
        <f ca="1">IFERROR(__xludf.DUMMYFUNCTION("""COMPUTED_VALUE"""),"Intel Core i5 7200U 2.5GHz")</f>
        <v>Intel Core i5 7200U 2.5GHz</v>
      </c>
      <c r="H799" s="2" t="str">
        <f ca="1">IFERROR(__xludf.DUMMYFUNCTION("""COMPUTED_VALUE"""),"8GB")</f>
        <v>8GB</v>
      </c>
      <c r="I799" s="2" t="str">
        <f ca="1">IFERROR(__xludf.DUMMYFUNCTION("""COMPUTED_VALUE"""),"128GB SSD")</f>
        <v>128GB SSD</v>
      </c>
      <c r="J799" s="2" t="str">
        <f ca="1">IFERROR(__xludf.DUMMYFUNCTION("""COMPUTED_VALUE"""),"Intel HD Graphics 620")</f>
        <v>Intel HD Graphics 620</v>
      </c>
      <c r="K799" s="2" t="str">
        <f ca="1">IFERROR(__xludf.DUMMYFUNCTION("""COMPUTED_VALUE"""),"Windows 10")</f>
        <v>Windows 10</v>
      </c>
      <c r="L799" s="2" t="str">
        <f ca="1">IFERROR(__xludf.DUMMYFUNCTION("""COMPUTED_VALUE"""),"1.95kg")</f>
        <v>1.95kg</v>
      </c>
      <c r="M799" s="2">
        <f ca="1">IFERROR(__xludf.DUMMYFUNCTION("""COMPUTED_VALUE"""),810)</f>
        <v>810</v>
      </c>
    </row>
    <row r="800" spans="1:13">
      <c r="A800" s="2">
        <f ca="1">IFERROR(__xludf.DUMMYFUNCTION("""COMPUTED_VALUE"""),807)</f>
        <v>807</v>
      </c>
      <c r="B800" s="2" t="str">
        <f ca="1">IFERROR(__xludf.DUMMYFUNCTION("""COMPUTED_VALUE"""),"Lenovo")</f>
        <v>Lenovo</v>
      </c>
      <c r="C800" s="2" t="str">
        <f ca="1">IFERROR(__xludf.DUMMYFUNCTION("""COMPUTED_VALUE"""),"Yoga 910-13IKB")</f>
        <v>Yoga 910-13IKB</v>
      </c>
      <c r="D800" s="2" t="str">
        <f ca="1">IFERROR(__xludf.DUMMYFUNCTION("""COMPUTED_VALUE"""),"2 in 1 Convertible")</f>
        <v>2 in 1 Convertible</v>
      </c>
      <c r="E800" s="2">
        <f ca="1">IFERROR(__xludf.DUMMYFUNCTION("""COMPUTED_VALUE"""),13.9)</f>
        <v>13.9</v>
      </c>
      <c r="F800" s="2" t="str">
        <f ca="1">IFERROR(__xludf.DUMMYFUNCTION("""COMPUTED_VALUE"""),"IPS Panel Full HD / Touchscreen 1920x1080")</f>
        <v>IPS Panel Full HD / Touchscreen 1920x1080</v>
      </c>
      <c r="G800" s="2" t="str">
        <f ca="1">IFERROR(__xludf.DUMMYFUNCTION("""COMPUTED_VALUE"""),"Intel Core i7 7500U 2.7GHz")</f>
        <v>Intel Core i7 7500U 2.7GHz</v>
      </c>
      <c r="H800" s="2" t="str">
        <f ca="1">IFERROR(__xludf.DUMMYFUNCTION("""COMPUTED_VALUE"""),"8GB")</f>
        <v>8GB</v>
      </c>
      <c r="I800" s="2" t="str">
        <f ca="1">IFERROR(__xludf.DUMMYFUNCTION("""COMPUTED_VALUE"""),"256GB SSD")</f>
        <v>256GB SSD</v>
      </c>
      <c r="J800" s="2" t="str">
        <f ca="1">IFERROR(__xludf.DUMMYFUNCTION("""COMPUTED_VALUE"""),"Intel HD Graphics 620")</f>
        <v>Intel HD Graphics 620</v>
      </c>
      <c r="K800" s="2" t="str">
        <f ca="1">IFERROR(__xludf.DUMMYFUNCTION("""COMPUTED_VALUE"""),"Windows 10")</f>
        <v>Windows 10</v>
      </c>
      <c r="L800" s="2" t="str">
        <f ca="1">IFERROR(__xludf.DUMMYFUNCTION("""COMPUTED_VALUE"""),"1.38kg")</f>
        <v>1.38kg</v>
      </c>
      <c r="M800" s="2">
        <f ca="1">IFERROR(__xludf.DUMMYFUNCTION("""COMPUTED_VALUE"""),1349)</f>
        <v>1349</v>
      </c>
    </row>
    <row r="801" spans="1:13">
      <c r="A801" s="2">
        <f ca="1">IFERROR(__xludf.DUMMYFUNCTION("""COMPUTED_VALUE"""),808)</f>
        <v>808</v>
      </c>
      <c r="B801" s="2" t="str">
        <f ca="1">IFERROR(__xludf.DUMMYFUNCTION("""COMPUTED_VALUE"""),"Dell")</f>
        <v>Dell</v>
      </c>
      <c r="C801" s="2" t="str">
        <f ca="1">IFERROR(__xludf.DUMMYFUNCTION("""COMPUTED_VALUE"""),"Vostro 5568")</f>
        <v>Vostro 5568</v>
      </c>
      <c r="D801" s="2" t="str">
        <f ca="1">IFERROR(__xludf.DUMMYFUNCTION("""COMPUTED_VALUE"""),"Notebook")</f>
        <v>Notebook</v>
      </c>
      <c r="E801" s="2">
        <f ca="1">IFERROR(__xludf.DUMMYFUNCTION("""COMPUTED_VALUE"""),15.6)</f>
        <v>15.6</v>
      </c>
      <c r="F801" s="2" t="str">
        <f ca="1">IFERROR(__xludf.DUMMYFUNCTION("""COMPUTED_VALUE"""),"Full HD 1920x1080")</f>
        <v>Full HD 1920x1080</v>
      </c>
      <c r="G801" s="2" t="str">
        <f ca="1">IFERROR(__xludf.DUMMYFUNCTION("""COMPUTED_VALUE"""),"Intel Core i3 6006U 2GHz")</f>
        <v>Intel Core i3 6006U 2GHz</v>
      </c>
      <c r="H801" s="2" t="str">
        <f ca="1">IFERROR(__xludf.DUMMYFUNCTION("""COMPUTED_VALUE"""),"8GB")</f>
        <v>8GB</v>
      </c>
      <c r="I801" s="2" t="str">
        <f ca="1">IFERROR(__xludf.DUMMYFUNCTION("""COMPUTED_VALUE"""),"256GB SSD")</f>
        <v>256GB SSD</v>
      </c>
      <c r="J801" s="2" t="str">
        <f ca="1">IFERROR(__xludf.DUMMYFUNCTION("""COMPUTED_VALUE"""),"AMD Radeon R5 M420X")</f>
        <v>AMD Radeon R5 M420X</v>
      </c>
      <c r="K801" s="2" t="str">
        <f ca="1">IFERROR(__xludf.DUMMYFUNCTION("""COMPUTED_VALUE"""),"Windows 10")</f>
        <v>Windows 10</v>
      </c>
      <c r="L801" s="2" t="str">
        <f ca="1">IFERROR(__xludf.DUMMYFUNCTION("""COMPUTED_VALUE"""),"2kg")</f>
        <v>2kg</v>
      </c>
      <c r="M801" s="2">
        <f ca="1">IFERROR(__xludf.DUMMYFUNCTION("""COMPUTED_VALUE"""),739)</f>
        <v>739</v>
      </c>
    </row>
    <row r="802" spans="1:13">
      <c r="A802" s="2">
        <f ca="1">IFERROR(__xludf.DUMMYFUNCTION("""COMPUTED_VALUE"""),809)</f>
        <v>809</v>
      </c>
      <c r="B802" s="2" t="str">
        <f ca="1">IFERROR(__xludf.DUMMYFUNCTION("""COMPUTED_VALUE"""),"HP")</f>
        <v>HP</v>
      </c>
      <c r="C802" s="2" t="str">
        <f ca="1">IFERROR(__xludf.DUMMYFUNCTION("""COMPUTED_VALUE"""),"ZBook 17")</f>
        <v>ZBook 17</v>
      </c>
      <c r="D802" s="2" t="str">
        <f ca="1">IFERROR(__xludf.DUMMYFUNCTION("""COMPUTED_VALUE"""),"Workstation")</f>
        <v>Workstation</v>
      </c>
      <c r="E802" s="2">
        <f ca="1">IFERROR(__xludf.DUMMYFUNCTION("""COMPUTED_VALUE"""),15.6)</f>
        <v>15.6</v>
      </c>
      <c r="F802" s="2" t="str">
        <f ca="1">IFERROR(__xludf.DUMMYFUNCTION("""COMPUTED_VALUE"""),"Full HD 1920x1080")</f>
        <v>Full HD 1920x1080</v>
      </c>
      <c r="G802" s="2" t="str">
        <f ca="1">IFERROR(__xludf.DUMMYFUNCTION("""COMPUTED_VALUE"""),"Intel Core i7 7700HQ 2.8GHz")</f>
        <v>Intel Core i7 7700HQ 2.8GHz</v>
      </c>
      <c r="H802" s="2" t="str">
        <f ca="1">IFERROR(__xludf.DUMMYFUNCTION("""COMPUTED_VALUE"""),"8GB")</f>
        <v>8GB</v>
      </c>
      <c r="I802" s="2" t="str">
        <f ca="1">IFERROR(__xludf.DUMMYFUNCTION("""COMPUTED_VALUE"""),"256GB SSD")</f>
        <v>256GB SSD</v>
      </c>
      <c r="J802" s="2" t="str">
        <f ca="1">IFERROR(__xludf.DUMMYFUNCTION("""COMPUTED_VALUE"""),"Nvidia Quadro M2200")</f>
        <v>Nvidia Quadro M2200</v>
      </c>
      <c r="K802" s="2" t="str">
        <f ca="1">IFERROR(__xludf.DUMMYFUNCTION("""COMPUTED_VALUE"""),"Windows 10")</f>
        <v>Windows 10</v>
      </c>
      <c r="L802" s="2" t="str">
        <f ca="1">IFERROR(__xludf.DUMMYFUNCTION("""COMPUTED_VALUE"""),"3.14kg")</f>
        <v>3.14kg</v>
      </c>
      <c r="M802" s="2">
        <f ca="1">IFERROR(__xludf.DUMMYFUNCTION("""COMPUTED_VALUE"""),2064.9)</f>
        <v>2064.9</v>
      </c>
    </row>
    <row r="803" spans="1:13">
      <c r="A803" s="2">
        <f ca="1">IFERROR(__xludf.DUMMYFUNCTION("""COMPUTED_VALUE"""),810)</f>
        <v>810</v>
      </c>
      <c r="B803" s="2" t="str">
        <f ca="1">IFERROR(__xludf.DUMMYFUNCTION("""COMPUTED_VALUE"""),"Asus")</f>
        <v>Asus</v>
      </c>
      <c r="C803" s="2" t="str">
        <f ca="1">IFERROR(__xludf.DUMMYFUNCTION("""COMPUTED_VALUE"""),"Pro P2540UA-XS51")</f>
        <v>Pro P2540UA-XS51</v>
      </c>
      <c r="D803" s="2" t="str">
        <f ca="1">IFERROR(__xludf.DUMMYFUNCTION("""COMPUTED_VALUE"""),"Notebook")</f>
        <v>Notebook</v>
      </c>
      <c r="E803" s="2">
        <f ca="1">IFERROR(__xludf.DUMMYFUNCTION("""COMPUTED_VALUE"""),15.6)</f>
        <v>15.6</v>
      </c>
      <c r="F803" s="2" t="str">
        <f ca="1">IFERROR(__xludf.DUMMYFUNCTION("""COMPUTED_VALUE"""),"Full HD 1920x1080")</f>
        <v>Full HD 1920x1080</v>
      </c>
      <c r="G803" s="2" t="str">
        <f ca="1">IFERROR(__xludf.DUMMYFUNCTION("""COMPUTED_VALUE"""),"Intel Core i5 7200U 2.5GHz")</f>
        <v>Intel Core i5 7200U 2.5GHz</v>
      </c>
      <c r="H803" s="2" t="str">
        <f ca="1">IFERROR(__xludf.DUMMYFUNCTION("""COMPUTED_VALUE"""),"8GB")</f>
        <v>8GB</v>
      </c>
      <c r="I803" s="2" t="str">
        <f ca="1">IFERROR(__xludf.DUMMYFUNCTION("""COMPUTED_VALUE"""),"256GB SSD")</f>
        <v>256GB SSD</v>
      </c>
      <c r="J803" s="2" t="str">
        <f ca="1">IFERROR(__xludf.DUMMYFUNCTION("""COMPUTED_VALUE"""),"Intel HD Graphics 620")</f>
        <v>Intel HD Graphics 620</v>
      </c>
      <c r="K803" s="2" t="str">
        <f ca="1">IFERROR(__xludf.DUMMYFUNCTION("""COMPUTED_VALUE"""),"Windows 10")</f>
        <v>Windows 10</v>
      </c>
      <c r="L803" s="2" t="str">
        <f ca="1">IFERROR(__xludf.DUMMYFUNCTION("""COMPUTED_VALUE"""),"2.37kg")</f>
        <v>2.37kg</v>
      </c>
      <c r="M803" s="2">
        <f ca="1">IFERROR(__xludf.DUMMYFUNCTION("""COMPUTED_VALUE"""),1099)</f>
        <v>1099</v>
      </c>
    </row>
    <row r="804" spans="1:13">
      <c r="A804" s="2">
        <f ca="1">IFERROR(__xludf.DUMMYFUNCTION("""COMPUTED_VALUE"""),811)</f>
        <v>811</v>
      </c>
      <c r="B804" s="2" t="str">
        <f ca="1">IFERROR(__xludf.DUMMYFUNCTION("""COMPUTED_VALUE"""),"Dell")</f>
        <v>Dell</v>
      </c>
      <c r="C804" s="2" t="str">
        <f ca="1">IFERROR(__xludf.DUMMYFUNCTION("""COMPUTED_VALUE"""),"XPS 13")</f>
        <v>XPS 13</v>
      </c>
      <c r="D804" s="2" t="str">
        <f ca="1">IFERROR(__xludf.DUMMYFUNCTION("""COMPUTED_VALUE"""),"Ultrabook")</f>
        <v>Ultrabook</v>
      </c>
      <c r="E804" s="2">
        <f ca="1">IFERROR(__xludf.DUMMYFUNCTION("""COMPUTED_VALUE"""),13.3)</f>
        <v>13.3</v>
      </c>
      <c r="F804" s="2" t="str">
        <f ca="1">IFERROR(__xludf.DUMMYFUNCTION("""COMPUTED_VALUE"""),"Full HD 1920x1080")</f>
        <v>Full HD 1920x1080</v>
      </c>
      <c r="G804" s="2" t="str">
        <f ca="1">IFERROR(__xludf.DUMMYFUNCTION("""COMPUTED_VALUE"""),"Intel Core i5 7200U 2.5GHz")</f>
        <v>Intel Core i5 7200U 2.5GHz</v>
      </c>
      <c r="H804" s="2" t="str">
        <f ca="1">IFERROR(__xludf.DUMMYFUNCTION("""COMPUTED_VALUE"""),"8GB")</f>
        <v>8GB</v>
      </c>
      <c r="I804" s="2" t="str">
        <f ca="1">IFERROR(__xludf.DUMMYFUNCTION("""COMPUTED_VALUE"""),"256GB SSD")</f>
        <v>256GB SSD</v>
      </c>
      <c r="J804" s="2" t="str">
        <f ca="1">IFERROR(__xludf.DUMMYFUNCTION("""COMPUTED_VALUE"""),"Intel HD Graphics 620")</f>
        <v>Intel HD Graphics 620</v>
      </c>
      <c r="K804" s="2" t="str">
        <f ca="1">IFERROR(__xludf.DUMMYFUNCTION("""COMPUTED_VALUE"""),"Windows 10")</f>
        <v>Windows 10</v>
      </c>
      <c r="L804" s="2" t="str">
        <f ca="1">IFERROR(__xludf.DUMMYFUNCTION("""COMPUTED_VALUE"""),"1.29kg")</f>
        <v>1.29kg</v>
      </c>
      <c r="M804" s="2">
        <f ca="1">IFERROR(__xludf.DUMMYFUNCTION("""COMPUTED_VALUE"""),1499)</f>
        <v>1499</v>
      </c>
    </row>
    <row r="805" spans="1:13">
      <c r="A805" s="2">
        <f ca="1">IFERROR(__xludf.DUMMYFUNCTION("""COMPUTED_VALUE"""),812)</f>
        <v>812</v>
      </c>
      <c r="B805" s="2" t="str">
        <f ca="1">IFERROR(__xludf.DUMMYFUNCTION("""COMPUTED_VALUE"""),"Dell")</f>
        <v>Dell</v>
      </c>
      <c r="C805" s="2" t="str">
        <f ca="1">IFERROR(__xludf.DUMMYFUNCTION("""COMPUTED_VALUE"""),"XPS 15")</f>
        <v>XPS 15</v>
      </c>
      <c r="D805" s="2" t="str">
        <f ca="1">IFERROR(__xludf.DUMMYFUNCTION("""COMPUTED_VALUE"""),"Notebook")</f>
        <v>Notebook</v>
      </c>
      <c r="E805" s="2">
        <f ca="1">IFERROR(__xludf.DUMMYFUNCTION("""COMPUTED_VALUE"""),15.6)</f>
        <v>15.6</v>
      </c>
      <c r="F805" s="2" t="str">
        <f ca="1">IFERROR(__xludf.DUMMYFUNCTION("""COMPUTED_VALUE"""),"4K Ultra HD / Touchscreen 3840x2160")</f>
        <v>4K Ultra HD / Touchscreen 3840x2160</v>
      </c>
      <c r="G805" s="2" t="str">
        <f ca="1">IFERROR(__xludf.DUMMYFUNCTION("""COMPUTED_VALUE"""),"Intel Core i5 7300HQ 2.5GHz")</f>
        <v>Intel Core i5 7300HQ 2.5GHz</v>
      </c>
      <c r="H805" s="2" t="str">
        <f ca="1">IFERROR(__xludf.DUMMYFUNCTION("""COMPUTED_VALUE"""),"8GB")</f>
        <v>8GB</v>
      </c>
      <c r="I805" s="2" t="str">
        <f ca="1">IFERROR(__xludf.DUMMYFUNCTION("""COMPUTED_VALUE"""),"256GB SSD")</f>
        <v>256GB SSD</v>
      </c>
      <c r="J805" s="2" t="str">
        <f ca="1">IFERROR(__xludf.DUMMYFUNCTION("""COMPUTED_VALUE"""),"Nvidia GeForce GTX 1050")</f>
        <v>Nvidia GeForce GTX 1050</v>
      </c>
      <c r="K805" s="2" t="str">
        <f ca="1">IFERROR(__xludf.DUMMYFUNCTION("""COMPUTED_VALUE"""),"Windows 10")</f>
        <v>Windows 10</v>
      </c>
      <c r="L805" s="2" t="str">
        <f ca="1">IFERROR(__xludf.DUMMYFUNCTION("""COMPUTED_VALUE"""),"2.06kg")</f>
        <v>2.06kg</v>
      </c>
      <c r="M805" s="2">
        <f ca="1">IFERROR(__xludf.DUMMYFUNCTION("""COMPUTED_VALUE"""),1749)</f>
        <v>1749</v>
      </c>
    </row>
    <row r="806" spans="1:13">
      <c r="A806" s="2">
        <f ca="1">IFERROR(__xludf.DUMMYFUNCTION("""COMPUTED_VALUE"""),813)</f>
        <v>813</v>
      </c>
      <c r="B806" s="2" t="str">
        <f ca="1">IFERROR(__xludf.DUMMYFUNCTION("""COMPUTED_VALUE"""),"Dell")</f>
        <v>Dell</v>
      </c>
      <c r="C806" s="2" t="str">
        <f ca="1">IFERROR(__xludf.DUMMYFUNCTION("""COMPUTED_VALUE"""),"Latitude 3180")</f>
        <v>Latitude 3180</v>
      </c>
      <c r="D806" s="2" t="str">
        <f ca="1">IFERROR(__xludf.DUMMYFUNCTION("""COMPUTED_VALUE"""),"Netbook")</f>
        <v>Netbook</v>
      </c>
      <c r="E806" s="2">
        <f ca="1">IFERROR(__xludf.DUMMYFUNCTION("""COMPUTED_VALUE"""),11.6)</f>
        <v>11.6</v>
      </c>
      <c r="F806" s="2" t="str">
        <f ca="1">IFERROR(__xludf.DUMMYFUNCTION("""COMPUTED_VALUE"""),"1366x768")</f>
        <v>1366x768</v>
      </c>
      <c r="G806" s="2" t="str">
        <f ca="1">IFERROR(__xludf.DUMMYFUNCTION("""COMPUTED_VALUE"""),"Intel Pentium Quad Core N4200 1.1GHz")</f>
        <v>Intel Pentium Quad Core N4200 1.1GHz</v>
      </c>
      <c r="H806" s="2" t="str">
        <f ca="1">IFERROR(__xludf.DUMMYFUNCTION("""COMPUTED_VALUE"""),"4GB")</f>
        <v>4GB</v>
      </c>
      <c r="I806" s="2" t="str">
        <f ca="1">IFERROR(__xludf.DUMMYFUNCTION("""COMPUTED_VALUE"""),"128GB SSD")</f>
        <v>128GB SSD</v>
      </c>
      <c r="J806" s="2" t="str">
        <f ca="1">IFERROR(__xludf.DUMMYFUNCTION("""COMPUTED_VALUE"""),"Intel HD Graphics 505")</f>
        <v>Intel HD Graphics 505</v>
      </c>
      <c r="K806" s="2" t="str">
        <f ca="1">IFERROR(__xludf.DUMMYFUNCTION("""COMPUTED_VALUE"""),"Windows 10")</f>
        <v>Windows 10</v>
      </c>
      <c r="L806" s="2" t="str">
        <f ca="1">IFERROR(__xludf.DUMMYFUNCTION("""COMPUTED_VALUE"""),"1.63kg")</f>
        <v>1.63kg</v>
      </c>
      <c r="M806" s="2">
        <f ca="1">IFERROR(__xludf.DUMMYFUNCTION("""COMPUTED_VALUE"""),744)</f>
        <v>744</v>
      </c>
    </row>
    <row r="807" spans="1:13">
      <c r="A807" s="2">
        <f ca="1">IFERROR(__xludf.DUMMYFUNCTION("""COMPUTED_VALUE"""),814)</f>
        <v>814</v>
      </c>
      <c r="B807" s="2" t="str">
        <f ca="1">IFERROR(__xludf.DUMMYFUNCTION("""COMPUTED_VALUE"""),"HP")</f>
        <v>HP</v>
      </c>
      <c r="C807" s="2" t="str">
        <f ca="1">IFERROR(__xludf.DUMMYFUNCTION("""COMPUTED_VALUE"""),"EliteBook 820")</f>
        <v>EliteBook 820</v>
      </c>
      <c r="D807" s="2" t="str">
        <f ca="1">IFERROR(__xludf.DUMMYFUNCTION("""COMPUTED_VALUE"""),"Netbook")</f>
        <v>Netbook</v>
      </c>
      <c r="E807" s="2">
        <f ca="1">IFERROR(__xludf.DUMMYFUNCTION("""COMPUTED_VALUE"""),12.5)</f>
        <v>12.5</v>
      </c>
      <c r="F807" s="2" t="str">
        <f ca="1">IFERROR(__xludf.DUMMYFUNCTION("""COMPUTED_VALUE"""),"1366x768")</f>
        <v>1366x768</v>
      </c>
      <c r="G807" s="2" t="str">
        <f ca="1">IFERROR(__xludf.DUMMYFUNCTION("""COMPUTED_VALUE"""),"Intel Core i5 7300U 2.6GHz")</f>
        <v>Intel Core i5 7300U 2.6GHz</v>
      </c>
      <c r="H807" s="2" t="str">
        <f ca="1">IFERROR(__xludf.DUMMYFUNCTION("""COMPUTED_VALUE"""),"8GB")</f>
        <v>8GB</v>
      </c>
      <c r="I807" s="2" t="str">
        <f ca="1">IFERROR(__xludf.DUMMYFUNCTION("""COMPUTED_VALUE"""),"256GB SSD")</f>
        <v>256GB SSD</v>
      </c>
      <c r="J807" s="2" t="str">
        <f ca="1">IFERROR(__xludf.DUMMYFUNCTION("""COMPUTED_VALUE"""),"Intel HD Graphics 620")</f>
        <v>Intel HD Graphics 620</v>
      </c>
      <c r="K807" s="2" t="str">
        <f ca="1">IFERROR(__xludf.DUMMYFUNCTION("""COMPUTED_VALUE"""),"Windows 10")</f>
        <v>Windows 10</v>
      </c>
      <c r="L807" s="2" t="str">
        <f ca="1">IFERROR(__xludf.DUMMYFUNCTION("""COMPUTED_VALUE"""),"1.26kg")</f>
        <v>1.26kg</v>
      </c>
      <c r="M807" s="2">
        <f ca="1">IFERROR(__xludf.DUMMYFUNCTION("""COMPUTED_VALUE"""),1389)</f>
        <v>1389</v>
      </c>
    </row>
    <row r="808" spans="1:13">
      <c r="A808" s="2">
        <f ca="1">IFERROR(__xludf.DUMMYFUNCTION("""COMPUTED_VALUE"""),815)</f>
        <v>815</v>
      </c>
      <c r="B808" s="2" t="str">
        <f ca="1">IFERROR(__xludf.DUMMYFUNCTION("""COMPUTED_VALUE"""),"Toshiba")</f>
        <v>Toshiba</v>
      </c>
      <c r="C808" s="2" t="str">
        <f ca="1">IFERROR(__xludf.DUMMYFUNCTION("""COMPUTED_VALUE"""),"Satellite Pro")</f>
        <v>Satellite Pro</v>
      </c>
      <c r="D808" s="2" t="str">
        <f ca="1">IFERROR(__xludf.DUMMYFUNCTION("""COMPUTED_VALUE"""),"Notebook")</f>
        <v>Notebook</v>
      </c>
      <c r="E808" s="2">
        <f ca="1">IFERROR(__xludf.DUMMYFUNCTION("""COMPUTED_VALUE"""),15.6)</f>
        <v>15.6</v>
      </c>
      <c r="F808" s="2" t="str">
        <f ca="1">IFERROR(__xludf.DUMMYFUNCTION("""COMPUTED_VALUE"""),"1366x768")</f>
        <v>1366x768</v>
      </c>
      <c r="G808" s="2" t="str">
        <f ca="1">IFERROR(__xludf.DUMMYFUNCTION("""COMPUTED_VALUE"""),"Intel Core i5 6200U 2.3GHz")</f>
        <v>Intel Core i5 6200U 2.3GHz</v>
      </c>
      <c r="H808" s="2" t="str">
        <f ca="1">IFERROR(__xludf.DUMMYFUNCTION("""COMPUTED_VALUE"""),"4GB")</f>
        <v>4GB</v>
      </c>
      <c r="I808" s="2" t="str">
        <f ca="1">IFERROR(__xludf.DUMMYFUNCTION("""COMPUTED_VALUE"""),"500GB HDD")</f>
        <v>500GB HDD</v>
      </c>
      <c r="J808" s="2" t="str">
        <f ca="1">IFERROR(__xludf.DUMMYFUNCTION("""COMPUTED_VALUE"""),"Intel HD Graphics 520")</f>
        <v>Intel HD Graphics 520</v>
      </c>
      <c r="K808" s="2" t="str">
        <f ca="1">IFERROR(__xludf.DUMMYFUNCTION("""COMPUTED_VALUE"""),"Windows 10")</f>
        <v>Windows 10</v>
      </c>
      <c r="L808" s="2" t="str">
        <f ca="1">IFERROR(__xludf.DUMMYFUNCTION("""COMPUTED_VALUE"""),"2.1kg")</f>
        <v>2.1kg</v>
      </c>
      <c r="M808" s="2">
        <f ca="1">IFERROR(__xludf.DUMMYFUNCTION("""COMPUTED_VALUE"""),780)</f>
        <v>780</v>
      </c>
    </row>
    <row r="809" spans="1:13">
      <c r="A809" s="2">
        <f ca="1">IFERROR(__xludf.DUMMYFUNCTION("""COMPUTED_VALUE"""),816)</f>
        <v>816</v>
      </c>
      <c r="B809" s="2" t="str">
        <f ca="1">IFERROR(__xludf.DUMMYFUNCTION("""COMPUTED_VALUE"""),"HP")</f>
        <v>HP</v>
      </c>
      <c r="C809" s="2" t="str">
        <f ca="1">IFERROR(__xludf.DUMMYFUNCTION("""COMPUTED_VALUE"""),"15-ba043na (A12-9700P/8GB/2TB/W10)")</f>
        <v>15-ba043na (A12-9700P/8GB/2TB/W10)</v>
      </c>
      <c r="D809" s="2" t="str">
        <f ca="1">IFERROR(__xludf.DUMMYFUNCTION("""COMPUTED_VALUE"""),"Notebook")</f>
        <v>Notebook</v>
      </c>
      <c r="E809" s="2">
        <f ca="1">IFERROR(__xludf.DUMMYFUNCTION("""COMPUTED_VALUE"""),15.6)</f>
        <v>15.6</v>
      </c>
      <c r="F809" s="2" t="str">
        <f ca="1">IFERROR(__xludf.DUMMYFUNCTION("""COMPUTED_VALUE"""),"1366x768")</f>
        <v>1366x768</v>
      </c>
      <c r="G809" s="2" t="str">
        <f ca="1">IFERROR(__xludf.DUMMYFUNCTION("""COMPUTED_VALUE"""),"AMD A12-Series 9700P 2.5GHz")</f>
        <v>AMD A12-Series 9700P 2.5GHz</v>
      </c>
      <c r="H809" s="2" t="str">
        <f ca="1">IFERROR(__xludf.DUMMYFUNCTION("""COMPUTED_VALUE"""),"8GB")</f>
        <v>8GB</v>
      </c>
      <c r="I809" s="2" t="str">
        <f ca="1">IFERROR(__xludf.DUMMYFUNCTION("""COMPUTED_VALUE"""),"2TB HDD")</f>
        <v>2TB HDD</v>
      </c>
      <c r="J809" s="2" t="str">
        <f ca="1">IFERROR(__xludf.DUMMYFUNCTION("""COMPUTED_VALUE"""),"AMD Radeon R7 Graphics")</f>
        <v>AMD Radeon R7 Graphics</v>
      </c>
      <c r="K809" s="2" t="str">
        <f ca="1">IFERROR(__xludf.DUMMYFUNCTION("""COMPUTED_VALUE"""),"Windows 10")</f>
        <v>Windows 10</v>
      </c>
      <c r="L809" s="2" t="str">
        <f ca="1">IFERROR(__xludf.DUMMYFUNCTION("""COMPUTED_VALUE"""),"2.04kg")</f>
        <v>2.04kg</v>
      </c>
      <c r="M809" s="2">
        <f ca="1">IFERROR(__xludf.DUMMYFUNCTION("""COMPUTED_VALUE"""),629)</f>
        <v>629</v>
      </c>
    </row>
    <row r="810" spans="1:13">
      <c r="A810" s="2">
        <f ca="1">IFERROR(__xludf.DUMMYFUNCTION("""COMPUTED_VALUE"""),817)</f>
        <v>817</v>
      </c>
      <c r="B810" s="2" t="str">
        <f ca="1">IFERROR(__xludf.DUMMYFUNCTION("""COMPUTED_VALUE"""),"Dell")</f>
        <v>Dell</v>
      </c>
      <c r="C810" s="2" t="str">
        <f ca="1">IFERROR(__xludf.DUMMYFUNCTION("""COMPUTED_VALUE"""),"Inspiron 7567")</f>
        <v>Inspiron 7567</v>
      </c>
      <c r="D810" s="2" t="str">
        <f ca="1">IFERROR(__xludf.DUMMYFUNCTION("""COMPUTED_VALUE"""),"Gaming")</f>
        <v>Gaming</v>
      </c>
      <c r="E810" s="2">
        <f ca="1">IFERROR(__xludf.DUMMYFUNCTION("""COMPUTED_VALUE"""),15.6)</f>
        <v>15.6</v>
      </c>
      <c r="F810" s="2" t="str">
        <f ca="1">IFERROR(__xludf.DUMMYFUNCTION("""COMPUTED_VALUE"""),"4K Ultra HD 3840x2160")</f>
        <v>4K Ultra HD 3840x2160</v>
      </c>
      <c r="G810" s="2" t="str">
        <f ca="1">IFERROR(__xludf.DUMMYFUNCTION("""COMPUTED_VALUE"""),"Intel Core i7 7700HQ 2.8GHz")</f>
        <v>Intel Core i7 7700HQ 2.8GHz</v>
      </c>
      <c r="H810" s="2" t="str">
        <f ca="1">IFERROR(__xludf.DUMMYFUNCTION("""COMPUTED_VALUE"""),"16GB")</f>
        <v>16GB</v>
      </c>
      <c r="I810" s="2" t="str">
        <f ca="1">IFERROR(__xludf.DUMMYFUNCTION("""COMPUTED_VALUE"""),"512GB SSD")</f>
        <v>512GB SSD</v>
      </c>
      <c r="J810" s="2" t="str">
        <f ca="1">IFERROR(__xludf.DUMMYFUNCTION("""COMPUTED_VALUE"""),"Nvidia GeForce GTX 1050 Ti")</f>
        <v>Nvidia GeForce GTX 1050 Ti</v>
      </c>
      <c r="K810" s="2" t="str">
        <f ca="1">IFERROR(__xludf.DUMMYFUNCTION("""COMPUTED_VALUE"""),"Windows 10")</f>
        <v>Windows 10</v>
      </c>
      <c r="L810" s="2" t="str">
        <f ca="1">IFERROR(__xludf.DUMMYFUNCTION("""COMPUTED_VALUE"""),"2.62kg")</f>
        <v>2.62kg</v>
      </c>
      <c r="M810" s="2">
        <f ca="1">IFERROR(__xludf.DUMMYFUNCTION("""COMPUTED_VALUE"""),1679)</f>
        <v>1679</v>
      </c>
    </row>
    <row r="811" spans="1:13">
      <c r="A811" s="2">
        <f ca="1">IFERROR(__xludf.DUMMYFUNCTION("""COMPUTED_VALUE"""),818)</f>
        <v>818</v>
      </c>
      <c r="B811" s="2" t="str">
        <f ca="1">IFERROR(__xludf.DUMMYFUNCTION("""COMPUTED_VALUE"""),"Lenovo")</f>
        <v>Lenovo</v>
      </c>
      <c r="C811" s="2" t="str">
        <f ca="1">IFERROR(__xludf.DUMMYFUNCTION("""COMPUTED_VALUE"""),"IdeaPad 310-15IKB")</f>
        <v>IdeaPad 310-15IKB</v>
      </c>
      <c r="D811" s="2" t="str">
        <f ca="1">IFERROR(__xludf.DUMMYFUNCTION("""COMPUTED_VALUE"""),"Notebook")</f>
        <v>Notebook</v>
      </c>
      <c r="E811" s="2">
        <f ca="1">IFERROR(__xludf.DUMMYFUNCTION("""COMPUTED_VALUE"""),15.6)</f>
        <v>15.6</v>
      </c>
      <c r="F811" s="2" t="str">
        <f ca="1">IFERROR(__xludf.DUMMYFUNCTION("""COMPUTED_VALUE"""),"Full HD 1920x1080")</f>
        <v>Full HD 1920x1080</v>
      </c>
      <c r="G811" s="2" t="str">
        <f ca="1">IFERROR(__xludf.DUMMYFUNCTION("""COMPUTED_VALUE"""),"Intel Core i5 7200U 2.5GHz")</f>
        <v>Intel Core i5 7200U 2.5GHz</v>
      </c>
      <c r="H811" s="2" t="str">
        <f ca="1">IFERROR(__xludf.DUMMYFUNCTION("""COMPUTED_VALUE"""),"4GB")</f>
        <v>4GB</v>
      </c>
      <c r="I811" s="2" t="str">
        <f ca="1">IFERROR(__xludf.DUMMYFUNCTION("""COMPUTED_VALUE"""),"1TB HDD")</f>
        <v>1TB HDD</v>
      </c>
      <c r="J811" s="2" t="str">
        <f ca="1">IFERROR(__xludf.DUMMYFUNCTION("""COMPUTED_VALUE"""),"Nvidia GeForce 920M")</f>
        <v>Nvidia GeForce 920M</v>
      </c>
      <c r="K811" s="2" t="str">
        <f ca="1">IFERROR(__xludf.DUMMYFUNCTION("""COMPUTED_VALUE"""),"Windows 10")</f>
        <v>Windows 10</v>
      </c>
      <c r="L811" s="2" t="str">
        <f ca="1">IFERROR(__xludf.DUMMYFUNCTION("""COMPUTED_VALUE"""),"2.4kg")</f>
        <v>2.4kg</v>
      </c>
      <c r="M811" s="2">
        <f ca="1">IFERROR(__xludf.DUMMYFUNCTION("""COMPUTED_VALUE"""),609)</f>
        <v>609</v>
      </c>
    </row>
    <row r="812" spans="1:13">
      <c r="A812" s="2">
        <f ca="1">IFERROR(__xludf.DUMMYFUNCTION("""COMPUTED_VALUE"""),819)</f>
        <v>819</v>
      </c>
      <c r="B812" s="2" t="str">
        <f ca="1">IFERROR(__xludf.DUMMYFUNCTION("""COMPUTED_VALUE"""),"HP")</f>
        <v>HP</v>
      </c>
      <c r="C812" s="2" t="str">
        <f ca="1">IFERROR(__xludf.DUMMYFUNCTION("""COMPUTED_VALUE"""),"Omen 17-an012dx")</f>
        <v>Omen 17-an012dx</v>
      </c>
      <c r="D812" s="2" t="str">
        <f ca="1">IFERROR(__xludf.DUMMYFUNCTION("""COMPUTED_VALUE"""),"Gaming")</f>
        <v>Gaming</v>
      </c>
      <c r="E812" s="2">
        <f ca="1">IFERROR(__xludf.DUMMYFUNCTION("""COMPUTED_VALUE"""),17.3)</f>
        <v>17.3</v>
      </c>
      <c r="F812" s="2" t="str">
        <f ca="1">IFERROR(__xludf.DUMMYFUNCTION("""COMPUTED_VALUE"""),"IPS Panel Full HD 1920x1080")</f>
        <v>IPS Panel Full HD 1920x1080</v>
      </c>
      <c r="G812" s="2" t="str">
        <f ca="1">IFERROR(__xludf.DUMMYFUNCTION("""COMPUTED_VALUE"""),"Intel Core i7 7700HQ 2.8GHz")</f>
        <v>Intel Core i7 7700HQ 2.8GHz</v>
      </c>
      <c r="H812" s="2" t="str">
        <f ca="1">IFERROR(__xludf.DUMMYFUNCTION("""COMPUTED_VALUE"""),"12GB")</f>
        <v>12GB</v>
      </c>
      <c r="I812" s="2" t="str">
        <f ca="1">IFERROR(__xludf.DUMMYFUNCTION("""COMPUTED_VALUE"""),"1TB HDD")</f>
        <v>1TB HDD</v>
      </c>
      <c r="J812" s="2" t="str">
        <f ca="1">IFERROR(__xludf.DUMMYFUNCTION("""COMPUTED_VALUE"""),"AMD Radeon RX 580")</f>
        <v>AMD Radeon RX 580</v>
      </c>
      <c r="K812" s="2" t="str">
        <f ca="1">IFERROR(__xludf.DUMMYFUNCTION("""COMPUTED_VALUE"""),"Windows 10")</f>
        <v>Windows 10</v>
      </c>
      <c r="L812" s="2" t="str">
        <f ca="1">IFERROR(__xludf.DUMMYFUNCTION("""COMPUTED_VALUE"""),"3.74kg")</f>
        <v>3.74kg</v>
      </c>
      <c r="M812" s="2">
        <f ca="1">IFERROR(__xludf.DUMMYFUNCTION("""COMPUTED_VALUE"""),1749)</f>
        <v>1749</v>
      </c>
    </row>
    <row r="813" spans="1:13">
      <c r="A813" s="2">
        <f ca="1">IFERROR(__xludf.DUMMYFUNCTION("""COMPUTED_VALUE"""),820)</f>
        <v>820</v>
      </c>
      <c r="B813" s="2" t="str">
        <f ca="1">IFERROR(__xludf.DUMMYFUNCTION("""COMPUTED_VALUE"""),"MSI")</f>
        <v>MSI</v>
      </c>
      <c r="C813" s="2" t="str">
        <f ca="1">IFERROR(__xludf.DUMMYFUNCTION("""COMPUTED_VALUE"""),"GE72MVR 7RG")</f>
        <v>GE72MVR 7RG</v>
      </c>
      <c r="D813" s="2" t="str">
        <f ca="1">IFERROR(__xludf.DUMMYFUNCTION("""COMPUTED_VALUE"""),"Gaming")</f>
        <v>Gaming</v>
      </c>
      <c r="E813" s="2">
        <f ca="1">IFERROR(__xludf.DUMMYFUNCTION("""COMPUTED_VALUE"""),17.3)</f>
        <v>17.3</v>
      </c>
      <c r="F813" s="2" t="str">
        <f ca="1">IFERROR(__xludf.DUMMYFUNCTION("""COMPUTED_VALUE"""),"Full HD 1920x1080")</f>
        <v>Full HD 1920x1080</v>
      </c>
      <c r="G813" s="2" t="str">
        <f ca="1">IFERROR(__xludf.DUMMYFUNCTION("""COMPUTED_VALUE"""),"Intel Core i7 7700HQ 2.8GHz")</f>
        <v>Intel Core i7 7700HQ 2.8GHz</v>
      </c>
      <c r="H813" s="2" t="str">
        <f ca="1">IFERROR(__xludf.DUMMYFUNCTION("""COMPUTED_VALUE"""),"16GB")</f>
        <v>16GB</v>
      </c>
      <c r="I813" s="2" t="str">
        <f ca="1">IFERROR(__xludf.DUMMYFUNCTION("""COMPUTED_VALUE"""),"512GB SSD +  1TB HDD")</f>
        <v>512GB SSD +  1TB HDD</v>
      </c>
      <c r="J813" s="2" t="str">
        <f ca="1">IFERROR(__xludf.DUMMYFUNCTION("""COMPUTED_VALUE"""),"Nvidia GeForce GTX 1070")</f>
        <v>Nvidia GeForce GTX 1070</v>
      </c>
      <c r="K813" s="2" t="str">
        <f ca="1">IFERROR(__xludf.DUMMYFUNCTION("""COMPUTED_VALUE"""),"Windows 10")</f>
        <v>Windows 10</v>
      </c>
      <c r="L813" s="2" t="str">
        <f ca="1">IFERROR(__xludf.DUMMYFUNCTION("""COMPUTED_VALUE"""),"2.9kg")</f>
        <v>2.9kg</v>
      </c>
      <c r="M813" s="2">
        <f ca="1">IFERROR(__xludf.DUMMYFUNCTION("""COMPUTED_VALUE"""),2415)</f>
        <v>2415</v>
      </c>
    </row>
    <row r="814" spans="1:13">
      <c r="A814" s="2">
        <f ca="1">IFERROR(__xludf.DUMMYFUNCTION("""COMPUTED_VALUE"""),821)</f>
        <v>821</v>
      </c>
      <c r="B814" s="2" t="str">
        <f ca="1">IFERROR(__xludf.DUMMYFUNCTION("""COMPUTED_VALUE"""),"Samsung")</f>
        <v>Samsung</v>
      </c>
      <c r="C814" s="2" t="str">
        <f ca="1">IFERROR(__xludf.DUMMYFUNCTION("""COMPUTED_VALUE"""),"Notebook 9")</f>
        <v>Notebook 9</v>
      </c>
      <c r="D814" s="2" t="str">
        <f ca="1">IFERROR(__xludf.DUMMYFUNCTION("""COMPUTED_VALUE"""),"Ultrabook")</f>
        <v>Ultrabook</v>
      </c>
      <c r="E814" s="2">
        <f ca="1">IFERROR(__xludf.DUMMYFUNCTION("""COMPUTED_VALUE"""),13.3)</f>
        <v>13.3</v>
      </c>
      <c r="F814" s="2" t="str">
        <f ca="1">IFERROR(__xludf.DUMMYFUNCTION("""COMPUTED_VALUE"""),"Full HD 1920x1080")</f>
        <v>Full HD 1920x1080</v>
      </c>
      <c r="G814" s="2" t="str">
        <f ca="1">IFERROR(__xludf.DUMMYFUNCTION("""COMPUTED_VALUE"""),"Intel Core i5 7200U 2.5GHz")</f>
        <v>Intel Core i5 7200U 2.5GHz</v>
      </c>
      <c r="H814" s="2" t="str">
        <f ca="1">IFERROR(__xludf.DUMMYFUNCTION("""COMPUTED_VALUE"""),"8GB")</f>
        <v>8GB</v>
      </c>
      <c r="I814" s="2" t="str">
        <f ca="1">IFERROR(__xludf.DUMMYFUNCTION("""COMPUTED_VALUE"""),"256GB SSD")</f>
        <v>256GB SSD</v>
      </c>
      <c r="J814" s="2" t="str">
        <f ca="1">IFERROR(__xludf.DUMMYFUNCTION("""COMPUTED_VALUE"""),"Intel HD Graphics 620")</f>
        <v>Intel HD Graphics 620</v>
      </c>
      <c r="K814" s="2" t="str">
        <f ca="1">IFERROR(__xludf.DUMMYFUNCTION("""COMPUTED_VALUE"""),"Windows 10")</f>
        <v>Windows 10</v>
      </c>
      <c r="L814" s="2" t="str">
        <f ca="1">IFERROR(__xludf.DUMMYFUNCTION("""COMPUTED_VALUE"""),"0.81kg")</f>
        <v>0.81kg</v>
      </c>
      <c r="M814" s="2">
        <f ca="1">IFERROR(__xludf.DUMMYFUNCTION("""COMPUTED_VALUE"""),1499)</f>
        <v>1499</v>
      </c>
    </row>
    <row r="815" spans="1:13">
      <c r="A815" s="2">
        <f ca="1">IFERROR(__xludf.DUMMYFUNCTION("""COMPUTED_VALUE"""),822)</f>
        <v>822</v>
      </c>
      <c r="B815" s="2" t="str">
        <f ca="1">IFERROR(__xludf.DUMMYFUNCTION("""COMPUTED_VALUE"""),"Dell")</f>
        <v>Dell</v>
      </c>
      <c r="C815" s="2" t="str">
        <f ca="1">IFERROR(__xludf.DUMMYFUNCTION("""COMPUTED_VALUE"""),"Vostro 5568")</f>
        <v>Vostro 5568</v>
      </c>
      <c r="D815" s="2" t="str">
        <f ca="1">IFERROR(__xludf.DUMMYFUNCTION("""COMPUTED_VALUE"""),"Notebook")</f>
        <v>Notebook</v>
      </c>
      <c r="E815" s="2">
        <f ca="1">IFERROR(__xludf.DUMMYFUNCTION("""COMPUTED_VALUE"""),15.6)</f>
        <v>15.6</v>
      </c>
      <c r="F815" s="2" t="str">
        <f ca="1">IFERROR(__xludf.DUMMYFUNCTION("""COMPUTED_VALUE"""),"Full HD 1920x1080")</f>
        <v>Full HD 1920x1080</v>
      </c>
      <c r="G815" s="2" t="str">
        <f ca="1">IFERROR(__xludf.DUMMYFUNCTION("""COMPUTED_VALUE"""),"Intel Core i7 7500U 2.7GHz")</f>
        <v>Intel Core i7 7500U 2.7GHz</v>
      </c>
      <c r="H815" s="2" t="str">
        <f ca="1">IFERROR(__xludf.DUMMYFUNCTION("""COMPUTED_VALUE"""),"8GB")</f>
        <v>8GB</v>
      </c>
      <c r="I815" s="2" t="str">
        <f ca="1">IFERROR(__xludf.DUMMYFUNCTION("""COMPUTED_VALUE"""),"1TB HDD")</f>
        <v>1TB HDD</v>
      </c>
      <c r="J815" s="2" t="str">
        <f ca="1">IFERROR(__xludf.DUMMYFUNCTION("""COMPUTED_VALUE"""),"Nvidia GeForce GT 940MX")</f>
        <v>Nvidia GeForce GT 940MX</v>
      </c>
      <c r="K815" s="2" t="str">
        <f ca="1">IFERROR(__xludf.DUMMYFUNCTION("""COMPUTED_VALUE"""),"Windows 10")</f>
        <v>Windows 10</v>
      </c>
      <c r="L815" s="2" t="str">
        <f ca="1">IFERROR(__xludf.DUMMYFUNCTION("""COMPUTED_VALUE"""),"1.98kg")</f>
        <v>1.98kg</v>
      </c>
      <c r="M815" s="2">
        <f ca="1">IFERROR(__xludf.DUMMYFUNCTION("""COMPUTED_VALUE"""),961)</f>
        <v>961</v>
      </c>
    </row>
    <row r="816" spans="1:13">
      <c r="A816" s="2">
        <f ca="1">IFERROR(__xludf.DUMMYFUNCTION("""COMPUTED_VALUE"""),823)</f>
        <v>823</v>
      </c>
      <c r="B816" s="2" t="str">
        <f ca="1">IFERROR(__xludf.DUMMYFUNCTION("""COMPUTED_VALUE"""),"Dell")</f>
        <v>Dell</v>
      </c>
      <c r="C816" s="2" t="str">
        <f ca="1">IFERROR(__xludf.DUMMYFUNCTION("""COMPUTED_VALUE"""),"Vostro 3568")</f>
        <v>Vostro 3568</v>
      </c>
      <c r="D816" s="2" t="str">
        <f ca="1">IFERROR(__xludf.DUMMYFUNCTION("""COMPUTED_VALUE"""),"Notebook")</f>
        <v>Notebook</v>
      </c>
      <c r="E816" s="2">
        <f ca="1">IFERROR(__xludf.DUMMYFUNCTION("""COMPUTED_VALUE"""),15.6)</f>
        <v>15.6</v>
      </c>
      <c r="F816" s="2" t="str">
        <f ca="1">IFERROR(__xludf.DUMMYFUNCTION("""COMPUTED_VALUE"""),"Full HD 1920x1080")</f>
        <v>Full HD 1920x1080</v>
      </c>
      <c r="G816" s="2" t="str">
        <f ca="1">IFERROR(__xludf.DUMMYFUNCTION("""COMPUTED_VALUE"""),"Intel Core i5 7200U 2.5GHz")</f>
        <v>Intel Core i5 7200U 2.5GHz</v>
      </c>
      <c r="H816" s="2" t="str">
        <f ca="1">IFERROR(__xludf.DUMMYFUNCTION("""COMPUTED_VALUE"""),"8GB")</f>
        <v>8GB</v>
      </c>
      <c r="I816" s="2" t="str">
        <f ca="1">IFERROR(__xludf.DUMMYFUNCTION("""COMPUTED_VALUE"""),"256GB SSD")</f>
        <v>256GB SSD</v>
      </c>
      <c r="J816" s="2" t="str">
        <f ca="1">IFERROR(__xludf.DUMMYFUNCTION("""COMPUTED_VALUE"""),"AMD Radeon R5 M420")</f>
        <v>AMD Radeon R5 M420</v>
      </c>
      <c r="K816" s="2" t="str">
        <f ca="1">IFERROR(__xludf.DUMMYFUNCTION("""COMPUTED_VALUE"""),"Windows 10")</f>
        <v>Windows 10</v>
      </c>
      <c r="L816" s="2" t="str">
        <f ca="1">IFERROR(__xludf.DUMMYFUNCTION("""COMPUTED_VALUE"""),"2.18kg")</f>
        <v>2.18kg</v>
      </c>
      <c r="M816" s="2">
        <f ca="1">IFERROR(__xludf.DUMMYFUNCTION("""COMPUTED_VALUE"""),789.81)</f>
        <v>789.81</v>
      </c>
    </row>
    <row r="817" spans="1:13">
      <c r="A817" s="2">
        <f ca="1">IFERROR(__xludf.DUMMYFUNCTION("""COMPUTED_VALUE"""),824)</f>
        <v>824</v>
      </c>
      <c r="B817" s="2" t="str">
        <f ca="1">IFERROR(__xludf.DUMMYFUNCTION("""COMPUTED_VALUE"""),"Lenovo")</f>
        <v>Lenovo</v>
      </c>
      <c r="C817" s="2" t="str">
        <f ca="1">IFERROR(__xludf.DUMMYFUNCTION("""COMPUTED_VALUE"""),"Thinkpad T470s")</f>
        <v>Thinkpad T470s</v>
      </c>
      <c r="D817" s="2" t="str">
        <f ca="1">IFERROR(__xludf.DUMMYFUNCTION("""COMPUTED_VALUE"""),"Ultrabook")</f>
        <v>Ultrabook</v>
      </c>
      <c r="E817" s="2">
        <f ca="1">IFERROR(__xludf.DUMMYFUNCTION("""COMPUTED_VALUE"""),14)</f>
        <v>14</v>
      </c>
      <c r="F817" s="2" t="str">
        <f ca="1">IFERROR(__xludf.DUMMYFUNCTION("""COMPUTED_VALUE"""),"Full HD 1920x1080")</f>
        <v>Full HD 1920x1080</v>
      </c>
      <c r="G817" s="2" t="str">
        <f ca="1">IFERROR(__xludf.DUMMYFUNCTION("""COMPUTED_VALUE"""),"Intel Core i7 7500U 2.7GHz")</f>
        <v>Intel Core i7 7500U 2.7GHz</v>
      </c>
      <c r="H817" s="2" t="str">
        <f ca="1">IFERROR(__xludf.DUMMYFUNCTION("""COMPUTED_VALUE"""),"8GB")</f>
        <v>8GB</v>
      </c>
      <c r="I817" s="2" t="str">
        <f ca="1">IFERROR(__xludf.DUMMYFUNCTION("""COMPUTED_VALUE"""),"256GB SSD")</f>
        <v>256GB SSD</v>
      </c>
      <c r="J817" s="2" t="str">
        <f ca="1">IFERROR(__xludf.DUMMYFUNCTION("""COMPUTED_VALUE"""),"Intel HD Graphics 620")</f>
        <v>Intel HD Graphics 620</v>
      </c>
      <c r="K817" s="2" t="str">
        <f ca="1">IFERROR(__xludf.DUMMYFUNCTION("""COMPUTED_VALUE"""),"Windows 10")</f>
        <v>Windows 10</v>
      </c>
      <c r="L817" s="2" t="str">
        <f ca="1">IFERROR(__xludf.DUMMYFUNCTION("""COMPUTED_VALUE"""),"1.32kg")</f>
        <v>1.32kg</v>
      </c>
      <c r="M817" s="2">
        <f ca="1">IFERROR(__xludf.DUMMYFUNCTION("""COMPUTED_VALUE"""),1859)</f>
        <v>1859</v>
      </c>
    </row>
    <row r="818" spans="1:13">
      <c r="A818" s="2">
        <f ca="1">IFERROR(__xludf.DUMMYFUNCTION("""COMPUTED_VALUE"""),825)</f>
        <v>825</v>
      </c>
      <c r="B818" s="2" t="str">
        <f ca="1">IFERROR(__xludf.DUMMYFUNCTION("""COMPUTED_VALUE"""),"Razer")</f>
        <v>Razer</v>
      </c>
      <c r="C818" s="2" t="str">
        <f ca="1">IFERROR(__xludf.DUMMYFUNCTION("""COMPUTED_VALUE"""),"Blade Stealth")</f>
        <v>Blade Stealth</v>
      </c>
      <c r="D818" s="2" t="str">
        <f ca="1">IFERROR(__xludf.DUMMYFUNCTION("""COMPUTED_VALUE"""),"Ultrabook")</f>
        <v>Ultrabook</v>
      </c>
      <c r="E818" s="2">
        <f ca="1">IFERROR(__xludf.DUMMYFUNCTION("""COMPUTED_VALUE"""),12.5)</f>
        <v>12.5</v>
      </c>
      <c r="F818" s="2" t="str">
        <f ca="1">IFERROR(__xludf.DUMMYFUNCTION("""COMPUTED_VALUE"""),"IPS Panel 4K Ultra HD / Touchscreen 3840x2160")</f>
        <v>IPS Panel 4K Ultra HD / Touchscreen 3840x2160</v>
      </c>
      <c r="G818" s="2" t="str">
        <f ca="1">IFERROR(__xludf.DUMMYFUNCTION("""COMPUTED_VALUE"""),"Intel Core i7 7500U 2.5GHz")</f>
        <v>Intel Core i7 7500U 2.5GHz</v>
      </c>
      <c r="H818" s="2" t="str">
        <f ca="1">IFERROR(__xludf.DUMMYFUNCTION("""COMPUTED_VALUE"""),"16GB")</f>
        <v>16GB</v>
      </c>
      <c r="I818" s="2" t="str">
        <f ca="1">IFERROR(__xludf.DUMMYFUNCTION("""COMPUTED_VALUE"""),"512GB SSD")</f>
        <v>512GB SSD</v>
      </c>
      <c r="J818" s="2" t="str">
        <f ca="1">IFERROR(__xludf.DUMMYFUNCTION("""COMPUTED_VALUE"""),"Intel HD Graphics 620")</f>
        <v>Intel HD Graphics 620</v>
      </c>
      <c r="K818" s="2" t="str">
        <f ca="1">IFERROR(__xludf.DUMMYFUNCTION("""COMPUTED_VALUE"""),"Windows 10")</f>
        <v>Windows 10</v>
      </c>
      <c r="L818" s="2" t="str">
        <f ca="1">IFERROR(__xludf.DUMMYFUNCTION("""COMPUTED_VALUE"""),"1.29kg")</f>
        <v>1.29kg</v>
      </c>
      <c r="M818" s="2">
        <f ca="1">IFERROR(__xludf.DUMMYFUNCTION("""COMPUTED_VALUE"""),1799)</f>
        <v>1799</v>
      </c>
    </row>
    <row r="819" spans="1:13">
      <c r="A819" s="2">
        <f ca="1">IFERROR(__xludf.DUMMYFUNCTION("""COMPUTED_VALUE"""),826)</f>
        <v>826</v>
      </c>
      <c r="B819" s="2" t="str">
        <f ca="1">IFERROR(__xludf.DUMMYFUNCTION("""COMPUTED_VALUE"""),"HP")</f>
        <v>HP</v>
      </c>
      <c r="C819" s="2" t="str">
        <f ca="1">IFERROR(__xludf.DUMMYFUNCTION("""COMPUTED_VALUE"""),"Chromebook 11")</f>
        <v>Chromebook 11</v>
      </c>
      <c r="D819" s="2" t="str">
        <f ca="1">IFERROR(__xludf.DUMMYFUNCTION("""COMPUTED_VALUE"""),"Netbook")</f>
        <v>Netbook</v>
      </c>
      <c r="E819" s="2">
        <f ca="1">IFERROR(__xludf.DUMMYFUNCTION("""COMPUTED_VALUE"""),11.6)</f>
        <v>11.6</v>
      </c>
      <c r="F819" s="2" t="str">
        <f ca="1">IFERROR(__xludf.DUMMYFUNCTION("""COMPUTED_VALUE"""),"1366x768")</f>
        <v>1366x768</v>
      </c>
      <c r="G819" s="2" t="str">
        <f ca="1">IFERROR(__xludf.DUMMYFUNCTION("""COMPUTED_VALUE"""),"Intel Celeron Dual Core N3060 1.6GHz")</f>
        <v>Intel Celeron Dual Core N3060 1.6GHz</v>
      </c>
      <c r="H819" s="2" t="str">
        <f ca="1">IFERROR(__xludf.DUMMYFUNCTION("""COMPUTED_VALUE"""),"4GB")</f>
        <v>4GB</v>
      </c>
      <c r="I819" s="2" t="str">
        <f ca="1">IFERROR(__xludf.DUMMYFUNCTION("""COMPUTED_VALUE"""),"16GB Flash Storage")</f>
        <v>16GB Flash Storage</v>
      </c>
      <c r="J819" s="2" t="str">
        <f ca="1">IFERROR(__xludf.DUMMYFUNCTION("""COMPUTED_VALUE"""),"Intel HD Graphics 400")</f>
        <v>Intel HD Graphics 400</v>
      </c>
      <c r="K819" s="2" t="str">
        <f ca="1">IFERROR(__xludf.DUMMYFUNCTION("""COMPUTED_VALUE"""),"Chrome OS")</f>
        <v>Chrome OS</v>
      </c>
      <c r="L819" s="2" t="str">
        <f ca="1">IFERROR(__xludf.DUMMYFUNCTION("""COMPUTED_VALUE"""),"1.23kg")</f>
        <v>1.23kg</v>
      </c>
      <c r="M819" s="2">
        <f ca="1">IFERROR(__xludf.DUMMYFUNCTION("""COMPUTED_VALUE"""),385)</f>
        <v>385</v>
      </c>
    </row>
    <row r="820" spans="1:13">
      <c r="A820" s="2">
        <f ca="1">IFERROR(__xludf.DUMMYFUNCTION("""COMPUTED_VALUE"""),827)</f>
        <v>827</v>
      </c>
      <c r="B820" s="2" t="str">
        <f ca="1">IFERROR(__xludf.DUMMYFUNCTION("""COMPUTED_VALUE"""),"Dell")</f>
        <v>Dell</v>
      </c>
      <c r="C820" s="2" t="str">
        <f ca="1">IFERROR(__xludf.DUMMYFUNCTION("""COMPUTED_VALUE"""),"Alienware 17")</f>
        <v>Alienware 17</v>
      </c>
      <c r="D820" s="2" t="str">
        <f ca="1">IFERROR(__xludf.DUMMYFUNCTION("""COMPUTED_VALUE"""),"Gaming")</f>
        <v>Gaming</v>
      </c>
      <c r="E820" s="2">
        <f ca="1">IFERROR(__xludf.DUMMYFUNCTION("""COMPUTED_VALUE"""),17.3)</f>
        <v>17.3</v>
      </c>
      <c r="F820" s="2" t="str">
        <f ca="1">IFERROR(__xludf.DUMMYFUNCTION("""COMPUTED_VALUE"""),"IPS Panel Full HD 1920x1080")</f>
        <v>IPS Panel Full HD 1920x1080</v>
      </c>
      <c r="G820" s="2" t="str">
        <f ca="1">IFERROR(__xludf.DUMMYFUNCTION("""COMPUTED_VALUE"""),"Intel Core i7 7700HQ 2.8GHz")</f>
        <v>Intel Core i7 7700HQ 2.8GHz</v>
      </c>
      <c r="H820" s="2" t="str">
        <f ca="1">IFERROR(__xludf.DUMMYFUNCTION("""COMPUTED_VALUE"""),"16GB")</f>
        <v>16GB</v>
      </c>
      <c r="I820" s="2" t="str">
        <f ca="1">IFERROR(__xludf.DUMMYFUNCTION("""COMPUTED_VALUE"""),"128GB SSD +  1TB HDD")</f>
        <v>128GB SSD +  1TB HDD</v>
      </c>
      <c r="J820" s="2" t="str">
        <f ca="1">IFERROR(__xludf.DUMMYFUNCTION("""COMPUTED_VALUE"""),"Nvidia GeForce GTX 1060")</f>
        <v>Nvidia GeForce GTX 1060</v>
      </c>
      <c r="K820" s="2" t="str">
        <f ca="1">IFERROR(__xludf.DUMMYFUNCTION("""COMPUTED_VALUE"""),"Windows 10")</f>
        <v>Windows 10</v>
      </c>
      <c r="L820" s="2" t="str">
        <f ca="1">IFERROR(__xludf.DUMMYFUNCTION("""COMPUTED_VALUE"""),"4.36kg")</f>
        <v>4.36kg</v>
      </c>
      <c r="M820" s="2">
        <f ca="1">IFERROR(__xludf.DUMMYFUNCTION("""COMPUTED_VALUE"""),2505.02)</f>
        <v>2505.02</v>
      </c>
    </row>
    <row r="821" spans="1:13">
      <c r="A821" s="2">
        <f ca="1">IFERROR(__xludf.DUMMYFUNCTION("""COMPUTED_VALUE"""),828)</f>
        <v>828</v>
      </c>
      <c r="B821" s="2" t="str">
        <f ca="1">IFERROR(__xludf.DUMMYFUNCTION("""COMPUTED_VALUE"""),"Dell")</f>
        <v>Dell</v>
      </c>
      <c r="C821" s="2" t="str">
        <f ca="1">IFERROR(__xludf.DUMMYFUNCTION("""COMPUTED_VALUE"""),"Latitude 3480")</f>
        <v>Latitude 3480</v>
      </c>
      <c r="D821" s="2" t="str">
        <f ca="1">IFERROR(__xludf.DUMMYFUNCTION("""COMPUTED_VALUE"""),"Notebook")</f>
        <v>Notebook</v>
      </c>
      <c r="E821" s="2">
        <f ca="1">IFERROR(__xludf.DUMMYFUNCTION("""COMPUTED_VALUE"""),14)</f>
        <v>14</v>
      </c>
      <c r="F821" s="2" t="str">
        <f ca="1">IFERROR(__xludf.DUMMYFUNCTION("""COMPUTED_VALUE"""),"1366x768")</f>
        <v>1366x768</v>
      </c>
      <c r="G821" s="2" t="str">
        <f ca="1">IFERROR(__xludf.DUMMYFUNCTION("""COMPUTED_VALUE"""),"Intel Core i5 6200U 2.3GHz")</f>
        <v>Intel Core i5 6200U 2.3GHz</v>
      </c>
      <c r="H821" s="2" t="str">
        <f ca="1">IFERROR(__xludf.DUMMYFUNCTION("""COMPUTED_VALUE"""),"4GB")</f>
        <v>4GB</v>
      </c>
      <c r="I821" s="2" t="str">
        <f ca="1">IFERROR(__xludf.DUMMYFUNCTION("""COMPUTED_VALUE"""),"500GB HDD")</f>
        <v>500GB HDD</v>
      </c>
      <c r="J821" s="2" t="str">
        <f ca="1">IFERROR(__xludf.DUMMYFUNCTION("""COMPUTED_VALUE"""),"Intel HD Graphics 520")</f>
        <v>Intel HD Graphics 520</v>
      </c>
      <c r="K821" s="2" t="str">
        <f ca="1">IFERROR(__xludf.DUMMYFUNCTION("""COMPUTED_VALUE"""),"Windows 10")</f>
        <v>Windows 10</v>
      </c>
      <c r="L821" s="2" t="str">
        <f ca="1">IFERROR(__xludf.DUMMYFUNCTION("""COMPUTED_VALUE"""),"1.76kg")</f>
        <v>1.76kg</v>
      </c>
      <c r="M821" s="2">
        <f ca="1">IFERROR(__xludf.DUMMYFUNCTION("""COMPUTED_VALUE"""),755)</f>
        <v>755</v>
      </c>
    </row>
    <row r="822" spans="1:13">
      <c r="A822" s="2">
        <f ca="1">IFERROR(__xludf.DUMMYFUNCTION("""COMPUTED_VALUE"""),829)</f>
        <v>829</v>
      </c>
      <c r="B822" s="2" t="str">
        <f ca="1">IFERROR(__xludf.DUMMYFUNCTION("""COMPUTED_VALUE"""),"Lenovo")</f>
        <v>Lenovo</v>
      </c>
      <c r="C822" s="2" t="str">
        <f ca="1">IFERROR(__xludf.DUMMYFUNCTION("""COMPUTED_VALUE"""),"V110-15ISK (i3-6006U/4GB/500GB/W10)")</f>
        <v>V110-15ISK (i3-6006U/4GB/500GB/W10)</v>
      </c>
      <c r="D822" s="2" t="str">
        <f ca="1">IFERROR(__xludf.DUMMYFUNCTION("""COMPUTED_VALUE"""),"Notebook")</f>
        <v>Notebook</v>
      </c>
      <c r="E822" s="2">
        <f ca="1">IFERROR(__xludf.DUMMYFUNCTION("""COMPUTED_VALUE"""),15.6)</f>
        <v>15.6</v>
      </c>
      <c r="F822" s="2" t="str">
        <f ca="1">IFERROR(__xludf.DUMMYFUNCTION("""COMPUTED_VALUE"""),"1366x768")</f>
        <v>1366x768</v>
      </c>
      <c r="G822" s="2" t="str">
        <f ca="1">IFERROR(__xludf.DUMMYFUNCTION("""COMPUTED_VALUE"""),"Intel Core i3 6006U 2GHz")</f>
        <v>Intel Core i3 6006U 2GHz</v>
      </c>
      <c r="H822" s="2" t="str">
        <f ca="1">IFERROR(__xludf.DUMMYFUNCTION("""COMPUTED_VALUE"""),"4GB")</f>
        <v>4GB</v>
      </c>
      <c r="I822" s="2" t="str">
        <f ca="1">IFERROR(__xludf.DUMMYFUNCTION("""COMPUTED_VALUE"""),"500GB HDD")</f>
        <v>500GB HDD</v>
      </c>
      <c r="J822" s="2" t="str">
        <f ca="1">IFERROR(__xludf.DUMMYFUNCTION("""COMPUTED_VALUE"""),"Intel HD Graphics 520")</f>
        <v>Intel HD Graphics 520</v>
      </c>
      <c r="K822" s="2" t="str">
        <f ca="1">IFERROR(__xludf.DUMMYFUNCTION("""COMPUTED_VALUE"""),"Windows 10")</f>
        <v>Windows 10</v>
      </c>
      <c r="L822" s="2" t="str">
        <f ca="1">IFERROR(__xludf.DUMMYFUNCTION("""COMPUTED_VALUE"""),"2.1kg")</f>
        <v>2.1kg</v>
      </c>
      <c r="M822" s="2">
        <f ca="1">IFERROR(__xludf.DUMMYFUNCTION("""COMPUTED_VALUE"""),489.9)</f>
        <v>489.9</v>
      </c>
    </row>
    <row r="823" spans="1:13">
      <c r="A823" s="2">
        <f ca="1">IFERROR(__xludf.DUMMYFUNCTION("""COMPUTED_VALUE"""),830)</f>
        <v>830</v>
      </c>
      <c r="B823" s="2" t="str">
        <f ca="1">IFERROR(__xludf.DUMMYFUNCTION("""COMPUTED_VALUE"""),"Toshiba")</f>
        <v>Toshiba</v>
      </c>
      <c r="C823" s="2" t="str">
        <f ca="1">IFERROR(__xludf.DUMMYFUNCTION("""COMPUTED_VALUE"""),"Tecra X40-D-10Z")</f>
        <v>Tecra X40-D-10Z</v>
      </c>
      <c r="D823" s="2" t="str">
        <f ca="1">IFERROR(__xludf.DUMMYFUNCTION("""COMPUTED_VALUE"""),"Ultrabook")</f>
        <v>Ultrabook</v>
      </c>
      <c r="E823" s="2">
        <f ca="1">IFERROR(__xludf.DUMMYFUNCTION("""COMPUTED_VALUE"""),14)</f>
        <v>14</v>
      </c>
      <c r="F823" s="2" t="str">
        <f ca="1">IFERROR(__xludf.DUMMYFUNCTION("""COMPUTED_VALUE"""),"1366x768")</f>
        <v>1366x768</v>
      </c>
      <c r="G823" s="2" t="str">
        <f ca="1">IFERROR(__xludf.DUMMYFUNCTION("""COMPUTED_VALUE"""),"Intel Core i5 7200U 2.5GHz")</f>
        <v>Intel Core i5 7200U 2.5GHz</v>
      </c>
      <c r="H823" s="2" t="str">
        <f ca="1">IFERROR(__xludf.DUMMYFUNCTION("""COMPUTED_VALUE"""),"4GB")</f>
        <v>4GB</v>
      </c>
      <c r="I823" s="2" t="str">
        <f ca="1">IFERROR(__xludf.DUMMYFUNCTION("""COMPUTED_VALUE"""),"128GB SSD")</f>
        <v>128GB SSD</v>
      </c>
      <c r="J823" s="2" t="str">
        <f ca="1">IFERROR(__xludf.DUMMYFUNCTION("""COMPUTED_VALUE"""),"Intel HD Graphics 620")</f>
        <v>Intel HD Graphics 620</v>
      </c>
      <c r="K823" s="2" t="str">
        <f ca="1">IFERROR(__xludf.DUMMYFUNCTION("""COMPUTED_VALUE"""),"Windows 10")</f>
        <v>Windows 10</v>
      </c>
      <c r="L823" s="2" t="str">
        <f ca="1">IFERROR(__xludf.DUMMYFUNCTION("""COMPUTED_VALUE"""),"1.25kg")</f>
        <v>1.25kg</v>
      </c>
      <c r="M823" s="2">
        <f ca="1">IFERROR(__xludf.DUMMYFUNCTION("""COMPUTED_VALUE"""),1090)</f>
        <v>1090</v>
      </c>
    </row>
    <row r="824" spans="1:13">
      <c r="A824" s="2">
        <f ca="1">IFERROR(__xludf.DUMMYFUNCTION("""COMPUTED_VALUE"""),831)</f>
        <v>831</v>
      </c>
      <c r="B824" s="2" t="str">
        <f ca="1">IFERROR(__xludf.DUMMYFUNCTION("""COMPUTED_VALUE"""),"Lenovo")</f>
        <v>Lenovo</v>
      </c>
      <c r="C824" s="2" t="str">
        <f ca="1">IFERROR(__xludf.DUMMYFUNCTION("""COMPUTED_VALUE"""),"Thinkpad X1")</f>
        <v>Thinkpad X1</v>
      </c>
      <c r="D824" s="2" t="str">
        <f ca="1">IFERROR(__xludf.DUMMYFUNCTION("""COMPUTED_VALUE"""),"Ultrabook")</f>
        <v>Ultrabook</v>
      </c>
      <c r="E824" s="2">
        <f ca="1">IFERROR(__xludf.DUMMYFUNCTION("""COMPUTED_VALUE"""),14)</f>
        <v>14</v>
      </c>
      <c r="F824" s="2" t="str">
        <f ca="1">IFERROR(__xludf.DUMMYFUNCTION("""COMPUTED_VALUE"""),"IPS Panel Full HD 1920x1080")</f>
        <v>IPS Panel Full HD 1920x1080</v>
      </c>
      <c r="G824" s="2" t="str">
        <f ca="1">IFERROR(__xludf.DUMMYFUNCTION("""COMPUTED_VALUE"""),"Intel Core i7 7500U 2.7GHz")</f>
        <v>Intel Core i7 7500U 2.7GHz</v>
      </c>
      <c r="H824" s="2" t="str">
        <f ca="1">IFERROR(__xludf.DUMMYFUNCTION("""COMPUTED_VALUE"""),"8GB")</f>
        <v>8GB</v>
      </c>
      <c r="I824" s="2" t="str">
        <f ca="1">IFERROR(__xludf.DUMMYFUNCTION("""COMPUTED_VALUE"""),"512GB SSD")</f>
        <v>512GB SSD</v>
      </c>
      <c r="J824" s="2" t="str">
        <f ca="1">IFERROR(__xludf.DUMMYFUNCTION("""COMPUTED_VALUE"""),"Intel HD Graphics 620")</f>
        <v>Intel HD Graphics 620</v>
      </c>
      <c r="K824" s="2" t="str">
        <f ca="1">IFERROR(__xludf.DUMMYFUNCTION("""COMPUTED_VALUE"""),"Windows 10")</f>
        <v>Windows 10</v>
      </c>
      <c r="L824" s="2" t="str">
        <f ca="1">IFERROR(__xludf.DUMMYFUNCTION("""COMPUTED_VALUE"""),"1.13kg")</f>
        <v>1.13kg</v>
      </c>
      <c r="M824" s="2">
        <f ca="1">IFERROR(__xludf.DUMMYFUNCTION("""COMPUTED_VALUE"""),2499)</f>
        <v>2499</v>
      </c>
    </row>
    <row r="825" spans="1:13">
      <c r="A825" s="2">
        <f ca="1">IFERROR(__xludf.DUMMYFUNCTION("""COMPUTED_VALUE"""),832)</f>
        <v>832</v>
      </c>
      <c r="B825" s="2" t="str">
        <f ca="1">IFERROR(__xludf.DUMMYFUNCTION("""COMPUTED_VALUE"""),"MSI")</f>
        <v>MSI</v>
      </c>
      <c r="C825" s="2" t="str">
        <f ca="1">IFERROR(__xludf.DUMMYFUNCTION("""COMPUTED_VALUE"""),"GL62M 7RD")</f>
        <v>GL62M 7RD</v>
      </c>
      <c r="D825" s="2" t="str">
        <f ca="1">IFERROR(__xludf.DUMMYFUNCTION("""COMPUTED_VALUE"""),"Gaming")</f>
        <v>Gaming</v>
      </c>
      <c r="E825" s="2">
        <f ca="1">IFERROR(__xludf.DUMMYFUNCTION("""COMPUTED_VALUE"""),15.6)</f>
        <v>15.6</v>
      </c>
      <c r="F825" s="2" t="str">
        <f ca="1">IFERROR(__xludf.DUMMYFUNCTION("""COMPUTED_VALUE"""),"Full HD 1920x1080")</f>
        <v>Full HD 1920x1080</v>
      </c>
      <c r="G825" s="2" t="str">
        <f ca="1">IFERROR(__xludf.DUMMYFUNCTION("""COMPUTED_VALUE"""),"Intel Core i5 7300HQ 2.5GHz")</f>
        <v>Intel Core i5 7300HQ 2.5GHz</v>
      </c>
      <c r="H825" s="2" t="str">
        <f ca="1">IFERROR(__xludf.DUMMYFUNCTION("""COMPUTED_VALUE"""),"8GB")</f>
        <v>8GB</v>
      </c>
      <c r="I825" s="2" t="str">
        <f ca="1">IFERROR(__xludf.DUMMYFUNCTION("""COMPUTED_VALUE"""),"256GB SSD")</f>
        <v>256GB SSD</v>
      </c>
      <c r="J825" s="2" t="str">
        <f ca="1">IFERROR(__xludf.DUMMYFUNCTION("""COMPUTED_VALUE"""),"Nvidia GeForce GTX 1050")</f>
        <v>Nvidia GeForce GTX 1050</v>
      </c>
      <c r="K825" s="2" t="str">
        <f ca="1">IFERROR(__xludf.DUMMYFUNCTION("""COMPUTED_VALUE"""),"Windows 10")</f>
        <v>Windows 10</v>
      </c>
      <c r="L825" s="2" t="str">
        <f ca="1">IFERROR(__xludf.DUMMYFUNCTION("""COMPUTED_VALUE"""),"2.4kg")</f>
        <v>2.4kg</v>
      </c>
      <c r="M825" s="2">
        <f ca="1">IFERROR(__xludf.DUMMYFUNCTION("""COMPUTED_VALUE"""),1199)</f>
        <v>1199</v>
      </c>
    </row>
    <row r="826" spans="1:13">
      <c r="A826" s="2">
        <f ca="1">IFERROR(__xludf.DUMMYFUNCTION("""COMPUTED_VALUE"""),833)</f>
        <v>833</v>
      </c>
      <c r="B826" s="2" t="str">
        <f ca="1">IFERROR(__xludf.DUMMYFUNCTION("""COMPUTED_VALUE"""),"Lenovo")</f>
        <v>Lenovo</v>
      </c>
      <c r="C826" s="2" t="str">
        <f ca="1">IFERROR(__xludf.DUMMYFUNCTION("""COMPUTED_VALUE"""),"ThinkPad X1")</f>
        <v>ThinkPad X1</v>
      </c>
      <c r="D826" s="2" t="str">
        <f ca="1">IFERROR(__xludf.DUMMYFUNCTION("""COMPUTED_VALUE"""),"Ultrabook")</f>
        <v>Ultrabook</v>
      </c>
      <c r="E826" s="2">
        <f ca="1">IFERROR(__xludf.DUMMYFUNCTION("""COMPUTED_VALUE"""),14)</f>
        <v>14</v>
      </c>
      <c r="F826" s="2" t="str">
        <f ca="1">IFERROR(__xludf.DUMMYFUNCTION("""COMPUTED_VALUE"""),"IPS Panel Full HD 1920x1080")</f>
        <v>IPS Panel Full HD 1920x1080</v>
      </c>
      <c r="G826" s="2" t="str">
        <f ca="1">IFERROR(__xludf.DUMMYFUNCTION("""COMPUTED_VALUE"""),"Intel Core i5 7200U 2.5GHz")</f>
        <v>Intel Core i5 7200U 2.5GHz</v>
      </c>
      <c r="H826" s="2" t="str">
        <f ca="1">IFERROR(__xludf.DUMMYFUNCTION("""COMPUTED_VALUE"""),"8GB")</f>
        <v>8GB</v>
      </c>
      <c r="I826" s="2" t="str">
        <f ca="1">IFERROR(__xludf.DUMMYFUNCTION("""COMPUTED_VALUE"""),"256GB Flash Storage")</f>
        <v>256GB Flash Storage</v>
      </c>
      <c r="J826" s="2" t="str">
        <f ca="1">IFERROR(__xludf.DUMMYFUNCTION("""COMPUTED_VALUE"""),"Intel HD Graphics 620")</f>
        <v>Intel HD Graphics 620</v>
      </c>
      <c r="K826" s="2" t="str">
        <f ca="1">IFERROR(__xludf.DUMMYFUNCTION("""COMPUTED_VALUE"""),"Windows 10")</f>
        <v>Windows 10</v>
      </c>
      <c r="L826" s="2" t="str">
        <f ca="1">IFERROR(__xludf.DUMMYFUNCTION("""COMPUTED_VALUE"""),"1.13kg")</f>
        <v>1.13kg</v>
      </c>
      <c r="M826" s="2">
        <f ca="1">IFERROR(__xludf.DUMMYFUNCTION("""COMPUTED_VALUE"""),1875)</f>
        <v>1875</v>
      </c>
    </row>
    <row r="827" spans="1:13">
      <c r="A827" s="2">
        <f ca="1">IFERROR(__xludf.DUMMYFUNCTION("""COMPUTED_VALUE"""),834)</f>
        <v>834</v>
      </c>
      <c r="B827" s="2" t="str">
        <f ca="1">IFERROR(__xludf.DUMMYFUNCTION("""COMPUTED_VALUE"""),"Toshiba")</f>
        <v>Toshiba</v>
      </c>
      <c r="C827" s="2" t="str">
        <f ca="1">IFERROR(__xludf.DUMMYFUNCTION("""COMPUTED_VALUE"""),"Satellite Pro")</f>
        <v>Satellite Pro</v>
      </c>
      <c r="D827" s="2" t="str">
        <f ca="1">IFERROR(__xludf.DUMMYFUNCTION("""COMPUTED_VALUE"""),"Notebook")</f>
        <v>Notebook</v>
      </c>
      <c r="E827" s="2">
        <f ca="1">IFERROR(__xludf.DUMMYFUNCTION("""COMPUTED_VALUE"""),14)</f>
        <v>14</v>
      </c>
      <c r="F827" s="2" t="str">
        <f ca="1">IFERROR(__xludf.DUMMYFUNCTION("""COMPUTED_VALUE"""),"1366x768")</f>
        <v>1366x768</v>
      </c>
      <c r="G827" s="2" t="str">
        <f ca="1">IFERROR(__xludf.DUMMYFUNCTION("""COMPUTED_VALUE"""),"Intel Pentium Dual Core 4405U 2.1GHz")</f>
        <v>Intel Pentium Dual Core 4405U 2.1GHz</v>
      </c>
      <c r="H827" s="2" t="str">
        <f ca="1">IFERROR(__xludf.DUMMYFUNCTION("""COMPUTED_VALUE"""),"4GB")</f>
        <v>4GB</v>
      </c>
      <c r="I827" s="2" t="str">
        <f ca="1">IFERROR(__xludf.DUMMYFUNCTION("""COMPUTED_VALUE"""),"128GB SSD")</f>
        <v>128GB SSD</v>
      </c>
      <c r="J827" s="2" t="str">
        <f ca="1">IFERROR(__xludf.DUMMYFUNCTION("""COMPUTED_VALUE"""),"Intel HD Graphics 510")</f>
        <v>Intel HD Graphics 510</v>
      </c>
      <c r="K827" s="2" t="str">
        <f ca="1">IFERROR(__xludf.DUMMYFUNCTION("""COMPUTED_VALUE"""),"Windows 10")</f>
        <v>Windows 10</v>
      </c>
      <c r="L827" s="2" t="str">
        <f ca="1">IFERROR(__xludf.DUMMYFUNCTION("""COMPUTED_VALUE"""),"1.75kg")</f>
        <v>1.75kg</v>
      </c>
      <c r="M827" s="2">
        <f ca="1">IFERROR(__xludf.DUMMYFUNCTION("""COMPUTED_VALUE"""),499)</f>
        <v>499</v>
      </c>
    </row>
    <row r="828" spans="1:13">
      <c r="A828" s="2">
        <f ca="1">IFERROR(__xludf.DUMMYFUNCTION("""COMPUTED_VALUE"""),835)</f>
        <v>835</v>
      </c>
      <c r="B828" s="2" t="str">
        <f ca="1">IFERROR(__xludf.DUMMYFUNCTION("""COMPUTED_VALUE"""),"Asus")</f>
        <v>Asus</v>
      </c>
      <c r="C828" s="2" t="str">
        <f ca="1">IFERROR(__xludf.DUMMYFUNCTION("""COMPUTED_VALUE"""),"ZenBook Flip")</f>
        <v>ZenBook Flip</v>
      </c>
      <c r="D828" s="2" t="str">
        <f ca="1">IFERROR(__xludf.DUMMYFUNCTION("""COMPUTED_VALUE"""),"2 in 1 Convertible")</f>
        <v>2 in 1 Convertible</v>
      </c>
      <c r="E828" s="2">
        <f ca="1">IFERROR(__xludf.DUMMYFUNCTION("""COMPUTED_VALUE"""),13.3)</f>
        <v>13.3</v>
      </c>
      <c r="F828" s="2" t="str">
        <f ca="1">IFERROR(__xludf.DUMMYFUNCTION("""COMPUTED_VALUE"""),"Touchscreen / Full HD 1920x1080")</f>
        <v>Touchscreen / Full HD 1920x1080</v>
      </c>
      <c r="G828" s="2" t="str">
        <f ca="1">IFERROR(__xludf.DUMMYFUNCTION("""COMPUTED_VALUE"""),"Intel Core i5 7200U 2.5GHz")</f>
        <v>Intel Core i5 7200U 2.5GHz</v>
      </c>
      <c r="H828" s="2" t="str">
        <f ca="1">IFERROR(__xludf.DUMMYFUNCTION("""COMPUTED_VALUE"""),"8GB")</f>
        <v>8GB</v>
      </c>
      <c r="I828" s="2" t="str">
        <f ca="1">IFERROR(__xludf.DUMMYFUNCTION("""COMPUTED_VALUE"""),"256GB SSD")</f>
        <v>256GB SSD</v>
      </c>
      <c r="J828" s="2" t="str">
        <f ca="1">IFERROR(__xludf.DUMMYFUNCTION("""COMPUTED_VALUE"""),"Intel HD Graphics 620")</f>
        <v>Intel HD Graphics 620</v>
      </c>
      <c r="K828" s="2" t="str">
        <f ca="1">IFERROR(__xludf.DUMMYFUNCTION("""COMPUTED_VALUE"""),"Windows 10")</f>
        <v>Windows 10</v>
      </c>
      <c r="L828" s="2" t="str">
        <f ca="1">IFERROR(__xludf.DUMMYFUNCTION("""COMPUTED_VALUE"""),"1.1kg")</f>
        <v>1.1kg</v>
      </c>
      <c r="M828" s="2">
        <f ca="1">IFERROR(__xludf.DUMMYFUNCTION("""COMPUTED_VALUE"""),1358)</f>
        <v>1358</v>
      </c>
    </row>
    <row r="829" spans="1:13">
      <c r="A829" s="2">
        <f ca="1">IFERROR(__xludf.DUMMYFUNCTION("""COMPUTED_VALUE"""),836)</f>
        <v>836</v>
      </c>
      <c r="B829" s="2" t="str">
        <f ca="1">IFERROR(__xludf.DUMMYFUNCTION("""COMPUTED_VALUE"""),"Dell")</f>
        <v>Dell</v>
      </c>
      <c r="C829" s="2" t="str">
        <f ca="1">IFERROR(__xludf.DUMMYFUNCTION("""COMPUTED_VALUE"""),"Latitude 3480")</f>
        <v>Latitude 3480</v>
      </c>
      <c r="D829" s="2" t="str">
        <f ca="1">IFERROR(__xludf.DUMMYFUNCTION("""COMPUTED_VALUE"""),"Notebook")</f>
        <v>Notebook</v>
      </c>
      <c r="E829" s="2">
        <f ca="1">IFERROR(__xludf.DUMMYFUNCTION("""COMPUTED_VALUE"""),14)</f>
        <v>14</v>
      </c>
      <c r="F829" s="2" t="str">
        <f ca="1">IFERROR(__xludf.DUMMYFUNCTION("""COMPUTED_VALUE"""),"1366x768")</f>
        <v>1366x768</v>
      </c>
      <c r="G829" s="2" t="str">
        <f ca="1">IFERROR(__xludf.DUMMYFUNCTION("""COMPUTED_VALUE"""),"Intel Core i3 6006U 2GHz")</f>
        <v>Intel Core i3 6006U 2GHz</v>
      </c>
      <c r="H829" s="2" t="str">
        <f ca="1">IFERROR(__xludf.DUMMYFUNCTION("""COMPUTED_VALUE"""),"4GB")</f>
        <v>4GB</v>
      </c>
      <c r="I829" s="2" t="str">
        <f ca="1">IFERROR(__xludf.DUMMYFUNCTION("""COMPUTED_VALUE"""),"500GB HDD")</f>
        <v>500GB HDD</v>
      </c>
      <c r="J829" s="2" t="str">
        <f ca="1">IFERROR(__xludf.DUMMYFUNCTION("""COMPUTED_VALUE"""),"Intel HD Graphics 520")</f>
        <v>Intel HD Graphics 520</v>
      </c>
      <c r="K829" s="2" t="str">
        <f ca="1">IFERROR(__xludf.DUMMYFUNCTION("""COMPUTED_VALUE"""),"Windows 10")</f>
        <v>Windows 10</v>
      </c>
      <c r="L829" s="2" t="str">
        <f ca="1">IFERROR(__xludf.DUMMYFUNCTION("""COMPUTED_VALUE"""),"1.76kg")</f>
        <v>1.76kg</v>
      </c>
      <c r="M829" s="2">
        <f ca="1">IFERROR(__xludf.DUMMYFUNCTION("""COMPUTED_VALUE"""),585)</f>
        <v>585</v>
      </c>
    </row>
    <row r="830" spans="1:13">
      <c r="A830" s="2">
        <f ca="1">IFERROR(__xludf.DUMMYFUNCTION("""COMPUTED_VALUE"""),837)</f>
        <v>837</v>
      </c>
      <c r="B830" s="2" t="str">
        <f ca="1">IFERROR(__xludf.DUMMYFUNCTION("""COMPUTED_VALUE"""),"Acer")</f>
        <v>Acer</v>
      </c>
      <c r="C830" s="2" t="str">
        <f ca="1">IFERROR(__xludf.DUMMYFUNCTION("""COMPUTED_VALUE"""),"Chromebook 11")</f>
        <v>Chromebook 11</v>
      </c>
      <c r="D830" s="2" t="str">
        <f ca="1">IFERROR(__xludf.DUMMYFUNCTION("""COMPUTED_VALUE"""),"Netbook")</f>
        <v>Netbook</v>
      </c>
      <c r="E830" s="2">
        <f ca="1">IFERROR(__xludf.DUMMYFUNCTION("""COMPUTED_VALUE"""),11.6)</f>
        <v>11.6</v>
      </c>
      <c r="F830" s="2" t="str">
        <f ca="1">IFERROR(__xludf.DUMMYFUNCTION("""COMPUTED_VALUE"""),"IPS Panel 1366x768")</f>
        <v>IPS Panel 1366x768</v>
      </c>
      <c r="G830" s="2" t="str">
        <f ca="1">IFERROR(__xludf.DUMMYFUNCTION("""COMPUTED_VALUE"""),"Intel Celeron Dual Core N3060 1.6GHz")</f>
        <v>Intel Celeron Dual Core N3060 1.6GHz</v>
      </c>
      <c r="H830" s="2" t="str">
        <f ca="1">IFERROR(__xludf.DUMMYFUNCTION("""COMPUTED_VALUE"""),"4GB")</f>
        <v>4GB</v>
      </c>
      <c r="I830" s="2" t="str">
        <f ca="1">IFERROR(__xludf.DUMMYFUNCTION("""COMPUTED_VALUE"""),"32GB Flash Storage")</f>
        <v>32GB Flash Storage</v>
      </c>
      <c r="J830" s="2" t="str">
        <f ca="1">IFERROR(__xludf.DUMMYFUNCTION("""COMPUTED_VALUE"""),"Intel HD Graphics 400")</f>
        <v>Intel HD Graphics 400</v>
      </c>
      <c r="K830" s="2" t="str">
        <f ca="1">IFERROR(__xludf.DUMMYFUNCTION("""COMPUTED_VALUE"""),"Chrome OS")</f>
        <v>Chrome OS</v>
      </c>
      <c r="L830" s="2" t="str">
        <f ca="1">IFERROR(__xludf.DUMMYFUNCTION("""COMPUTED_VALUE"""),"1.35kg")</f>
        <v>1.35kg</v>
      </c>
      <c r="M830" s="2">
        <f ca="1">IFERROR(__xludf.DUMMYFUNCTION("""COMPUTED_VALUE"""),355)</f>
        <v>355</v>
      </c>
    </row>
    <row r="831" spans="1:13">
      <c r="A831" s="2">
        <f ca="1">IFERROR(__xludf.DUMMYFUNCTION("""COMPUTED_VALUE"""),838)</f>
        <v>838</v>
      </c>
      <c r="B831" s="2" t="str">
        <f ca="1">IFERROR(__xludf.DUMMYFUNCTION("""COMPUTED_VALUE"""),"Acer")</f>
        <v>Acer</v>
      </c>
      <c r="C831" s="2" t="str">
        <f ca="1">IFERROR(__xludf.DUMMYFUNCTION("""COMPUTED_VALUE"""),"Swift 3")</f>
        <v>Swift 3</v>
      </c>
      <c r="D831" s="2" t="str">
        <f ca="1">IFERROR(__xludf.DUMMYFUNCTION("""COMPUTED_VALUE"""),"Notebook")</f>
        <v>Notebook</v>
      </c>
      <c r="E831" s="2">
        <f ca="1">IFERROR(__xludf.DUMMYFUNCTION("""COMPUTED_VALUE"""),14)</f>
        <v>14</v>
      </c>
      <c r="F831" s="2" t="str">
        <f ca="1">IFERROR(__xludf.DUMMYFUNCTION("""COMPUTED_VALUE"""),"IPS Panel Full HD 1920x1080")</f>
        <v>IPS Panel Full HD 1920x1080</v>
      </c>
      <c r="G831" s="2" t="str">
        <f ca="1">IFERROR(__xludf.DUMMYFUNCTION("""COMPUTED_VALUE"""),"Intel Core i3 7100U 2.4GHz")</f>
        <v>Intel Core i3 7100U 2.4GHz</v>
      </c>
      <c r="H831" s="2" t="str">
        <f ca="1">IFERROR(__xludf.DUMMYFUNCTION("""COMPUTED_VALUE"""),"8GB")</f>
        <v>8GB</v>
      </c>
      <c r="I831" s="2" t="str">
        <f ca="1">IFERROR(__xludf.DUMMYFUNCTION("""COMPUTED_VALUE"""),"128GB SSD")</f>
        <v>128GB SSD</v>
      </c>
      <c r="J831" s="2" t="str">
        <f ca="1">IFERROR(__xludf.DUMMYFUNCTION("""COMPUTED_VALUE"""),"Intel HD Graphics 620")</f>
        <v>Intel HD Graphics 620</v>
      </c>
      <c r="K831" s="2" t="str">
        <f ca="1">IFERROR(__xludf.DUMMYFUNCTION("""COMPUTED_VALUE"""),"Windows 10")</f>
        <v>Windows 10</v>
      </c>
      <c r="L831" s="2" t="str">
        <f ca="1">IFERROR(__xludf.DUMMYFUNCTION("""COMPUTED_VALUE"""),"1.5kg")</f>
        <v>1.5kg</v>
      </c>
      <c r="M831" s="2">
        <f ca="1">IFERROR(__xludf.DUMMYFUNCTION("""COMPUTED_VALUE"""),619)</f>
        <v>619</v>
      </c>
    </row>
    <row r="832" spans="1:13">
      <c r="A832" s="2">
        <f ca="1">IFERROR(__xludf.DUMMYFUNCTION("""COMPUTED_VALUE"""),839)</f>
        <v>839</v>
      </c>
      <c r="B832" s="2" t="str">
        <f ca="1">IFERROR(__xludf.DUMMYFUNCTION("""COMPUTED_VALUE"""),"Razer")</f>
        <v>Razer</v>
      </c>
      <c r="C832" s="2" t="str">
        <f ca="1">IFERROR(__xludf.DUMMYFUNCTION("""COMPUTED_VALUE"""),"Blade Pro")</f>
        <v>Blade Pro</v>
      </c>
      <c r="D832" s="2" t="str">
        <f ca="1">IFERROR(__xludf.DUMMYFUNCTION("""COMPUTED_VALUE"""),"Gaming")</f>
        <v>Gaming</v>
      </c>
      <c r="E832" s="2">
        <f ca="1">IFERROR(__xludf.DUMMYFUNCTION("""COMPUTED_VALUE"""),17.3)</f>
        <v>17.3</v>
      </c>
      <c r="F832" s="2" t="str">
        <f ca="1">IFERROR(__xludf.DUMMYFUNCTION("""COMPUTED_VALUE"""),"4K Ultra HD / Touchscreen 3840x2160")</f>
        <v>4K Ultra HD / Touchscreen 3840x2160</v>
      </c>
      <c r="G832" s="2" t="str">
        <f ca="1">IFERROR(__xludf.DUMMYFUNCTION("""COMPUTED_VALUE"""),"Intel Core i7 7820HK 2.9GHz")</f>
        <v>Intel Core i7 7820HK 2.9GHz</v>
      </c>
      <c r="H832" s="2" t="str">
        <f ca="1">IFERROR(__xludf.DUMMYFUNCTION("""COMPUTED_VALUE"""),"32GB")</f>
        <v>32GB</v>
      </c>
      <c r="I832" s="2" t="str">
        <f ca="1">IFERROR(__xludf.DUMMYFUNCTION("""COMPUTED_VALUE"""),"512GB SSD")</f>
        <v>512GB SSD</v>
      </c>
      <c r="J832" s="2" t="str">
        <f ca="1">IFERROR(__xludf.DUMMYFUNCTION("""COMPUTED_VALUE"""),"Nvidia GeForce GTX 1080")</f>
        <v>Nvidia GeForce GTX 1080</v>
      </c>
      <c r="K832" s="2" t="str">
        <f ca="1">IFERROR(__xludf.DUMMYFUNCTION("""COMPUTED_VALUE"""),"Windows 10")</f>
        <v>Windows 10</v>
      </c>
      <c r="L832" s="2" t="str">
        <f ca="1">IFERROR(__xludf.DUMMYFUNCTION("""COMPUTED_VALUE"""),"3.49kg")</f>
        <v>3.49kg</v>
      </c>
      <c r="M832" s="2">
        <f ca="1">IFERROR(__xludf.DUMMYFUNCTION("""COMPUTED_VALUE"""),5499)</f>
        <v>5499</v>
      </c>
    </row>
    <row r="833" spans="1:13">
      <c r="A833" s="2">
        <f ca="1">IFERROR(__xludf.DUMMYFUNCTION("""COMPUTED_VALUE"""),840)</f>
        <v>840</v>
      </c>
      <c r="B833" s="2" t="str">
        <f ca="1">IFERROR(__xludf.DUMMYFUNCTION("""COMPUTED_VALUE"""),"Lenovo")</f>
        <v>Lenovo</v>
      </c>
      <c r="C833" s="2" t="str">
        <f ca="1">IFERROR(__xludf.DUMMYFUNCTION("""COMPUTED_VALUE"""),"Thinkpad X1")</f>
        <v>Thinkpad X1</v>
      </c>
      <c r="D833" s="2" t="str">
        <f ca="1">IFERROR(__xludf.DUMMYFUNCTION("""COMPUTED_VALUE"""),"Ultrabook")</f>
        <v>Ultrabook</v>
      </c>
      <c r="E833" s="2">
        <f ca="1">IFERROR(__xludf.DUMMYFUNCTION("""COMPUTED_VALUE"""),14)</f>
        <v>14</v>
      </c>
      <c r="F833" s="2" t="str">
        <f ca="1">IFERROR(__xludf.DUMMYFUNCTION("""COMPUTED_VALUE"""),"IPS Panel Quad HD+ 2560x1440")</f>
        <v>IPS Panel Quad HD+ 2560x1440</v>
      </c>
      <c r="G833" s="2" t="str">
        <f ca="1">IFERROR(__xludf.DUMMYFUNCTION("""COMPUTED_VALUE"""),"Intel Core i7 6600U 2.6GHz")</f>
        <v>Intel Core i7 6600U 2.6GHz</v>
      </c>
      <c r="H833" s="2" t="str">
        <f ca="1">IFERROR(__xludf.DUMMYFUNCTION("""COMPUTED_VALUE"""),"16GB")</f>
        <v>16GB</v>
      </c>
      <c r="I833" s="2" t="str">
        <f ca="1">IFERROR(__xludf.DUMMYFUNCTION("""COMPUTED_VALUE"""),"512GB SSD")</f>
        <v>512GB SSD</v>
      </c>
      <c r="J833" s="2" t="str">
        <f ca="1">IFERROR(__xludf.DUMMYFUNCTION("""COMPUTED_VALUE"""),"Intel HD Graphics 520")</f>
        <v>Intel HD Graphics 520</v>
      </c>
      <c r="K833" s="2" t="str">
        <f ca="1">IFERROR(__xludf.DUMMYFUNCTION("""COMPUTED_VALUE"""),"Windows 10")</f>
        <v>Windows 10</v>
      </c>
      <c r="L833" s="2" t="str">
        <f ca="1">IFERROR(__xludf.DUMMYFUNCTION("""COMPUTED_VALUE"""),"1.1kg")</f>
        <v>1.1kg</v>
      </c>
      <c r="M833" s="2">
        <f ca="1">IFERROR(__xludf.DUMMYFUNCTION("""COMPUTED_VALUE"""),2099)</f>
        <v>2099</v>
      </c>
    </row>
    <row r="834" spans="1:13">
      <c r="A834" s="2">
        <f ca="1">IFERROR(__xludf.DUMMYFUNCTION("""COMPUTED_VALUE"""),841)</f>
        <v>841</v>
      </c>
      <c r="B834" s="2" t="str">
        <f ca="1">IFERROR(__xludf.DUMMYFUNCTION("""COMPUTED_VALUE"""),"Asus")</f>
        <v>Asus</v>
      </c>
      <c r="C834" s="2" t="str">
        <f ca="1">IFERROR(__xludf.DUMMYFUNCTION("""COMPUTED_VALUE"""),"VivoBook Max")</f>
        <v>VivoBook Max</v>
      </c>
      <c r="D834" s="2" t="str">
        <f ca="1">IFERROR(__xludf.DUMMYFUNCTION("""COMPUTED_VALUE"""),"Notebook")</f>
        <v>Notebook</v>
      </c>
      <c r="E834" s="2">
        <f ca="1">IFERROR(__xludf.DUMMYFUNCTION("""COMPUTED_VALUE"""),15.6)</f>
        <v>15.6</v>
      </c>
      <c r="F834" s="2" t="str">
        <f ca="1">IFERROR(__xludf.DUMMYFUNCTION("""COMPUTED_VALUE"""),"Full HD 1920x1080")</f>
        <v>Full HD 1920x1080</v>
      </c>
      <c r="G834" s="2" t="str">
        <f ca="1">IFERROR(__xludf.DUMMYFUNCTION("""COMPUTED_VALUE"""),"Intel Core i5 7200U 2.5GHz")</f>
        <v>Intel Core i5 7200U 2.5GHz</v>
      </c>
      <c r="H834" s="2" t="str">
        <f ca="1">IFERROR(__xludf.DUMMYFUNCTION("""COMPUTED_VALUE"""),"4GB")</f>
        <v>4GB</v>
      </c>
      <c r="I834" s="2" t="str">
        <f ca="1">IFERROR(__xludf.DUMMYFUNCTION("""COMPUTED_VALUE"""),"1TB HDD")</f>
        <v>1TB HDD</v>
      </c>
      <c r="J834" s="2" t="str">
        <f ca="1">IFERROR(__xludf.DUMMYFUNCTION("""COMPUTED_VALUE"""),"Nvidia GeForce 920")</f>
        <v>Nvidia GeForce 920</v>
      </c>
      <c r="K834" s="2" t="str">
        <f ca="1">IFERROR(__xludf.DUMMYFUNCTION("""COMPUTED_VALUE"""),"Linux")</f>
        <v>Linux</v>
      </c>
      <c r="L834" s="2" t="str">
        <f ca="1">IFERROR(__xludf.DUMMYFUNCTION("""COMPUTED_VALUE"""),"2.1kg")</f>
        <v>2.1kg</v>
      </c>
      <c r="M834" s="2">
        <f ca="1">IFERROR(__xludf.DUMMYFUNCTION("""COMPUTED_VALUE"""),519)</f>
        <v>519</v>
      </c>
    </row>
    <row r="835" spans="1:13">
      <c r="A835" s="2">
        <f ca="1">IFERROR(__xludf.DUMMYFUNCTION("""COMPUTED_VALUE"""),842)</f>
        <v>842</v>
      </c>
      <c r="B835" s="2" t="str">
        <f ca="1">IFERROR(__xludf.DUMMYFUNCTION("""COMPUTED_VALUE"""),"Lenovo")</f>
        <v>Lenovo</v>
      </c>
      <c r="C835" s="2" t="str">
        <f ca="1">IFERROR(__xludf.DUMMYFUNCTION("""COMPUTED_VALUE"""),"Thinkpad T460")</f>
        <v>Thinkpad T460</v>
      </c>
      <c r="D835" s="2" t="str">
        <f ca="1">IFERROR(__xludf.DUMMYFUNCTION("""COMPUTED_VALUE"""),"Notebook")</f>
        <v>Notebook</v>
      </c>
      <c r="E835" s="2">
        <f ca="1">IFERROR(__xludf.DUMMYFUNCTION("""COMPUTED_VALUE"""),14)</f>
        <v>14</v>
      </c>
      <c r="F835" s="2" t="str">
        <f ca="1">IFERROR(__xludf.DUMMYFUNCTION("""COMPUTED_VALUE"""),"Full HD 1920x1080")</f>
        <v>Full HD 1920x1080</v>
      </c>
      <c r="G835" s="2" t="str">
        <f ca="1">IFERROR(__xludf.DUMMYFUNCTION("""COMPUTED_VALUE"""),"Intel Core i5 6200U 2.3GHz")</f>
        <v>Intel Core i5 6200U 2.3GHz</v>
      </c>
      <c r="H835" s="2" t="str">
        <f ca="1">IFERROR(__xludf.DUMMYFUNCTION("""COMPUTED_VALUE"""),"8GB")</f>
        <v>8GB</v>
      </c>
      <c r="I835" s="2" t="str">
        <f ca="1">IFERROR(__xludf.DUMMYFUNCTION("""COMPUTED_VALUE"""),"256GB SSD")</f>
        <v>256GB SSD</v>
      </c>
      <c r="J835" s="2" t="str">
        <f ca="1">IFERROR(__xludf.DUMMYFUNCTION("""COMPUTED_VALUE"""),"Intel HD Graphics 520")</f>
        <v>Intel HD Graphics 520</v>
      </c>
      <c r="K835" s="2" t="str">
        <f ca="1">IFERROR(__xludf.DUMMYFUNCTION("""COMPUTED_VALUE"""),"Windows 10")</f>
        <v>Windows 10</v>
      </c>
      <c r="L835" s="2" t="str">
        <f ca="1">IFERROR(__xludf.DUMMYFUNCTION("""COMPUTED_VALUE"""),"1.7kg")</f>
        <v>1.7kg</v>
      </c>
      <c r="M835" s="2">
        <f ca="1">IFERROR(__xludf.DUMMYFUNCTION("""COMPUTED_VALUE"""),1186)</f>
        <v>1186</v>
      </c>
    </row>
    <row r="836" spans="1:13">
      <c r="A836" s="2">
        <f ca="1">IFERROR(__xludf.DUMMYFUNCTION("""COMPUTED_VALUE"""),843)</f>
        <v>843</v>
      </c>
      <c r="B836" s="2" t="str">
        <f ca="1">IFERROR(__xludf.DUMMYFUNCTION("""COMPUTED_VALUE"""),"Lenovo")</f>
        <v>Lenovo</v>
      </c>
      <c r="C836" s="2" t="str">
        <f ca="1">IFERROR(__xludf.DUMMYFUNCTION("""COMPUTED_VALUE"""),"ThinkPad T470s")</f>
        <v>ThinkPad T470s</v>
      </c>
      <c r="D836" s="2" t="str">
        <f ca="1">IFERROR(__xludf.DUMMYFUNCTION("""COMPUTED_VALUE"""),"Notebook")</f>
        <v>Notebook</v>
      </c>
      <c r="E836" s="2">
        <f ca="1">IFERROR(__xludf.DUMMYFUNCTION("""COMPUTED_VALUE"""),14)</f>
        <v>14</v>
      </c>
      <c r="F836" s="2" t="str">
        <f ca="1">IFERROR(__xludf.DUMMYFUNCTION("""COMPUTED_VALUE"""),"IPS Panel Full HD 1920x1080")</f>
        <v>IPS Panel Full HD 1920x1080</v>
      </c>
      <c r="G836" s="2" t="str">
        <f ca="1">IFERROR(__xludf.DUMMYFUNCTION("""COMPUTED_VALUE"""),"Intel Core i5 7300U 2.6GHz")</f>
        <v>Intel Core i5 7300U 2.6GHz</v>
      </c>
      <c r="H836" s="2" t="str">
        <f ca="1">IFERROR(__xludf.DUMMYFUNCTION("""COMPUTED_VALUE"""),"8GB")</f>
        <v>8GB</v>
      </c>
      <c r="I836" s="2" t="str">
        <f ca="1">IFERROR(__xludf.DUMMYFUNCTION("""COMPUTED_VALUE"""),"256GB SSD")</f>
        <v>256GB SSD</v>
      </c>
      <c r="J836" s="2" t="str">
        <f ca="1">IFERROR(__xludf.DUMMYFUNCTION("""COMPUTED_VALUE"""),"Intel HD Graphics 620")</f>
        <v>Intel HD Graphics 620</v>
      </c>
      <c r="K836" s="2" t="str">
        <f ca="1">IFERROR(__xludf.DUMMYFUNCTION("""COMPUTED_VALUE"""),"Windows 10")</f>
        <v>Windows 10</v>
      </c>
      <c r="L836" s="2" t="str">
        <f ca="1">IFERROR(__xludf.DUMMYFUNCTION("""COMPUTED_VALUE"""),"1.32kg")</f>
        <v>1.32kg</v>
      </c>
      <c r="M836" s="2">
        <f ca="1">IFERROR(__xludf.DUMMYFUNCTION("""COMPUTED_VALUE"""),1650)</f>
        <v>1650</v>
      </c>
    </row>
    <row r="837" spans="1:13">
      <c r="A837" s="2">
        <f ca="1">IFERROR(__xludf.DUMMYFUNCTION("""COMPUTED_VALUE"""),844)</f>
        <v>844</v>
      </c>
      <c r="B837" s="2" t="str">
        <f ca="1">IFERROR(__xludf.DUMMYFUNCTION("""COMPUTED_VALUE"""),"Dell")</f>
        <v>Dell</v>
      </c>
      <c r="C837" s="2" t="str">
        <f ca="1">IFERROR(__xludf.DUMMYFUNCTION("""COMPUTED_VALUE"""),"Alienware 15")</f>
        <v>Alienware 15</v>
      </c>
      <c r="D837" s="2" t="str">
        <f ca="1">IFERROR(__xludf.DUMMYFUNCTION("""COMPUTED_VALUE"""),"Gaming")</f>
        <v>Gaming</v>
      </c>
      <c r="E837" s="2">
        <f ca="1">IFERROR(__xludf.DUMMYFUNCTION("""COMPUTED_VALUE"""),15.6)</f>
        <v>15.6</v>
      </c>
      <c r="F837" s="2" t="str">
        <f ca="1">IFERROR(__xludf.DUMMYFUNCTION("""COMPUTED_VALUE"""),"Full HD 1920x1080")</f>
        <v>Full HD 1920x1080</v>
      </c>
      <c r="G837" s="2" t="str">
        <f ca="1">IFERROR(__xludf.DUMMYFUNCTION("""COMPUTED_VALUE"""),"Intel Core i7 7700HQ 2.8GHz")</f>
        <v>Intel Core i7 7700HQ 2.8GHz</v>
      </c>
      <c r="H837" s="2" t="str">
        <f ca="1">IFERROR(__xludf.DUMMYFUNCTION("""COMPUTED_VALUE"""),"16GB")</f>
        <v>16GB</v>
      </c>
      <c r="I837" s="2" t="str">
        <f ca="1">IFERROR(__xludf.DUMMYFUNCTION("""COMPUTED_VALUE"""),"256GB SSD +  1TB HDD")</f>
        <v>256GB SSD +  1TB HDD</v>
      </c>
      <c r="J837" s="2" t="str">
        <f ca="1">IFERROR(__xludf.DUMMYFUNCTION("""COMPUTED_VALUE"""),"Nvidia GeForce GTX 1070")</f>
        <v>Nvidia GeForce GTX 1070</v>
      </c>
      <c r="K837" s="2" t="str">
        <f ca="1">IFERROR(__xludf.DUMMYFUNCTION("""COMPUTED_VALUE"""),"Windows 10")</f>
        <v>Windows 10</v>
      </c>
      <c r="L837" s="2" t="str">
        <f ca="1">IFERROR(__xludf.DUMMYFUNCTION("""COMPUTED_VALUE"""),"3.21kg")</f>
        <v>3.21kg</v>
      </c>
      <c r="M837" s="2">
        <f ca="1">IFERROR(__xludf.DUMMYFUNCTION("""COMPUTED_VALUE"""),2774.63)</f>
        <v>2774.63</v>
      </c>
    </row>
    <row r="838" spans="1:13">
      <c r="A838" s="2">
        <f ca="1">IFERROR(__xludf.DUMMYFUNCTION("""COMPUTED_VALUE"""),845)</f>
        <v>845</v>
      </c>
      <c r="B838" s="2" t="str">
        <f ca="1">IFERROR(__xludf.DUMMYFUNCTION("""COMPUTED_VALUE"""),"Asus")</f>
        <v>Asus</v>
      </c>
      <c r="C838" s="2" t="str">
        <f ca="1">IFERROR(__xludf.DUMMYFUNCTION("""COMPUTED_VALUE"""),"Rog GL702VS-BA023T")</f>
        <v>Rog GL702VS-BA023T</v>
      </c>
      <c r="D838" s="2" t="str">
        <f ca="1">IFERROR(__xludf.DUMMYFUNCTION("""COMPUTED_VALUE"""),"Gaming")</f>
        <v>Gaming</v>
      </c>
      <c r="E838" s="2">
        <f ca="1">IFERROR(__xludf.DUMMYFUNCTION("""COMPUTED_VALUE"""),17.3)</f>
        <v>17.3</v>
      </c>
      <c r="F838" s="2" t="str">
        <f ca="1">IFERROR(__xludf.DUMMYFUNCTION("""COMPUTED_VALUE"""),"Full HD 1920x1080")</f>
        <v>Full HD 1920x1080</v>
      </c>
      <c r="G838" s="2" t="str">
        <f ca="1">IFERROR(__xludf.DUMMYFUNCTION("""COMPUTED_VALUE"""),"Intel Core i7 7700HQ 2.8GHz")</f>
        <v>Intel Core i7 7700HQ 2.8GHz</v>
      </c>
      <c r="H838" s="2" t="str">
        <f ca="1">IFERROR(__xludf.DUMMYFUNCTION("""COMPUTED_VALUE"""),"16GB")</f>
        <v>16GB</v>
      </c>
      <c r="I838" s="2" t="str">
        <f ca="1">IFERROR(__xludf.DUMMYFUNCTION("""COMPUTED_VALUE"""),"256GB SSD +  1TB HDD")</f>
        <v>256GB SSD +  1TB HDD</v>
      </c>
      <c r="J838" s="2" t="str">
        <f ca="1">IFERROR(__xludf.DUMMYFUNCTION("""COMPUTED_VALUE"""),"Nvidia GeForce GTX 1070")</f>
        <v>Nvidia GeForce GTX 1070</v>
      </c>
      <c r="K838" s="2" t="str">
        <f ca="1">IFERROR(__xludf.DUMMYFUNCTION("""COMPUTED_VALUE"""),"Windows 10")</f>
        <v>Windows 10</v>
      </c>
      <c r="L838" s="2" t="str">
        <f ca="1">IFERROR(__xludf.DUMMYFUNCTION("""COMPUTED_VALUE"""),"2.9kg")</f>
        <v>2.9kg</v>
      </c>
      <c r="M838" s="2">
        <f ca="1">IFERROR(__xludf.DUMMYFUNCTION("""COMPUTED_VALUE"""),2419)</f>
        <v>2419</v>
      </c>
    </row>
    <row r="839" spans="1:13">
      <c r="A839" s="2">
        <f ca="1">IFERROR(__xludf.DUMMYFUNCTION("""COMPUTED_VALUE"""),846)</f>
        <v>846</v>
      </c>
      <c r="B839" s="2" t="str">
        <f ca="1">IFERROR(__xludf.DUMMYFUNCTION("""COMPUTED_VALUE"""),"Toshiba")</f>
        <v>Toshiba</v>
      </c>
      <c r="C839" s="2" t="str">
        <f ca="1">IFERROR(__xludf.DUMMYFUNCTION("""COMPUTED_VALUE"""),"Satellite Pro")</f>
        <v>Satellite Pro</v>
      </c>
      <c r="D839" s="2" t="str">
        <f ca="1">IFERROR(__xludf.DUMMYFUNCTION("""COMPUTED_VALUE"""),"Notebook")</f>
        <v>Notebook</v>
      </c>
      <c r="E839" s="2">
        <f ca="1">IFERROR(__xludf.DUMMYFUNCTION("""COMPUTED_VALUE"""),15.6)</f>
        <v>15.6</v>
      </c>
      <c r="F839" s="2" t="str">
        <f ca="1">IFERROR(__xludf.DUMMYFUNCTION("""COMPUTED_VALUE"""),"1366x768")</f>
        <v>1366x768</v>
      </c>
      <c r="G839" s="2" t="str">
        <f ca="1">IFERROR(__xludf.DUMMYFUNCTION("""COMPUTED_VALUE"""),"Intel Core i3 7100U 2.4GHz")</f>
        <v>Intel Core i3 7100U 2.4GHz</v>
      </c>
      <c r="H839" s="2" t="str">
        <f ca="1">IFERROR(__xludf.DUMMYFUNCTION("""COMPUTED_VALUE"""),"4GB")</f>
        <v>4GB</v>
      </c>
      <c r="I839" s="2" t="str">
        <f ca="1">IFERROR(__xludf.DUMMYFUNCTION("""COMPUTED_VALUE"""),"500GB HDD")</f>
        <v>500GB HDD</v>
      </c>
      <c r="J839" s="2" t="str">
        <f ca="1">IFERROR(__xludf.DUMMYFUNCTION("""COMPUTED_VALUE"""),"Intel HD Graphics 620")</f>
        <v>Intel HD Graphics 620</v>
      </c>
      <c r="K839" s="2" t="str">
        <f ca="1">IFERROR(__xludf.DUMMYFUNCTION("""COMPUTED_VALUE"""),"Windows 10")</f>
        <v>Windows 10</v>
      </c>
      <c r="L839" s="2" t="str">
        <f ca="1">IFERROR(__xludf.DUMMYFUNCTION("""COMPUTED_VALUE"""),"2.0kg")</f>
        <v>2.0kg</v>
      </c>
      <c r="M839" s="2">
        <f ca="1">IFERROR(__xludf.DUMMYFUNCTION("""COMPUTED_VALUE"""),669)</f>
        <v>669</v>
      </c>
    </row>
    <row r="840" spans="1:13">
      <c r="A840" s="2">
        <f ca="1">IFERROR(__xludf.DUMMYFUNCTION("""COMPUTED_VALUE"""),847)</f>
        <v>847</v>
      </c>
      <c r="B840" s="2" t="str">
        <f ca="1">IFERROR(__xludf.DUMMYFUNCTION("""COMPUTED_VALUE"""),"Lenovo")</f>
        <v>Lenovo</v>
      </c>
      <c r="C840" s="2" t="str">
        <f ca="1">IFERROR(__xludf.DUMMYFUNCTION("""COMPUTED_VALUE"""),"N42-20 Chromebook")</f>
        <v>N42-20 Chromebook</v>
      </c>
      <c r="D840" s="2" t="str">
        <f ca="1">IFERROR(__xludf.DUMMYFUNCTION("""COMPUTED_VALUE"""),"Notebook")</f>
        <v>Notebook</v>
      </c>
      <c r="E840" s="2">
        <f ca="1">IFERROR(__xludf.DUMMYFUNCTION("""COMPUTED_VALUE"""),14)</f>
        <v>14</v>
      </c>
      <c r="F840" s="2" t="str">
        <f ca="1">IFERROR(__xludf.DUMMYFUNCTION("""COMPUTED_VALUE"""),"1366x768")</f>
        <v>1366x768</v>
      </c>
      <c r="G840" s="2" t="str">
        <f ca="1">IFERROR(__xludf.DUMMYFUNCTION("""COMPUTED_VALUE"""),"Intel Celeron Quad Core N3160 1.6GHz")</f>
        <v>Intel Celeron Quad Core N3160 1.6GHz</v>
      </c>
      <c r="H840" s="2" t="str">
        <f ca="1">IFERROR(__xludf.DUMMYFUNCTION("""COMPUTED_VALUE"""),"4GB")</f>
        <v>4GB</v>
      </c>
      <c r="I840" s="2" t="str">
        <f ca="1">IFERROR(__xludf.DUMMYFUNCTION("""COMPUTED_VALUE"""),"16GB Flash Storage")</f>
        <v>16GB Flash Storage</v>
      </c>
      <c r="J840" s="2" t="str">
        <f ca="1">IFERROR(__xludf.DUMMYFUNCTION("""COMPUTED_VALUE"""),"Intel HD Graphics 400")</f>
        <v>Intel HD Graphics 400</v>
      </c>
      <c r="K840" s="2" t="str">
        <f ca="1">IFERROR(__xludf.DUMMYFUNCTION("""COMPUTED_VALUE"""),"Chrome OS")</f>
        <v>Chrome OS</v>
      </c>
      <c r="L840" s="2" t="str">
        <f ca="1">IFERROR(__xludf.DUMMYFUNCTION("""COMPUTED_VALUE"""),"1.5kg")</f>
        <v>1.5kg</v>
      </c>
      <c r="M840" s="2">
        <f ca="1">IFERROR(__xludf.DUMMYFUNCTION("""COMPUTED_VALUE"""),325)</f>
        <v>325</v>
      </c>
    </row>
    <row r="841" spans="1:13">
      <c r="A841" s="2">
        <f ca="1">IFERROR(__xludf.DUMMYFUNCTION("""COMPUTED_VALUE"""),848)</f>
        <v>848</v>
      </c>
      <c r="B841" s="2" t="str">
        <f ca="1">IFERROR(__xludf.DUMMYFUNCTION("""COMPUTED_VALUE"""),"Asus")</f>
        <v>Asus</v>
      </c>
      <c r="C841" s="2" t="str">
        <f ca="1">IFERROR(__xludf.DUMMYFUNCTION("""COMPUTED_VALUE"""),"R558UA-DM966T (i5-7200U/8GB/128GB/FHD/W10)")</f>
        <v>R558UA-DM966T (i5-7200U/8GB/128GB/FHD/W10)</v>
      </c>
      <c r="D841" s="2" t="str">
        <f ca="1">IFERROR(__xludf.DUMMYFUNCTION("""COMPUTED_VALUE"""),"Notebook")</f>
        <v>Notebook</v>
      </c>
      <c r="E841" s="2">
        <f ca="1">IFERROR(__xludf.DUMMYFUNCTION("""COMPUTED_VALUE"""),15.6)</f>
        <v>15.6</v>
      </c>
      <c r="F841" s="2" t="str">
        <f ca="1">IFERROR(__xludf.DUMMYFUNCTION("""COMPUTED_VALUE"""),"Full HD 1920x1080")</f>
        <v>Full HD 1920x1080</v>
      </c>
      <c r="G841" s="2" t="str">
        <f ca="1">IFERROR(__xludf.DUMMYFUNCTION("""COMPUTED_VALUE"""),"Intel Core i5 7200U 2.5GHz")</f>
        <v>Intel Core i5 7200U 2.5GHz</v>
      </c>
      <c r="H841" s="2" t="str">
        <f ca="1">IFERROR(__xludf.DUMMYFUNCTION("""COMPUTED_VALUE"""),"8GB")</f>
        <v>8GB</v>
      </c>
      <c r="I841" s="2" t="str">
        <f ca="1">IFERROR(__xludf.DUMMYFUNCTION("""COMPUTED_VALUE"""),"128GB HDD")</f>
        <v>128GB HDD</v>
      </c>
      <c r="J841" s="2" t="str">
        <f ca="1">IFERROR(__xludf.DUMMYFUNCTION("""COMPUTED_VALUE"""),"Intel HD Graphics 620")</f>
        <v>Intel HD Graphics 620</v>
      </c>
      <c r="K841" s="2" t="str">
        <f ca="1">IFERROR(__xludf.DUMMYFUNCTION("""COMPUTED_VALUE"""),"Windows 10")</f>
        <v>Windows 10</v>
      </c>
      <c r="L841" s="2" t="str">
        <f ca="1">IFERROR(__xludf.DUMMYFUNCTION("""COMPUTED_VALUE"""),"2.3kg")</f>
        <v>2.3kg</v>
      </c>
      <c r="M841" s="2">
        <f ca="1">IFERROR(__xludf.DUMMYFUNCTION("""COMPUTED_VALUE"""),590)</f>
        <v>590</v>
      </c>
    </row>
    <row r="842" spans="1:13">
      <c r="A842" s="2">
        <f ca="1">IFERROR(__xludf.DUMMYFUNCTION("""COMPUTED_VALUE"""),849)</f>
        <v>849</v>
      </c>
      <c r="B842" s="2" t="str">
        <f ca="1">IFERROR(__xludf.DUMMYFUNCTION("""COMPUTED_VALUE"""),"Asus")</f>
        <v>Asus</v>
      </c>
      <c r="C842" s="2" t="str">
        <f ca="1">IFERROR(__xludf.DUMMYFUNCTION("""COMPUTED_VALUE"""),"Rog GL702VM-GC017T")</f>
        <v>Rog GL702VM-GC017T</v>
      </c>
      <c r="D842" s="2" t="str">
        <f ca="1">IFERROR(__xludf.DUMMYFUNCTION("""COMPUTED_VALUE"""),"Gaming")</f>
        <v>Gaming</v>
      </c>
      <c r="E842" s="2">
        <f ca="1">IFERROR(__xludf.DUMMYFUNCTION("""COMPUTED_VALUE"""),17.3)</f>
        <v>17.3</v>
      </c>
      <c r="F842" s="2" t="str">
        <f ca="1">IFERROR(__xludf.DUMMYFUNCTION("""COMPUTED_VALUE"""),"Full HD 1920x1080")</f>
        <v>Full HD 1920x1080</v>
      </c>
      <c r="G842" s="2" t="str">
        <f ca="1">IFERROR(__xludf.DUMMYFUNCTION("""COMPUTED_VALUE"""),"Intel Core i7 6700HQ 2.6GHz")</f>
        <v>Intel Core i7 6700HQ 2.6GHz</v>
      </c>
      <c r="H842" s="2" t="str">
        <f ca="1">IFERROR(__xludf.DUMMYFUNCTION("""COMPUTED_VALUE"""),"16GB")</f>
        <v>16GB</v>
      </c>
      <c r="I842" s="2" t="str">
        <f ca="1">IFERROR(__xludf.DUMMYFUNCTION("""COMPUTED_VALUE"""),"512GB SSD +  1TB HDD")</f>
        <v>512GB SSD +  1TB HDD</v>
      </c>
      <c r="J842" s="2" t="str">
        <f ca="1">IFERROR(__xludf.DUMMYFUNCTION("""COMPUTED_VALUE"""),"Nvidia GeForce GTX 1060")</f>
        <v>Nvidia GeForce GTX 1060</v>
      </c>
      <c r="K842" s="2" t="str">
        <f ca="1">IFERROR(__xludf.DUMMYFUNCTION("""COMPUTED_VALUE"""),"Windows 10")</f>
        <v>Windows 10</v>
      </c>
      <c r="L842" s="2" t="str">
        <f ca="1">IFERROR(__xludf.DUMMYFUNCTION("""COMPUTED_VALUE"""),"2.73kg")</f>
        <v>2.73kg</v>
      </c>
      <c r="M842" s="2">
        <f ca="1">IFERROR(__xludf.DUMMYFUNCTION("""COMPUTED_VALUE"""),1799)</f>
        <v>1799</v>
      </c>
    </row>
    <row r="843" spans="1:13">
      <c r="A843" s="2">
        <f ca="1">IFERROR(__xludf.DUMMYFUNCTION("""COMPUTED_VALUE"""),851)</f>
        <v>851</v>
      </c>
      <c r="B843" s="2" t="str">
        <f ca="1">IFERROR(__xludf.DUMMYFUNCTION("""COMPUTED_VALUE"""),"Dell")</f>
        <v>Dell</v>
      </c>
      <c r="C843" s="2" t="str">
        <f ca="1">IFERROR(__xludf.DUMMYFUNCTION("""COMPUTED_VALUE"""),"Alienware 17")</f>
        <v>Alienware 17</v>
      </c>
      <c r="D843" s="2" t="str">
        <f ca="1">IFERROR(__xludf.DUMMYFUNCTION("""COMPUTED_VALUE"""),"Gaming")</f>
        <v>Gaming</v>
      </c>
      <c r="E843" s="2">
        <f ca="1">IFERROR(__xludf.DUMMYFUNCTION("""COMPUTED_VALUE"""),17.3)</f>
        <v>17.3</v>
      </c>
      <c r="F843" s="2" t="str">
        <f ca="1">IFERROR(__xludf.DUMMYFUNCTION("""COMPUTED_VALUE"""),"IPS Panel Full HD 1920x1080")</f>
        <v>IPS Panel Full HD 1920x1080</v>
      </c>
      <c r="G843" s="2" t="str">
        <f ca="1">IFERROR(__xludf.DUMMYFUNCTION("""COMPUTED_VALUE"""),"Intel Core i7 7700HQ 2.8GHz")</f>
        <v>Intel Core i7 7700HQ 2.8GHz</v>
      </c>
      <c r="H843" s="2" t="str">
        <f ca="1">IFERROR(__xludf.DUMMYFUNCTION("""COMPUTED_VALUE"""),"32GB")</f>
        <v>32GB</v>
      </c>
      <c r="I843" s="2" t="str">
        <f ca="1">IFERROR(__xludf.DUMMYFUNCTION("""COMPUTED_VALUE"""),"512GB SSD +  1TB HDD")</f>
        <v>512GB SSD +  1TB HDD</v>
      </c>
      <c r="J843" s="2" t="str">
        <f ca="1">IFERROR(__xludf.DUMMYFUNCTION("""COMPUTED_VALUE"""),"Nvidia GeForce GTX 1070")</f>
        <v>Nvidia GeForce GTX 1070</v>
      </c>
      <c r="K843" s="2" t="str">
        <f ca="1">IFERROR(__xludf.DUMMYFUNCTION("""COMPUTED_VALUE"""),"Windows 10")</f>
        <v>Windows 10</v>
      </c>
      <c r="L843" s="2" t="str">
        <f ca="1">IFERROR(__xludf.DUMMYFUNCTION("""COMPUTED_VALUE"""),"4.42kg")</f>
        <v>4.42kg</v>
      </c>
      <c r="M843" s="2">
        <f ca="1">IFERROR(__xludf.DUMMYFUNCTION("""COMPUTED_VALUE"""),3072.89)</f>
        <v>3072.89</v>
      </c>
    </row>
    <row r="844" spans="1:13">
      <c r="A844" s="2">
        <f ca="1">IFERROR(__xludf.DUMMYFUNCTION("""COMPUTED_VALUE"""),852)</f>
        <v>852</v>
      </c>
      <c r="B844" s="2" t="str">
        <f ca="1">IFERROR(__xludf.DUMMYFUNCTION("""COMPUTED_VALUE"""),"HP")</f>
        <v>HP</v>
      </c>
      <c r="C844" s="2" t="str">
        <f ca="1">IFERROR(__xludf.DUMMYFUNCTION("""COMPUTED_VALUE"""),"ProBook 470")</f>
        <v>ProBook 470</v>
      </c>
      <c r="D844" s="2" t="str">
        <f ca="1">IFERROR(__xludf.DUMMYFUNCTION("""COMPUTED_VALUE"""),"Notebook")</f>
        <v>Notebook</v>
      </c>
      <c r="E844" s="2">
        <f ca="1">IFERROR(__xludf.DUMMYFUNCTION("""COMPUTED_VALUE"""),17.3)</f>
        <v>17.3</v>
      </c>
      <c r="F844" s="2" t="str">
        <f ca="1">IFERROR(__xludf.DUMMYFUNCTION("""COMPUTED_VALUE"""),"1600x900")</f>
        <v>1600x900</v>
      </c>
      <c r="G844" s="2" t="str">
        <f ca="1">IFERROR(__xludf.DUMMYFUNCTION("""COMPUTED_VALUE"""),"Intel Core i5 7200U 2.5GHz")</f>
        <v>Intel Core i5 7200U 2.5GHz</v>
      </c>
      <c r="H844" s="2" t="str">
        <f ca="1">IFERROR(__xludf.DUMMYFUNCTION("""COMPUTED_VALUE"""),"8GB")</f>
        <v>8GB</v>
      </c>
      <c r="I844" s="2" t="str">
        <f ca="1">IFERROR(__xludf.DUMMYFUNCTION("""COMPUTED_VALUE"""),"1TB HDD")</f>
        <v>1TB HDD</v>
      </c>
      <c r="J844" s="2" t="str">
        <f ca="1">IFERROR(__xludf.DUMMYFUNCTION("""COMPUTED_VALUE"""),"Nvidia GeForce 930MX")</f>
        <v>Nvidia GeForce 930MX</v>
      </c>
      <c r="K844" s="2" t="str">
        <f ca="1">IFERROR(__xludf.DUMMYFUNCTION("""COMPUTED_VALUE"""),"Windows 10")</f>
        <v>Windows 10</v>
      </c>
      <c r="L844" s="2" t="str">
        <f ca="1">IFERROR(__xludf.DUMMYFUNCTION("""COMPUTED_VALUE"""),"2.63kg")</f>
        <v>2.63kg</v>
      </c>
      <c r="M844" s="2">
        <f ca="1">IFERROR(__xludf.DUMMYFUNCTION("""COMPUTED_VALUE"""),910)</f>
        <v>910</v>
      </c>
    </row>
    <row r="845" spans="1:13">
      <c r="A845" s="2">
        <f ca="1">IFERROR(__xludf.DUMMYFUNCTION("""COMPUTED_VALUE"""),853)</f>
        <v>853</v>
      </c>
      <c r="B845" s="2" t="str">
        <f ca="1">IFERROR(__xludf.DUMMYFUNCTION("""COMPUTED_VALUE"""),"Dell")</f>
        <v>Dell</v>
      </c>
      <c r="C845" s="2" t="str">
        <f ca="1">IFERROR(__xludf.DUMMYFUNCTION("""COMPUTED_VALUE"""),"Vostro 3568")</f>
        <v>Vostro 3568</v>
      </c>
      <c r="D845" s="2" t="str">
        <f ca="1">IFERROR(__xludf.DUMMYFUNCTION("""COMPUTED_VALUE"""),"Notebook")</f>
        <v>Notebook</v>
      </c>
      <c r="E845" s="2">
        <f ca="1">IFERROR(__xludf.DUMMYFUNCTION("""COMPUTED_VALUE"""),15.6)</f>
        <v>15.6</v>
      </c>
      <c r="F845" s="2" t="str">
        <f ca="1">IFERROR(__xludf.DUMMYFUNCTION("""COMPUTED_VALUE"""),"1366x768")</f>
        <v>1366x768</v>
      </c>
      <c r="G845" s="2" t="str">
        <f ca="1">IFERROR(__xludf.DUMMYFUNCTION("""COMPUTED_VALUE"""),"Intel Core i5 7200U 2.5GHz")</f>
        <v>Intel Core i5 7200U 2.5GHz</v>
      </c>
      <c r="H845" s="2" t="str">
        <f ca="1">IFERROR(__xludf.DUMMYFUNCTION("""COMPUTED_VALUE"""),"8GB")</f>
        <v>8GB</v>
      </c>
      <c r="I845" s="2" t="str">
        <f ca="1">IFERROR(__xludf.DUMMYFUNCTION("""COMPUTED_VALUE"""),"128GB SSD")</f>
        <v>128GB SSD</v>
      </c>
      <c r="J845" s="2" t="str">
        <f ca="1">IFERROR(__xludf.DUMMYFUNCTION("""COMPUTED_VALUE"""),"Intel HD Graphics 620")</f>
        <v>Intel HD Graphics 620</v>
      </c>
      <c r="K845" s="2" t="str">
        <f ca="1">IFERROR(__xludf.DUMMYFUNCTION("""COMPUTED_VALUE"""),"Windows 10")</f>
        <v>Windows 10</v>
      </c>
      <c r="L845" s="2" t="str">
        <f ca="1">IFERROR(__xludf.DUMMYFUNCTION("""COMPUTED_VALUE"""),"2.18kg")</f>
        <v>2.18kg</v>
      </c>
      <c r="M845" s="2">
        <f ca="1">IFERROR(__xludf.DUMMYFUNCTION("""COMPUTED_VALUE"""),713.99)</f>
        <v>713.99</v>
      </c>
    </row>
    <row r="846" spans="1:13">
      <c r="A846" s="2">
        <f ca="1">IFERROR(__xludf.DUMMYFUNCTION("""COMPUTED_VALUE"""),854)</f>
        <v>854</v>
      </c>
      <c r="B846" s="2" t="str">
        <f ca="1">IFERROR(__xludf.DUMMYFUNCTION("""COMPUTED_VALUE"""),"HP")</f>
        <v>HP</v>
      </c>
      <c r="C846" s="2" t="str">
        <f ca="1">IFERROR(__xludf.DUMMYFUNCTION("""COMPUTED_VALUE"""),"EliteBook 840")</f>
        <v>EliteBook 840</v>
      </c>
      <c r="D846" s="2" t="str">
        <f ca="1">IFERROR(__xludf.DUMMYFUNCTION("""COMPUTED_VALUE"""),"Ultrabook")</f>
        <v>Ultrabook</v>
      </c>
      <c r="E846" s="2">
        <f ca="1">IFERROR(__xludf.DUMMYFUNCTION("""COMPUTED_VALUE"""),14)</f>
        <v>14</v>
      </c>
      <c r="F846" s="2" t="str">
        <f ca="1">IFERROR(__xludf.DUMMYFUNCTION("""COMPUTED_VALUE"""),"Full HD 1920x1080")</f>
        <v>Full HD 1920x1080</v>
      </c>
      <c r="G846" s="2" t="str">
        <f ca="1">IFERROR(__xludf.DUMMYFUNCTION("""COMPUTED_VALUE"""),"Intel Core i7 6500U 2.5GHz")</f>
        <v>Intel Core i7 6500U 2.5GHz</v>
      </c>
      <c r="H846" s="2" t="str">
        <f ca="1">IFERROR(__xludf.DUMMYFUNCTION("""COMPUTED_VALUE"""),"8GB")</f>
        <v>8GB</v>
      </c>
      <c r="I846" s="2" t="str">
        <f ca="1">IFERROR(__xludf.DUMMYFUNCTION("""COMPUTED_VALUE"""),"512GB SSD")</f>
        <v>512GB SSD</v>
      </c>
      <c r="J846" s="2" t="str">
        <f ca="1">IFERROR(__xludf.DUMMYFUNCTION("""COMPUTED_VALUE"""),"Intel HD Graphics 520")</f>
        <v>Intel HD Graphics 520</v>
      </c>
      <c r="K846" s="2" t="str">
        <f ca="1">IFERROR(__xludf.DUMMYFUNCTION("""COMPUTED_VALUE"""),"Windows 7")</f>
        <v>Windows 7</v>
      </c>
      <c r="L846" s="2" t="str">
        <f ca="1">IFERROR(__xludf.DUMMYFUNCTION("""COMPUTED_VALUE"""),"1.54kg")</f>
        <v>1.54kg</v>
      </c>
      <c r="M846" s="2">
        <f ca="1">IFERROR(__xludf.DUMMYFUNCTION("""COMPUTED_VALUE"""),1870)</f>
        <v>1870</v>
      </c>
    </row>
    <row r="847" spans="1:13">
      <c r="A847" s="2">
        <f ca="1">IFERROR(__xludf.DUMMYFUNCTION("""COMPUTED_VALUE"""),855)</f>
        <v>855</v>
      </c>
      <c r="B847" s="2" t="str">
        <f ca="1">IFERROR(__xludf.DUMMYFUNCTION("""COMPUTED_VALUE"""),"Dell")</f>
        <v>Dell</v>
      </c>
      <c r="C847" s="2" t="str">
        <f ca="1">IFERROR(__xludf.DUMMYFUNCTION("""COMPUTED_VALUE"""),"Vostro 3568")</f>
        <v>Vostro 3568</v>
      </c>
      <c r="D847" s="2" t="str">
        <f ca="1">IFERROR(__xludf.DUMMYFUNCTION("""COMPUTED_VALUE"""),"Notebook")</f>
        <v>Notebook</v>
      </c>
      <c r="E847" s="2">
        <f ca="1">IFERROR(__xludf.DUMMYFUNCTION("""COMPUTED_VALUE"""),15.6)</f>
        <v>15.6</v>
      </c>
      <c r="F847" s="2" t="str">
        <f ca="1">IFERROR(__xludf.DUMMYFUNCTION("""COMPUTED_VALUE"""),"Full HD 1920x1080")</f>
        <v>Full HD 1920x1080</v>
      </c>
      <c r="G847" s="2" t="str">
        <f ca="1">IFERROR(__xludf.DUMMYFUNCTION("""COMPUTED_VALUE"""),"Intel Core i7 7500U 2.7GHz")</f>
        <v>Intel Core i7 7500U 2.7GHz</v>
      </c>
      <c r="H847" s="2" t="str">
        <f ca="1">IFERROR(__xludf.DUMMYFUNCTION("""COMPUTED_VALUE"""),"4GB")</f>
        <v>4GB</v>
      </c>
      <c r="I847" s="2" t="str">
        <f ca="1">IFERROR(__xludf.DUMMYFUNCTION("""COMPUTED_VALUE"""),"256GB SSD")</f>
        <v>256GB SSD</v>
      </c>
      <c r="J847" s="2" t="str">
        <f ca="1">IFERROR(__xludf.DUMMYFUNCTION("""COMPUTED_VALUE"""),"AMD Radeon R5 M420")</f>
        <v>AMD Radeon R5 M420</v>
      </c>
      <c r="K847" s="2" t="str">
        <f ca="1">IFERROR(__xludf.DUMMYFUNCTION("""COMPUTED_VALUE"""),"Windows 10")</f>
        <v>Windows 10</v>
      </c>
      <c r="L847" s="2" t="str">
        <f ca="1">IFERROR(__xludf.DUMMYFUNCTION("""COMPUTED_VALUE"""),"2.18kg")</f>
        <v>2.18kg</v>
      </c>
      <c r="M847" s="2">
        <f ca="1">IFERROR(__xludf.DUMMYFUNCTION("""COMPUTED_VALUE"""),739)</f>
        <v>739</v>
      </c>
    </row>
    <row r="848" spans="1:13">
      <c r="A848" s="2">
        <f ca="1">IFERROR(__xludf.DUMMYFUNCTION("""COMPUTED_VALUE"""),856)</f>
        <v>856</v>
      </c>
      <c r="B848" s="2" t="str">
        <f ca="1">IFERROR(__xludf.DUMMYFUNCTION("""COMPUTED_VALUE"""),"HP")</f>
        <v>HP</v>
      </c>
      <c r="C848" s="2" t="str">
        <f ca="1">IFERROR(__xludf.DUMMYFUNCTION("""COMPUTED_VALUE"""),"Chromebook X360")</f>
        <v>Chromebook X360</v>
      </c>
      <c r="D848" s="2" t="str">
        <f ca="1">IFERROR(__xludf.DUMMYFUNCTION("""COMPUTED_VALUE"""),"2 in 1 Convertible")</f>
        <v>2 in 1 Convertible</v>
      </c>
      <c r="E848" s="2">
        <f ca="1">IFERROR(__xludf.DUMMYFUNCTION("""COMPUTED_VALUE"""),11.6)</f>
        <v>11.6</v>
      </c>
      <c r="F848" s="2" t="str">
        <f ca="1">IFERROR(__xludf.DUMMYFUNCTION("""COMPUTED_VALUE"""),"Touchscreen 1366x768")</f>
        <v>Touchscreen 1366x768</v>
      </c>
      <c r="G848" s="2" t="str">
        <f ca="1">IFERROR(__xludf.DUMMYFUNCTION("""COMPUTED_VALUE"""),"Intel Celeron Dual Core N3350 1.1GHz")</f>
        <v>Intel Celeron Dual Core N3350 1.1GHz</v>
      </c>
      <c r="H848" s="2" t="str">
        <f ca="1">IFERROR(__xludf.DUMMYFUNCTION("""COMPUTED_VALUE"""),"4GB")</f>
        <v>4GB</v>
      </c>
      <c r="I848" s="2" t="str">
        <f ca="1">IFERROR(__xludf.DUMMYFUNCTION("""COMPUTED_VALUE"""),"32GB Flash Storage")</f>
        <v>32GB Flash Storage</v>
      </c>
      <c r="J848" s="2" t="str">
        <f ca="1">IFERROR(__xludf.DUMMYFUNCTION("""COMPUTED_VALUE"""),"Intel HD Graphics 500")</f>
        <v>Intel HD Graphics 500</v>
      </c>
      <c r="K848" s="2" t="str">
        <f ca="1">IFERROR(__xludf.DUMMYFUNCTION("""COMPUTED_VALUE"""),"Chrome OS")</f>
        <v>Chrome OS</v>
      </c>
      <c r="L848" s="2" t="str">
        <f ca="1">IFERROR(__xludf.DUMMYFUNCTION("""COMPUTED_VALUE"""),"1.4kg")</f>
        <v>1.4kg</v>
      </c>
      <c r="M848" s="2">
        <f ca="1">IFERROR(__xludf.DUMMYFUNCTION("""COMPUTED_VALUE"""),615)</f>
        <v>615</v>
      </c>
    </row>
    <row r="849" spans="1:13">
      <c r="A849" s="2">
        <f ca="1">IFERROR(__xludf.DUMMYFUNCTION("""COMPUTED_VALUE"""),857)</f>
        <v>857</v>
      </c>
      <c r="B849" s="2" t="str">
        <f ca="1">IFERROR(__xludf.DUMMYFUNCTION("""COMPUTED_VALUE"""),"Asus")</f>
        <v>Asus</v>
      </c>
      <c r="C849" s="2" t="str">
        <f ca="1">IFERROR(__xludf.DUMMYFUNCTION("""COMPUTED_VALUE"""),"ZenBook UX310UQ-GL026T")</f>
        <v>ZenBook UX310UQ-GL026T</v>
      </c>
      <c r="D849" s="2" t="str">
        <f ca="1">IFERROR(__xludf.DUMMYFUNCTION("""COMPUTED_VALUE"""),"Ultrabook")</f>
        <v>Ultrabook</v>
      </c>
      <c r="E849" s="2">
        <f ca="1">IFERROR(__xludf.DUMMYFUNCTION("""COMPUTED_VALUE"""),13.3)</f>
        <v>13.3</v>
      </c>
      <c r="F849" s="2" t="str">
        <f ca="1">IFERROR(__xludf.DUMMYFUNCTION("""COMPUTED_VALUE"""),"IPS Panel Full HD 1920x1080")</f>
        <v>IPS Panel Full HD 1920x1080</v>
      </c>
      <c r="G849" s="2" t="str">
        <f ca="1">IFERROR(__xludf.DUMMYFUNCTION("""COMPUTED_VALUE"""),"Intel Core i5 6200U 2.3GHz")</f>
        <v>Intel Core i5 6200U 2.3GHz</v>
      </c>
      <c r="H849" s="2" t="str">
        <f ca="1">IFERROR(__xludf.DUMMYFUNCTION("""COMPUTED_VALUE"""),"8GB")</f>
        <v>8GB</v>
      </c>
      <c r="I849" s="2" t="str">
        <f ca="1">IFERROR(__xludf.DUMMYFUNCTION("""COMPUTED_VALUE"""),"512GB SSD")</f>
        <v>512GB SSD</v>
      </c>
      <c r="J849" s="2" t="str">
        <f ca="1">IFERROR(__xludf.DUMMYFUNCTION("""COMPUTED_VALUE"""),"Nvidia GeForce 940M")</f>
        <v>Nvidia GeForce 940M</v>
      </c>
      <c r="K849" s="2" t="str">
        <f ca="1">IFERROR(__xludf.DUMMYFUNCTION("""COMPUTED_VALUE"""),"Windows 10")</f>
        <v>Windows 10</v>
      </c>
      <c r="L849" s="2" t="str">
        <f ca="1">IFERROR(__xludf.DUMMYFUNCTION("""COMPUTED_VALUE"""),"1.45kg")</f>
        <v>1.45kg</v>
      </c>
      <c r="M849" s="2">
        <f ca="1">IFERROR(__xludf.DUMMYFUNCTION("""COMPUTED_VALUE"""),1026)</f>
        <v>1026</v>
      </c>
    </row>
    <row r="850" spans="1:13">
      <c r="A850" s="2">
        <f ca="1">IFERROR(__xludf.DUMMYFUNCTION("""COMPUTED_VALUE"""),858)</f>
        <v>858</v>
      </c>
      <c r="B850" s="2" t="str">
        <f ca="1">IFERROR(__xludf.DUMMYFUNCTION("""COMPUTED_VALUE"""),"HP")</f>
        <v>HP</v>
      </c>
      <c r="C850" s="2" t="str">
        <f ca="1">IFERROR(__xludf.DUMMYFUNCTION("""COMPUTED_VALUE"""),"EliteBook x360")</f>
        <v>EliteBook x360</v>
      </c>
      <c r="D850" s="2" t="str">
        <f ca="1">IFERROR(__xludf.DUMMYFUNCTION("""COMPUTED_VALUE"""),"2 in 1 Convertible")</f>
        <v>2 in 1 Convertible</v>
      </c>
      <c r="E850" s="2">
        <f ca="1">IFERROR(__xludf.DUMMYFUNCTION("""COMPUTED_VALUE"""),13.3)</f>
        <v>13.3</v>
      </c>
      <c r="F850" s="2" t="str">
        <f ca="1">IFERROR(__xludf.DUMMYFUNCTION("""COMPUTED_VALUE"""),"Full HD / Touchscreen 1920x1080")</f>
        <v>Full HD / Touchscreen 1920x1080</v>
      </c>
      <c r="G850" s="2" t="str">
        <f ca="1">IFERROR(__xludf.DUMMYFUNCTION("""COMPUTED_VALUE"""),"Intel Core i5 7200U 2.5GHz")</f>
        <v>Intel Core i5 7200U 2.5GHz</v>
      </c>
      <c r="H850" s="2" t="str">
        <f ca="1">IFERROR(__xludf.DUMMYFUNCTION("""COMPUTED_VALUE"""),"8GB")</f>
        <v>8GB</v>
      </c>
      <c r="I850" s="2" t="str">
        <f ca="1">IFERROR(__xludf.DUMMYFUNCTION("""COMPUTED_VALUE"""),"256GB SSD")</f>
        <v>256GB SSD</v>
      </c>
      <c r="J850" s="2" t="str">
        <f ca="1">IFERROR(__xludf.DUMMYFUNCTION("""COMPUTED_VALUE"""),"Intel HD Graphics 620")</f>
        <v>Intel HD Graphics 620</v>
      </c>
      <c r="K850" s="2" t="str">
        <f ca="1">IFERROR(__xludf.DUMMYFUNCTION("""COMPUTED_VALUE"""),"Windows 10")</f>
        <v>Windows 10</v>
      </c>
      <c r="L850" s="2" t="str">
        <f ca="1">IFERROR(__xludf.DUMMYFUNCTION("""COMPUTED_VALUE"""),"1.28kg")</f>
        <v>1.28kg</v>
      </c>
      <c r="M850" s="2">
        <f ca="1">IFERROR(__xludf.DUMMYFUNCTION("""COMPUTED_VALUE"""),2277)</f>
        <v>2277</v>
      </c>
    </row>
    <row r="851" spans="1:13">
      <c r="A851" s="2">
        <f ca="1">IFERROR(__xludf.DUMMYFUNCTION("""COMPUTED_VALUE"""),859)</f>
        <v>859</v>
      </c>
      <c r="B851" s="2" t="str">
        <f ca="1">IFERROR(__xludf.DUMMYFUNCTION("""COMPUTED_VALUE"""),"HP")</f>
        <v>HP</v>
      </c>
      <c r="C851" s="2" t="str">
        <f ca="1">IFERROR(__xludf.DUMMYFUNCTION("""COMPUTED_VALUE"""),"EliteBook 840")</f>
        <v>EliteBook 840</v>
      </c>
      <c r="D851" s="2" t="str">
        <f ca="1">IFERROR(__xludf.DUMMYFUNCTION("""COMPUTED_VALUE"""),"Ultrabook")</f>
        <v>Ultrabook</v>
      </c>
      <c r="E851" s="2">
        <f ca="1">IFERROR(__xludf.DUMMYFUNCTION("""COMPUTED_VALUE"""),14)</f>
        <v>14</v>
      </c>
      <c r="F851" s="2" t="str">
        <f ca="1">IFERROR(__xludf.DUMMYFUNCTION("""COMPUTED_VALUE"""),"Full HD 1920x1080")</f>
        <v>Full HD 1920x1080</v>
      </c>
      <c r="G851" s="2" t="str">
        <f ca="1">IFERROR(__xludf.DUMMYFUNCTION("""COMPUTED_VALUE"""),"Intel Core i7 6500U 2.5GHz")</f>
        <v>Intel Core i7 6500U 2.5GHz</v>
      </c>
      <c r="H851" s="2" t="str">
        <f ca="1">IFERROR(__xludf.DUMMYFUNCTION("""COMPUTED_VALUE"""),"8GB")</f>
        <v>8GB</v>
      </c>
      <c r="I851" s="2" t="str">
        <f ca="1">IFERROR(__xludf.DUMMYFUNCTION("""COMPUTED_VALUE"""),"512GB SSD")</f>
        <v>512GB SSD</v>
      </c>
      <c r="J851" s="2" t="str">
        <f ca="1">IFERROR(__xludf.DUMMYFUNCTION("""COMPUTED_VALUE"""),"Intel HD Graphics 520")</f>
        <v>Intel HD Graphics 520</v>
      </c>
      <c r="K851" s="2" t="str">
        <f ca="1">IFERROR(__xludf.DUMMYFUNCTION("""COMPUTED_VALUE"""),"Windows 10")</f>
        <v>Windows 10</v>
      </c>
      <c r="L851" s="2" t="str">
        <f ca="1">IFERROR(__xludf.DUMMYFUNCTION("""COMPUTED_VALUE"""),"1.54kg")</f>
        <v>1.54kg</v>
      </c>
      <c r="M851" s="2">
        <f ca="1">IFERROR(__xludf.DUMMYFUNCTION("""COMPUTED_VALUE"""),1468)</f>
        <v>1468</v>
      </c>
    </row>
    <row r="852" spans="1:13">
      <c r="A852" s="2">
        <f ca="1">IFERROR(__xludf.DUMMYFUNCTION("""COMPUTED_VALUE"""),860)</f>
        <v>860</v>
      </c>
      <c r="B852" s="2" t="str">
        <f ca="1">IFERROR(__xludf.DUMMYFUNCTION("""COMPUTED_VALUE"""),"HP")</f>
        <v>HP</v>
      </c>
      <c r="C852" s="2" t="str">
        <f ca="1">IFERROR(__xludf.DUMMYFUNCTION("""COMPUTED_VALUE"""),"250 G6")</f>
        <v>250 G6</v>
      </c>
      <c r="D852" s="2" t="str">
        <f ca="1">IFERROR(__xludf.DUMMYFUNCTION("""COMPUTED_VALUE"""),"Notebook")</f>
        <v>Notebook</v>
      </c>
      <c r="E852" s="2">
        <f ca="1">IFERROR(__xludf.DUMMYFUNCTION("""COMPUTED_VALUE"""),15.6)</f>
        <v>15.6</v>
      </c>
      <c r="F852" s="2" t="str">
        <f ca="1">IFERROR(__xludf.DUMMYFUNCTION("""COMPUTED_VALUE"""),"1366x768")</f>
        <v>1366x768</v>
      </c>
      <c r="G852" s="2" t="str">
        <f ca="1">IFERROR(__xludf.DUMMYFUNCTION("""COMPUTED_VALUE"""),"Intel Celeron Dual Core N3060 1.6GHz")</f>
        <v>Intel Celeron Dual Core N3060 1.6GHz</v>
      </c>
      <c r="H852" s="2" t="str">
        <f ca="1">IFERROR(__xludf.DUMMYFUNCTION("""COMPUTED_VALUE"""),"4GB")</f>
        <v>4GB</v>
      </c>
      <c r="I852" s="2" t="str">
        <f ca="1">IFERROR(__xludf.DUMMYFUNCTION("""COMPUTED_VALUE"""),"128GB SSD")</f>
        <v>128GB SSD</v>
      </c>
      <c r="J852" s="2" t="str">
        <f ca="1">IFERROR(__xludf.DUMMYFUNCTION("""COMPUTED_VALUE"""),"Intel HD Graphics 400")</f>
        <v>Intel HD Graphics 400</v>
      </c>
      <c r="K852" s="2" t="str">
        <f ca="1">IFERROR(__xludf.DUMMYFUNCTION("""COMPUTED_VALUE"""),"No OS")</f>
        <v>No OS</v>
      </c>
      <c r="L852" s="2" t="str">
        <f ca="1">IFERROR(__xludf.DUMMYFUNCTION("""COMPUTED_VALUE"""),"1.86kg")</f>
        <v>1.86kg</v>
      </c>
      <c r="M852" s="2">
        <f ca="1">IFERROR(__xludf.DUMMYFUNCTION("""COMPUTED_VALUE"""),299)</f>
        <v>299</v>
      </c>
    </row>
    <row r="853" spans="1:13">
      <c r="A853" s="2">
        <f ca="1">IFERROR(__xludf.DUMMYFUNCTION("""COMPUTED_VALUE"""),862)</f>
        <v>862</v>
      </c>
      <c r="B853" s="2" t="str">
        <f ca="1">IFERROR(__xludf.DUMMYFUNCTION("""COMPUTED_VALUE"""),"Asus")</f>
        <v>Asus</v>
      </c>
      <c r="C853" s="2" t="str">
        <f ca="1">IFERROR(__xludf.DUMMYFUNCTION("""COMPUTED_VALUE"""),"Rog GL502VM-DS74")</f>
        <v>Rog GL502VM-DS74</v>
      </c>
      <c r="D853" s="2" t="str">
        <f ca="1">IFERROR(__xludf.DUMMYFUNCTION("""COMPUTED_VALUE"""),"Gaming")</f>
        <v>Gaming</v>
      </c>
      <c r="E853" s="2">
        <f ca="1">IFERROR(__xludf.DUMMYFUNCTION("""COMPUTED_VALUE"""),15.6)</f>
        <v>15.6</v>
      </c>
      <c r="F853" s="2" t="str">
        <f ca="1">IFERROR(__xludf.DUMMYFUNCTION("""COMPUTED_VALUE"""),"Full HD 1920x1080")</f>
        <v>Full HD 1920x1080</v>
      </c>
      <c r="G853" s="2" t="str">
        <f ca="1">IFERROR(__xludf.DUMMYFUNCTION("""COMPUTED_VALUE"""),"Intel Core i7 7700HQ 2.8GHz")</f>
        <v>Intel Core i7 7700HQ 2.8GHz</v>
      </c>
      <c r="H853" s="2" t="str">
        <f ca="1">IFERROR(__xludf.DUMMYFUNCTION("""COMPUTED_VALUE"""),"16GB")</f>
        <v>16GB</v>
      </c>
      <c r="I853" s="2" t="str">
        <f ca="1">IFERROR(__xludf.DUMMYFUNCTION("""COMPUTED_VALUE"""),"128GB SSD +  1TB HDD")</f>
        <v>128GB SSD +  1TB HDD</v>
      </c>
      <c r="J853" s="2" t="str">
        <f ca="1">IFERROR(__xludf.DUMMYFUNCTION("""COMPUTED_VALUE"""),"Nvidia GeForce GTX 1060")</f>
        <v>Nvidia GeForce GTX 1060</v>
      </c>
      <c r="K853" s="2" t="str">
        <f ca="1">IFERROR(__xludf.DUMMYFUNCTION("""COMPUTED_VALUE"""),"Windows 10")</f>
        <v>Windows 10</v>
      </c>
      <c r="L853" s="2" t="str">
        <f ca="1">IFERROR(__xludf.DUMMYFUNCTION("""COMPUTED_VALUE"""),"2.1kg")</f>
        <v>2.1kg</v>
      </c>
      <c r="M853" s="2">
        <f ca="1">IFERROR(__xludf.DUMMYFUNCTION("""COMPUTED_VALUE"""),1899)</f>
        <v>1899</v>
      </c>
    </row>
    <row r="854" spans="1:13">
      <c r="A854" s="2">
        <f ca="1">IFERROR(__xludf.DUMMYFUNCTION("""COMPUTED_VALUE"""),863)</f>
        <v>863</v>
      </c>
      <c r="B854" s="2" t="str">
        <f ca="1">IFERROR(__xludf.DUMMYFUNCTION("""COMPUTED_VALUE"""),"Dell")</f>
        <v>Dell</v>
      </c>
      <c r="C854" s="2" t="str">
        <f ca="1">IFERROR(__xludf.DUMMYFUNCTION("""COMPUTED_VALUE"""),"Inspiron 5767")</f>
        <v>Inspiron 5767</v>
      </c>
      <c r="D854" s="2" t="str">
        <f ca="1">IFERROR(__xludf.DUMMYFUNCTION("""COMPUTED_VALUE"""),"Notebook")</f>
        <v>Notebook</v>
      </c>
      <c r="E854" s="2">
        <f ca="1">IFERROR(__xludf.DUMMYFUNCTION("""COMPUTED_VALUE"""),17.3)</f>
        <v>17.3</v>
      </c>
      <c r="F854" s="2" t="str">
        <f ca="1">IFERROR(__xludf.DUMMYFUNCTION("""COMPUTED_VALUE"""),"Full HD 1920x1080")</f>
        <v>Full HD 1920x1080</v>
      </c>
      <c r="G854" s="2" t="str">
        <f ca="1">IFERROR(__xludf.DUMMYFUNCTION("""COMPUTED_VALUE"""),"Intel Core i7 7500U 2.7GHz")</f>
        <v>Intel Core i7 7500U 2.7GHz</v>
      </c>
      <c r="H854" s="2" t="str">
        <f ca="1">IFERROR(__xludf.DUMMYFUNCTION("""COMPUTED_VALUE"""),"8GB")</f>
        <v>8GB</v>
      </c>
      <c r="I854" s="2" t="str">
        <f ca="1">IFERROR(__xludf.DUMMYFUNCTION("""COMPUTED_VALUE"""),"1TB HDD")</f>
        <v>1TB HDD</v>
      </c>
      <c r="J854" s="2" t="str">
        <f ca="1">IFERROR(__xludf.DUMMYFUNCTION("""COMPUTED_VALUE"""),"AMD Radeon R7 M445")</f>
        <v>AMD Radeon R7 M445</v>
      </c>
      <c r="K854" s="2" t="str">
        <f ca="1">IFERROR(__xludf.DUMMYFUNCTION("""COMPUTED_VALUE"""),"Linux")</f>
        <v>Linux</v>
      </c>
      <c r="L854" s="2" t="str">
        <f ca="1">IFERROR(__xludf.DUMMYFUNCTION("""COMPUTED_VALUE"""),"2.83kg")</f>
        <v>2.83kg</v>
      </c>
      <c r="M854" s="2">
        <f ca="1">IFERROR(__xludf.DUMMYFUNCTION("""COMPUTED_VALUE"""),865)</f>
        <v>865</v>
      </c>
    </row>
    <row r="855" spans="1:13">
      <c r="A855" s="2">
        <f ca="1">IFERROR(__xludf.DUMMYFUNCTION("""COMPUTED_VALUE"""),864)</f>
        <v>864</v>
      </c>
      <c r="B855" s="2" t="str">
        <f ca="1">IFERROR(__xludf.DUMMYFUNCTION("""COMPUTED_VALUE"""),"Lenovo")</f>
        <v>Lenovo</v>
      </c>
      <c r="C855" s="2" t="str">
        <f ca="1">IFERROR(__xludf.DUMMYFUNCTION("""COMPUTED_VALUE"""),"ThinkPad T470p")</f>
        <v>ThinkPad T470p</v>
      </c>
      <c r="D855" s="2" t="str">
        <f ca="1">IFERROR(__xludf.DUMMYFUNCTION("""COMPUTED_VALUE"""),"Ultrabook")</f>
        <v>Ultrabook</v>
      </c>
      <c r="E855" s="2">
        <f ca="1">IFERROR(__xludf.DUMMYFUNCTION("""COMPUTED_VALUE"""),14)</f>
        <v>14</v>
      </c>
      <c r="F855" s="2" t="str">
        <f ca="1">IFERROR(__xludf.DUMMYFUNCTION("""COMPUTED_VALUE"""),"IPS Panel Full HD 1920x1080")</f>
        <v>IPS Panel Full HD 1920x1080</v>
      </c>
      <c r="G855" s="2" t="str">
        <f ca="1">IFERROR(__xludf.DUMMYFUNCTION("""COMPUTED_VALUE"""),"Intel Core i7 7700HQ 2.8GHz")</f>
        <v>Intel Core i7 7700HQ 2.8GHz</v>
      </c>
      <c r="H855" s="2" t="str">
        <f ca="1">IFERROR(__xludf.DUMMYFUNCTION("""COMPUTED_VALUE"""),"8GB")</f>
        <v>8GB</v>
      </c>
      <c r="I855" s="2" t="str">
        <f ca="1">IFERROR(__xludf.DUMMYFUNCTION("""COMPUTED_VALUE"""),"256GB SSD")</f>
        <v>256GB SSD</v>
      </c>
      <c r="J855" s="2" t="str">
        <f ca="1">IFERROR(__xludf.DUMMYFUNCTION("""COMPUTED_VALUE"""),"Nvidia GeForce GT 940MX")</f>
        <v>Nvidia GeForce GT 940MX</v>
      </c>
      <c r="K855" s="2" t="str">
        <f ca="1">IFERROR(__xludf.DUMMYFUNCTION("""COMPUTED_VALUE"""),"Windows 10")</f>
        <v>Windows 10</v>
      </c>
      <c r="L855" s="2" t="str">
        <f ca="1">IFERROR(__xludf.DUMMYFUNCTION("""COMPUTED_VALUE"""),"1.96kg")</f>
        <v>1.96kg</v>
      </c>
      <c r="M855" s="2">
        <f ca="1">IFERROR(__xludf.DUMMYFUNCTION("""COMPUTED_VALUE"""),1903)</f>
        <v>1903</v>
      </c>
    </row>
    <row r="856" spans="1:13">
      <c r="A856" s="2">
        <f ca="1">IFERROR(__xludf.DUMMYFUNCTION("""COMPUTED_VALUE"""),865)</f>
        <v>865</v>
      </c>
      <c r="B856" s="2" t="str">
        <f ca="1">IFERROR(__xludf.DUMMYFUNCTION("""COMPUTED_VALUE"""),"Asus")</f>
        <v>Asus</v>
      </c>
      <c r="C856" s="2" t="str">
        <f ca="1">IFERROR(__xludf.DUMMYFUNCTION("""COMPUTED_VALUE"""),"K556UR-DM621T (i7-7500U/8GB/256GB/GeForce")</f>
        <v>K556UR-DM621T (i7-7500U/8GB/256GB/GeForce</v>
      </c>
      <c r="D856" s="2" t="str">
        <f ca="1">IFERROR(__xludf.DUMMYFUNCTION("""COMPUTED_VALUE"""),"Notebook")</f>
        <v>Notebook</v>
      </c>
      <c r="E856" s="2">
        <f ca="1">IFERROR(__xludf.DUMMYFUNCTION("""COMPUTED_VALUE"""),15.6)</f>
        <v>15.6</v>
      </c>
      <c r="F856" s="2" t="str">
        <f ca="1">IFERROR(__xludf.DUMMYFUNCTION("""COMPUTED_VALUE"""),"IPS Panel Full HD 1920x1080")</f>
        <v>IPS Panel Full HD 1920x1080</v>
      </c>
      <c r="G856" s="2" t="str">
        <f ca="1">IFERROR(__xludf.DUMMYFUNCTION("""COMPUTED_VALUE"""),"Intel Core i7 7500U 2.7GHz")</f>
        <v>Intel Core i7 7500U 2.7GHz</v>
      </c>
      <c r="H856" s="2" t="str">
        <f ca="1">IFERROR(__xludf.DUMMYFUNCTION("""COMPUTED_VALUE"""),"8GB")</f>
        <v>8GB</v>
      </c>
      <c r="I856" s="2" t="str">
        <f ca="1">IFERROR(__xludf.DUMMYFUNCTION("""COMPUTED_VALUE"""),"256GB SSD")</f>
        <v>256GB SSD</v>
      </c>
      <c r="J856" s="2" t="str">
        <f ca="1">IFERROR(__xludf.DUMMYFUNCTION("""COMPUTED_VALUE"""),"Nvidia GeForce GTX 930MX")</f>
        <v>Nvidia GeForce GTX 930MX</v>
      </c>
      <c r="K856" s="2" t="str">
        <f ca="1">IFERROR(__xludf.DUMMYFUNCTION("""COMPUTED_VALUE"""),"Windows 10")</f>
        <v>Windows 10</v>
      </c>
      <c r="L856" s="2" t="str">
        <f ca="1">IFERROR(__xludf.DUMMYFUNCTION("""COMPUTED_VALUE"""),"2.3kg")</f>
        <v>2.3kg</v>
      </c>
      <c r="M856" s="2">
        <f ca="1">IFERROR(__xludf.DUMMYFUNCTION("""COMPUTED_VALUE"""),787)</f>
        <v>787</v>
      </c>
    </row>
    <row r="857" spans="1:13">
      <c r="A857" s="2">
        <f ca="1">IFERROR(__xludf.DUMMYFUNCTION("""COMPUTED_VALUE"""),866)</f>
        <v>866</v>
      </c>
      <c r="B857" s="2" t="str">
        <f ca="1">IFERROR(__xludf.DUMMYFUNCTION("""COMPUTED_VALUE"""),"Dell")</f>
        <v>Dell</v>
      </c>
      <c r="C857" s="2" t="str">
        <f ca="1">IFERROR(__xludf.DUMMYFUNCTION("""COMPUTED_VALUE"""),"Latitude 5580")</f>
        <v>Latitude 5580</v>
      </c>
      <c r="D857" s="2" t="str">
        <f ca="1">IFERROR(__xludf.DUMMYFUNCTION("""COMPUTED_VALUE"""),"Notebook")</f>
        <v>Notebook</v>
      </c>
      <c r="E857" s="2">
        <f ca="1">IFERROR(__xludf.DUMMYFUNCTION("""COMPUTED_VALUE"""),15.6)</f>
        <v>15.6</v>
      </c>
      <c r="F857" s="2" t="str">
        <f ca="1">IFERROR(__xludf.DUMMYFUNCTION("""COMPUTED_VALUE"""),"Full HD 1920x1080")</f>
        <v>Full HD 1920x1080</v>
      </c>
      <c r="G857" s="2" t="str">
        <f ca="1">IFERROR(__xludf.DUMMYFUNCTION("""COMPUTED_VALUE"""),"Intel Core i5 7200U 2.5GHz")</f>
        <v>Intel Core i5 7200U 2.5GHz</v>
      </c>
      <c r="H857" s="2" t="str">
        <f ca="1">IFERROR(__xludf.DUMMYFUNCTION("""COMPUTED_VALUE"""),"8GB")</f>
        <v>8GB</v>
      </c>
      <c r="I857" s="2" t="str">
        <f ca="1">IFERROR(__xludf.DUMMYFUNCTION("""COMPUTED_VALUE"""),"128GB SSD")</f>
        <v>128GB SSD</v>
      </c>
      <c r="J857" s="2" t="str">
        <f ca="1">IFERROR(__xludf.DUMMYFUNCTION("""COMPUTED_VALUE"""),"Intel HD Graphics 620")</f>
        <v>Intel HD Graphics 620</v>
      </c>
      <c r="K857" s="2" t="str">
        <f ca="1">IFERROR(__xludf.DUMMYFUNCTION("""COMPUTED_VALUE"""),"Windows 10")</f>
        <v>Windows 10</v>
      </c>
      <c r="L857" s="2" t="str">
        <f ca="1">IFERROR(__xludf.DUMMYFUNCTION("""COMPUTED_VALUE"""),"1.9kg")</f>
        <v>1.9kg</v>
      </c>
      <c r="M857" s="2">
        <f ca="1">IFERROR(__xludf.DUMMYFUNCTION("""COMPUTED_VALUE"""),945)</f>
        <v>945</v>
      </c>
    </row>
    <row r="858" spans="1:13">
      <c r="A858" s="2">
        <f ca="1">IFERROR(__xludf.DUMMYFUNCTION("""COMPUTED_VALUE"""),867)</f>
        <v>867</v>
      </c>
      <c r="B858" s="2" t="str">
        <f ca="1">IFERROR(__xludf.DUMMYFUNCTION("""COMPUTED_VALUE"""),"Asus")</f>
        <v>Asus</v>
      </c>
      <c r="C858" s="2" t="str">
        <f ca="1">IFERROR(__xludf.DUMMYFUNCTION("""COMPUTED_VALUE"""),"X541NA (N4200/4GB/1TB/W10)")</f>
        <v>X541NA (N4200/4GB/1TB/W10)</v>
      </c>
      <c r="D858" s="2" t="str">
        <f ca="1">IFERROR(__xludf.DUMMYFUNCTION("""COMPUTED_VALUE"""),"Notebook")</f>
        <v>Notebook</v>
      </c>
      <c r="E858" s="2">
        <f ca="1">IFERROR(__xludf.DUMMYFUNCTION("""COMPUTED_VALUE"""),15.6)</f>
        <v>15.6</v>
      </c>
      <c r="F858" s="2" t="str">
        <f ca="1">IFERROR(__xludf.DUMMYFUNCTION("""COMPUTED_VALUE"""),"1366x768")</f>
        <v>1366x768</v>
      </c>
      <c r="G858" s="2" t="str">
        <f ca="1">IFERROR(__xludf.DUMMYFUNCTION("""COMPUTED_VALUE"""),"Intel Pentium Quad Core N4200 1.1GHz")</f>
        <v>Intel Pentium Quad Core N4200 1.1GHz</v>
      </c>
      <c r="H858" s="2" t="str">
        <f ca="1">IFERROR(__xludf.DUMMYFUNCTION("""COMPUTED_VALUE"""),"4GB")</f>
        <v>4GB</v>
      </c>
      <c r="I858" s="2" t="str">
        <f ca="1">IFERROR(__xludf.DUMMYFUNCTION("""COMPUTED_VALUE"""),"1TB HDD")</f>
        <v>1TB HDD</v>
      </c>
      <c r="J858" s="2" t="str">
        <f ca="1">IFERROR(__xludf.DUMMYFUNCTION("""COMPUTED_VALUE"""),"Intel HD Graphics 505")</f>
        <v>Intel HD Graphics 505</v>
      </c>
      <c r="K858" s="2" t="str">
        <f ca="1">IFERROR(__xludf.DUMMYFUNCTION("""COMPUTED_VALUE"""),"Windows 10")</f>
        <v>Windows 10</v>
      </c>
      <c r="L858" s="2" t="str">
        <f ca="1">IFERROR(__xludf.DUMMYFUNCTION("""COMPUTED_VALUE"""),"2kg")</f>
        <v>2kg</v>
      </c>
      <c r="M858" s="2">
        <f ca="1">IFERROR(__xludf.DUMMYFUNCTION("""COMPUTED_VALUE"""),449)</f>
        <v>449</v>
      </c>
    </row>
    <row r="859" spans="1:13">
      <c r="A859" s="2">
        <f ca="1">IFERROR(__xludf.DUMMYFUNCTION("""COMPUTED_VALUE"""),868)</f>
        <v>868</v>
      </c>
      <c r="B859" s="2" t="str">
        <f ca="1">IFERROR(__xludf.DUMMYFUNCTION("""COMPUTED_VALUE"""),"HP")</f>
        <v>HP</v>
      </c>
      <c r="C859" s="2" t="str">
        <f ca="1">IFERROR(__xludf.DUMMYFUNCTION("""COMPUTED_VALUE"""),"EliteBook x360")</f>
        <v>EliteBook x360</v>
      </c>
      <c r="D859" s="2" t="str">
        <f ca="1">IFERROR(__xludf.DUMMYFUNCTION("""COMPUTED_VALUE"""),"2 in 1 Convertible")</f>
        <v>2 in 1 Convertible</v>
      </c>
      <c r="E859" s="2">
        <f ca="1">IFERROR(__xludf.DUMMYFUNCTION("""COMPUTED_VALUE"""),13.3)</f>
        <v>13.3</v>
      </c>
      <c r="F859" s="2" t="str">
        <f ca="1">IFERROR(__xludf.DUMMYFUNCTION("""COMPUTED_VALUE"""),"Full HD / Touchscreen 1920x1080")</f>
        <v>Full HD / Touchscreen 1920x1080</v>
      </c>
      <c r="G859" s="2" t="str">
        <f ca="1">IFERROR(__xludf.DUMMYFUNCTION("""COMPUTED_VALUE"""),"Intel Core i7 7600U 2.8GHz")</f>
        <v>Intel Core i7 7600U 2.8GHz</v>
      </c>
      <c r="H859" s="2" t="str">
        <f ca="1">IFERROR(__xludf.DUMMYFUNCTION("""COMPUTED_VALUE"""),"8GB")</f>
        <v>8GB</v>
      </c>
      <c r="I859" s="2" t="str">
        <f ca="1">IFERROR(__xludf.DUMMYFUNCTION("""COMPUTED_VALUE"""),"256GB SSD")</f>
        <v>256GB SSD</v>
      </c>
      <c r="J859" s="2" t="str">
        <f ca="1">IFERROR(__xludf.DUMMYFUNCTION("""COMPUTED_VALUE"""),"Intel HD Graphics 620")</f>
        <v>Intel HD Graphics 620</v>
      </c>
      <c r="K859" s="2" t="str">
        <f ca="1">IFERROR(__xludf.DUMMYFUNCTION("""COMPUTED_VALUE"""),"Windows 10")</f>
        <v>Windows 10</v>
      </c>
      <c r="L859" s="2" t="str">
        <f ca="1">IFERROR(__xludf.DUMMYFUNCTION("""COMPUTED_VALUE"""),"1.28kg")</f>
        <v>1.28kg</v>
      </c>
      <c r="M859" s="2">
        <f ca="1">IFERROR(__xludf.DUMMYFUNCTION("""COMPUTED_VALUE"""),2559)</f>
        <v>2559</v>
      </c>
    </row>
    <row r="860" spans="1:13">
      <c r="A860" s="2">
        <f ca="1">IFERROR(__xludf.DUMMYFUNCTION("""COMPUTED_VALUE"""),869)</f>
        <v>869</v>
      </c>
      <c r="B860" s="2" t="str">
        <f ca="1">IFERROR(__xludf.DUMMYFUNCTION("""COMPUTED_VALUE"""),"Dell")</f>
        <v>Dell</v>
      </c>
      <c r="C860" s="2" t="str">
        <f ca="1">IFERROR(__xludf.DUMMYFUNCTION("""COMPUTED_VALUE"""),"Inspiron 5368")</f>
        <v>Inspiron 5368</v>
      </c>
      <c r="D860" s="2" t="str">
        <f ca="1">IFERROR(__xludf.DUMMYFUNCTION("""COMPUTED_VALUE"""),"Notebook")</f>
        <v>Notebook</v>
      </c>
      <c r="E860" s="2">
        <f ca="1">IFERROR(__xludf.DUMMYFUNCTION("""COMPUTED_VALUE"""),13.3)</f>
        <v>13.3</v>
      </c>
      <c r="F860" s="2" t="str">
        <f ca="1">IFERROR(__xludf.DUMMYFUNCTION("""COMPUTED_VALUE"""),"Full HD / Touchscreen 1920x1080")</f>
        <v>Full HD / Touchscreen 1920x1080</v>
      </c>
      <c r="G860" s="2" t="str">
        <f ca="1">IFERROR(__xludf.DUMMYFUNCTION("""COMPUTED_VALUE"""),"Intel Core i5 6200U 2.3GHz")</f>
        <v>Intel Core i5 6200U 2.3GHz</v>
      </c>
      <c r="H860" s="2" t="str">
        <f ca="1">IFERROR(__xludf.DUMMYFUNCTION("""COMPUTED_VALUE"""),"8GB")</f>
        <v>8GB</v>
      </c>
      <c r="I860" s="2" t="str">
        <f ca="1">IFERROR(__xludf.DUMMYFUNCTION("""COMPUTED_VALUE"""),"1TB HDD")</f>
        <v>1TB HDD</v>
      </c>
      <c r="J860" s="2" t="str">
        <f ca="1">IFERROR(__xludf.DUMMYFUNCTION("""COMPUTED_VALUE"""),"Intel HD Graphics 520")</f>
        <v>Intel HD Graphics 520</v>
      </c>
      <c r="K860" s="2" t="str">
        <f ca="1">IFERROR(__xludf.DUMMYFUNCTION("""COMPUTED_VALUE"""),"Windows 10")</f>
        <v>Windows 10</v>
      </c>
      <c r="L860" s="2" t="str">
        <f ca="1">IFERROR(__xludf.DUMMYFUNCTION("""COMPUTED_VALUE"""),"1.62kg")</f>
        <v>1.62kg</v>
      </c>
      <c r="M860" s="2">
        <f ca="1">IFERROR(__xludf.DUMMYFUNCTION("""COMPUTED_VALUE"""),649)</f>
        <v>649</v>
      </c>
    </row>
    <row r="861" spans="1:13">
      <c r="A861" s="2">
        <f ca="1">IFERROR(__xludf.DUMMYFUNCTION("""COMPUTED_VALUE"""),870)</f>
        <v>870</v>
      </c>
      <c r="B861" s="2" t="str">
        <f ca="1">IFERROR(__xludf.DUMMYFUNCTION("""COMPUTED_VALUE"""),"Lenovo")</f>
        <v>Lenovo</v>
      </c>
      <c r="C861" s="2" t="str">
        <f ca="1">IFERROR(__xludf.DUMMYFUNCTION("""COMPUTED_VALUE"""),"IdeaPad 110-15ISK")</f>
        <v>IdeaPad 110-15ISK</v>
      </c>
      <c r="D861" s="2" t="str">
        <f ca="1">IFERROR(__xludf.DUMMYFUNCTION("""COMPUTED_VALUE"""),"Notebook")</f>
        <v>Notebook</v>
      </c>
      <c r="E861" s="2">
        <f ca="1">IFERROR(__xludf.DUMMYFUNCTION("""COMPUTED_VALUE"""),15.6)</f>
        <v>15.6</v>
      </c>
      <c r="F861" s="2" t="str">
        <f ca="1">IFERROR(__xludf.DUMMYFUNCTION("""COMPUTED_VALUE"""),"Full HD 1920x1080")</f>
        <v>Full HD 1920x1080</v>
      </c>
      <c r="G861" s="2" t="str">
        <f ca="1">IFERROR(__xludf.DUMMYFUNCTION("""COMPUTED_VALUE"""),"Intel Core i3 6006U 2.0GHz")</f>
        <v>Intel Core i3 6006U 2.0GHz</v>
      </c>
      <c r="H861" s="2" t="str">
        <f ca="1">IFERROR(__xludf.DUMMYFUNCTION("""COMPUTED_VALUE"""),"4GB")</f>
        <v>4GB</v>
      </c>
      <c r="I861" s="2" t="str">
        <f ca="1">IFERROR(__xludf.DUMMYFUNCTION("""COMPUTED_VALUE"""),"1TB HDD")</f>
        <v>1TB HDD</v>
      </c>
      <c r="J861" s="2" t="str">
        <f ca="1">IFERROR(__xludf.DUMMYFUNCTION("""COMPUTED_VALUE"""),"Intel HD Graphics 520")</f>
        <v>Intel HD Graphics 520</v>
      </c>
      <c r="K861" s="2" t="str">
        <f ca="1">IFERROR(__xludf.DUMMYFUNCTION("""COMPUTED_VALUE"""),"No OS")</f>
        <v>No OS</v>
      </c>
      <c r="L861" s="2" t="str">
        <f ca="1">IFERROR(__xludf.DUMMYFUNCTION("""COMPUTED_VALUE"""),"2.2kg")</f>
        <v>2.2kg</v>
      </c>
      <c r="M861" s="2">
        <f ca="1">IFERROR(__xludf.DUMMYFUNCTION("""COMPUTED_VALUE"""),469)</f>
        <v>469</v>
      </c>
    </row>
    <row r="862" spans="1:13">
      <c r="A862" s="2">
        <f ca="1">IFERROR(__xludf.DUMMYFUNCTION("""COMPUTED_VALUE"""),871)</f>
        <v>871</v>
      </c>
      <c r="B862" s="2" t="str">
        <f ca="1">IFERROR(__xludf.DUMMYFUNCTION("""COMPUTED_VALUE"""),"Lenovo")</f>
        <v>Lenovo</v>
      </c>
      <c r="C862" s="2" t="str">
        <f ca="1">IFERROR(__xludf.DUMMYFUNCTION("""COMPUTED_VALUE"""),"ThinkPad E570")</f>
        <v>ThinkPad E570</v>
      </c>
      <c r="D862" s="2" t="str">
        <f ca="1">IFERROR(__xludf.DUMMYFUNCTION("""COMPUTED_VALUE"""),"Notebook")</f>
        <v>Notebook</v>
      </c>
      <c r="E862" s="2">
        <f ca="1">IFERROR(__xludf.DUMMYFUNCTION("""COMPUTED_VALUE"""),15.6)</f>
        <v>15.6</v>
      </c>
      <c r="F862" s="2" t="str">
        <f ca="1">IFERROR(__xludf.DUMMYFUNCTION("""COMPUTED_VALUE"""),"IPS Panel Full HD 1920x1080")</f>
        <v>IPS Panel Full HD 1920x1080</v>
      </c>
      <c r="G862" s="2" t="str">
        <f ca="1">IFERROR(__xludf.DUMMYFUNCTION("""COMPUTED_VALUE"""),"Intel Core i5 7200U 2.5GHz")</f>
        <v>Intel Core i5 7200U 2.5GHz</v>
      </c>
      <c r="H862" s="2" t="str">
        <f ca="1">IFERROR(__xludf.DUMMYFUNCTION("""COMPUTED_VALUE"""),"8GB")</f>
        <v>8GB</v>
      </c>
      <c r="I862" s="2" t="str">
        <f ca="1">IFERROR(__xludf.DUMMYFUNCTION("""COMPUTED_VALUE"""),"1TB HDD")</f>
        <v>1TB HDD</v>
      </c>
      <c r="J862" s="2" t="str">
        <f ca="1">IFERROR(__xludf.DUMMYFUNCTION("""COMPUTED_VALUE"""),"Intel HD Graphics 620")</f>
        <v>Intel HD Graphics 620</v>
      </c>
      <c r="K862" s="2" t="str">
        <f ca="1">IFERROR(__xludf.DUMMYFUNCTION("""COMPUTED_VALUE"""),"Windows 10")</f>
        <v>Windows 10</v>
      </c>
      <c r="L862" s="2" t="str">
        <f ca="1">IFERROR(__xludf.DUMMYFUNCTION("""COMPUTED_VALUE"""),"2.3kg")</f>
        <v>2.3kg</v>
      </c>
      <c r="M862" s="2">
        <f ca="1">IFERROR(__xludf.DUMMYFUNCTION("""COMPUTED_VALUE"""),850.66)</f>
        <v>850.66</v>
      </c>
    </row>
    <row r="863" spans="1:13">
      <c r="A863" s="2">
        <f ca="1">IFERROR(__xludf.DUMMYFUNCTION("""COMPUTED_VALUE"""),872)</f>
        <v>872</v>
      </c>
      <c r="B863" s="2" t="str">
        <f ca="1">IFERROR(__xludf.DUMMYFUNCTION("""COMPUTED_VALUE"""),"HP")</f>
        <v>HP</v>
      </c>
      <c r="C863" s="2" t="str">
        <f ca="1">IFERROR(__xludf.DUMMYFUNCTION("""COMPUTED_VALUE"""),"EliteBook 850")</f>
        <v>EliteBook 850</v>
      </c>
      <c r="D863" s="2" t="str">
        <f ca="1">IFERROR(__xludf.DUMMYFUNCTION("""COMPUTED_VALUE"""),"Notebook")</f>
        <v>Notebook</v>
      </c>
      <c r="E863" s="2">
        <f ca="1">IFERROR(__xludf.DUMMYFUNCTION("""COMPUTED_VALUE"""),15.6)</f>
        <v>15.6</v>
      </c>
      <c r="F863" s="2" t="str">
        <f ca="1">IFERROR(__xludf.DUMMYFUNCTION("""COMPUTED_VALUE"""),"Full HD 1920x1080")</f>
        <v>Full HD 1920x1080</v>
      </c>
      <c r="G863" s="2" t="str">
        <f ca="1">IFERROR(__xludf.DUMMYFUNCTION("""COMPUTED_VALUE"""),"Intel Core i5 7300U 2.6GHz")</f>
        <v>Intel Core i5 7300U 2.6GHz</v>
      </c>
      <c r="H863" s="2" t="str">
        <f ca="1">IFERROR(__xludf.DUMMYFUNCTION("""COMPUTED_VALUE"""),"8GB")</f>
        <v>8GB</v>
      </c>
      <c r="I863" s="2" t="str">
        <f ca="1">IFERROR(__xludf.DUMMYFUNCTION("""COMPUTED_VALUE"""),"256GB SSD")</f>
        <v>256GB SSD</v>
      </c>
      <c r="J863" s="2" t="str">
        <f ca="1">IFERROR(__xludf.DUMMYFUNCTION("""COMPUTED_VALUE"""),"AMD Radeon R7 M465")</f>
        <v>AMD Radeon R7 M465</v>
      </c>
      <c r="K863" s="2" t="str">
        <f ca="1">IFERROR(__xludf.DUMMYFUNCTION("""COMPUTED_VALUE"""),"Windows 10")</f>
        <v>Windows 10</v>
      </c>
      <c r="L863" s="2" t="str">
        <f ca="1">IFERROR(__xludf.DUMMYFUNCTION("""COMPUTED_VALUE"""),"1.84kg")</f>
        <v>1.84kg</v>
      </c>
      <c r="M863" s="2">
        <f ca="1">IFERROR(__xludf.DUMMYFUNCTION("""COMPUTED_VALUE"""),1349)</f>
        <v>1349</v>
      </c>
    </row>
    <row r="864" spans="1:13">
      <c r="A864" s="2">
        <f ca="1">IFERROR(__xludf.DUMMYFUNCTION("""COMPUTED_VALUE"""),873)</f>
        <v>873</v>
      </c>
      <c r="B864" s="2" t="str">
        <f ca="1">IFERROR(__xludf.DUMMYFUNCTION("""COMPUTED_VALUE"""),"Toshiba")</f>
        <v>Toshiba</v>
      </c>
      <c r="C864" s="2" t="str">
        <f ca="1">IFERROR(__xludf.DUMMYFUNCTION("""COMPUTED_VALUE"""),"Portege X30-D-10X")</f>
        <v>Portege X30-D-10X</v>
      </c>
      <c r="D864" s="2" t="str">
        <f ca="1">IFERROR(__xludf.DUMMYFUNCTION("""COMPUTED_VALUE"""),"Notebook")</f>
        <v>Notebook</v>
      </c>
      <c r="E864" s="2">
        <f ca="1">IFERROR(__xludf.DUMMYFUNCTION("""COMPUTED_VALUE"""),13.3)</f>
        <v>13.3</v>
      </c>
      <c r="F864" s="2" t="str">
        <f ca="1">IFERROR(__xludf.DUMMYFUNCTION("""COMPUTED_VALUE"""),"Full HD 1920x1080")</f>
        <v>Full HD 1920x1080</v>
      </c>
      <c r="G864" s="2" t="str">
        <f ca="1">IFERROR(__xludf.DUMMYFUNCTION("""COMPUTED_VALUE"""),"Intel Core i5 7200U 2.5GHz")</f>
        <v>Intel Core i5 7200U 2.5GHz</v>
      </c>
      <c r="H864" s="2" t="str">
        <f ca="1">IFERROR(__xludf.DUMMYFUNCTION("""COMPUTED_VALUE"""),"4GB")</f>
        <v>4GB</v>
      </c>
      <c r="I864" s="2" t="str">
        <f ca="1">IFERROR(__xludf.DUMMYFUNCTION("""COMPUTED_VALUE"""),"128GB SSD")</f>
        <v>128GB SSD</v>
      </c>
      <c r="J864" s="2" t="str">
        <f ca="1">IFERROR(__xludf.DUMMYFUNCTION("""COMPUTED_VALUE"""),"Intel HD Graphics 620")</f>
        <v>Intel HD Graphics 620</v>
      </c>
      <c r="K864" s="2" t="str">
        <f ca="1">IFERROR(__xludf.DUMMYFUNCTION("""COMPUTED_VALUE"""),"Windows 10")</f>
        <v>Windows 10</v>
      </c>
      <c r="L864" s="2" t="str">
        <f ca="1">IFERROR(__xludf.DUMMYFUNCTION("""COMPUTED_VALUE"""),"1.05kg")</f>
        <v>1.05kg</v>
      </c>
      <c r="M864" s="2">
        <f ca="1">IFERROR(__xludf.DUMMYFUNCTION("""COMPUTED_VALUE"""),1285)</f>
        <v>1285</v>
      </c>
    </row>
    <row r="865" spans="1:13">
      <c r="A865" s="2">
        <f ca="1">IFERROR(__xludf.DUMMYFUNCTION("""COMPUTED_VALUE"""),874)</f>
        <v>874</v>
      </c>
      <c r="B865" s="2" t="str">
        <f ca="1">IFERROR(__xludf.DUMMYFUNCTION("""COMPUTED_VALUE"""),"Lenovo")</f>
        <v>Lenovo</v>
      </c>
      <c r="C865" s="2" t="str">
        <f ca="1">IFERROR(__xludf.DUMMYFUNCTION("""COMPUTED_VALUE"""),"Legion Y520-15IKBN")</f>
        <v>Legion Y520-15IKBN</v>
      </c>
      <c r="D865" s="2" t="str">
        <f ca="1">IFERROR(__xludf.DUMMYFUNCTION("""COMPUTED_VALUE"""),"Gaming")</f>
        <v>Gaming</v>
      </c>
      <c r="E865" s="2">
        <f ca="1">IFERROR(__xludf.DUMMYFUNCTION("""COMPUTED_VALUE"""),15.6)</f>
        <v>15.6</v>
      </c>
      <c r="F865" s="2" t="str">
        <f ca="1">IFERROR(__xludf.DUMMYFUNCTION("""COMPUTED_VALUE"""),"IPS Panel Full HD 1920x1080")</f>
        <v>IPS Panel Full HD 1920x1080</v>
      </c>
      <c r="G865" s="2" t="str">
        <f ca="1">IFERROR(__xludf.DUMMYFUNCTION("""COMPUTED_VALUE"""),"Intel Core i5 7300HQ 2.5GHz")</f>
        <v>Intel Core i5 7300HQ 2.5GHz</v>
      </c>
      <c r="H865" s="2" t="str">
        <f ca="1">IFERROR(__xludf.DUMMYFUNCTION("""COMPUTED_VALUE"""),"8GB")</f>
        <v>8GB</v>
      </c>
      <c r="I865" s="2" t="str">
        <f ca="1">IFERROR(__xludf.DUMMYFUNCTION("""COMPUTED_VALUE"""),"1TB HDD")</f>
        <v>1TB HDD</v>
      </c>
      <c r="J865" s="2" t="str">
        <f ca="1">IFERROR(__xludf.DUMMYFUNCTION("""COMPUTED_VALUE"""),"Nvidia GeForce GTX 1050")</f>
        <v>Nvidia GeForce GTX 1050</v>
      </c>
      <c r="K865" s="2" t="str">
        <f ca="1">IFERROR(__xludf.DUMMYFUNCTION("""COMPUTED_VALUE"""),"No OS")</f>
        <v>No OS</v>
      </c>
      <c r="L865" s="2" t="str">
        <f ca="1">IFERROR(__xludf.DUMMYFUNCTION("""COMPUTED_VALUE"""),"2.5kg")</f>
        <v>2.5kg</v>
      </c>
      <c r="M865" s="2">
        <f ca="1">IFERROR(__xludf.DUMMYFUNCTION("""COMPUTED_VALUE"""),1017)</f>
        <v>1017</v>
      </c>
    </row>
    <row r="866" spans="1:13">
      <c r="A866" s="2">
        <f ca="1">IFERROR(__xludf.DUMMYFUNCTION("""COMPUTED_VALUE"""),875)</f>
        <v>875</v>
      </c>
      <c r="B866" s="2" t="str">
        <f ca="1">IFERROR(__xludf.DUMMYFUNCTION("""COMPUTED_VALUE"""),"Dell")</f>
        <v>Dell</v>
      </c>
      <c r="C866" s="2" t="str">
        <f ca="1">IFERROR(__xludf.DUMMYFUNCTION("""COMPUTED_VALUE"""),"XPS 13")</f>
        <v>XPS 13</v>
      </c>
      <c r="D866" s="2" t="str">
        <f ca="1">IFERROR(__xludf.DUMMYFUNCTION("""COMPUTED_VALUE"""),"Ultrabook")</f>
        <v>Ultrabook</v>
      </c>
      <c r="E866" s="2">
        <f ca="1">IFERROR(__xludf.DUMMYFUNCTION("""COMPUTED_VALUE"""),13.3)</f>
        <v>13.3</v>
      </c>
      <c r="F866" s="2" t="str">
        <f ca="1">IFERROR(__xludf.DUMMYFUNCTION("""COMPUTED_VALUE"""),"Quad HD+ / Touchscreen 3200x1800")</f>
        <v>Quad HD+ / Touchscreen 3200x1800</v>
      </c>
      <c r="G866" s="2" t="str">
        <f ca="1">IFERROR(__xludf.DUMMYFUNCTION("""COMPUTED_VALUE"""),"Intel Core i7 7660U 2.5GHz")</f>
        <v>Intel Core i7 7660U 2.5GHz</v>
      </c>
      <c r="H866" s="2" t="str">
        <f ca="1">IFERROR(__xludf.DUMMYFUNCTION("""COMPUTED_VALUE"""),"16GB")</f>
        <v>16GB</v>
      </c>
      <c r="I866" s="2" t="str">
        <f ca="1">IFERROR(__xludf.DUMMYFUNCTION("""COMPUTED_VALUE"""),"512GB SSD")</f>
        <v>512GB SSD</v>
      </c>
      <c r="J866" s="2" t="str">
        <f ca="1">IFERROR(__xludf.DUMMYFUNCTION("""COMPUTED_VALUE"""),"Intel Iris Plus Graphics 640")</f>
        <v>Intel Iris Plus Graphics 640</v>
      </c>
      <c r="K866" s="2" t="str">
        <f ca="1">IFERROR(__xludf.DUMMYFUNCTION("""COMPUTED_VALUE"""),"Windows 10")</f>
        <v>Windows 10</v>
      </c>
      <c r="L866" s="2" t="str">
        <f ca="1">IFERROR(__xludf.DUMMYFUNCTION("""COMPUTED_VALUE"""),"1.29kg")</f>
        <v>1.29kg</v>
      </c>
      <c r="M866" s="2">
        <f ca="1">IFERROR(__xludf.DUMMYFUNCTION("""COMPUTED_VALUE"""),2240)</f>
        <v>2240</v>
      </c>
    </row>
    <row r="867" spans="1:13">
      <c r="A867" s="2">
        <f ca="1">IFERROR(__xludf.DUMMYFUNCTION("""COMPUTED_VALUE"""),876)</f>
        <v>876</v>
      </c>
      <c r="B867" s="2" t="str">
        <f ca="1">IFERROR(__xludf.DUMMYFUNCTION("""COMPUTED_VALUE"""),"HP")</f>
        <v>HP</v>
      </c>
      <c r="C867" s="2" t="str">
        <f ca="1">IFERROR(__xludf.DUMMYFUNCTION("""COMPUTED_VALUE"""),"Probook 450")</f>
        <v>Probook 450</v>
      </c>
      <c r="D867" s="2" t="str">
        <f ca="1">IFERROR(__xludf.DUMMYFUNCTION("""COMPUTED_VALUE"""),"Notebook")</f>
        <v>Notebook</v>
      </c>
      <c r="E867" s="2">
        <f ca="1">IFERROR(__xludf.DUMMYFUNCTION("""COMPUTED_VALUE"""),15.6)</f>
        <v>15.6</v>
      </c>
      <c r="F867" s="2" t="str">
        <f ca="1">IFERROR(__xludf.DUMMYFUNCTION("""COMPUTED_VALUE"""),"Full HD 1920x1080")</f>
        <v>Full HD 1920x1080</v>
      </c>
      <c r="G867" s="2" t="str">
        <f ca="1">IFERROR(__xludf.DUMMYFUNCTION("""COMPUTED_VALUE"""),"Intel Core i5 6200U 2.3GHz")</f>
        <v>Intel Core i5 6200U 2.3GHz</v>
      </c>
      <c r="H867" s="2" t="str">
        <f ca="1">IFERROR(__xludf.DUMMYFUNCTION("""COMPUTED_VALUE"""),"4GB")</f>
        <v>4GB</v>
      </c>
      <c r="I867" s="2" t="str">
        <f ca="1">IFERROR(__xludf.DUMMYFUNCTION("""COMPUTED_VALUE"""),"500GB HDD")</f>
        <v>500GB HDD</v>
      </c>
      <c r="J867" s="2" t="str">
        <f ca="1">IFERROR(__xludf.DUMMYFUNCTION("""COMPUTED_VALUE"""),"Intel HD Graphics 520")</f>
        <v>Intel HD Graphics 520</v>
      </c>
      <c r="K867" s="2" t="str">
        <f ca="1">IFERROR(__xludf.DUMMYFUNCTION("""COMPUTED_VALUE"""),"Windows 10")</f>
        <v>Windows 10</v>
      </c>
      <c r="L867" s="2" t="str">
        <f ca="1">IFERROR(__xludf.DUMMYFUNCTION("""COMPUTED_VALUE"""),"2.07kg")</f>
        <v>2.07kg</v>
      </c>
      <c r="M867" s="2">
        <f ca="1">IFERROR(__xludf.DUMMYFUNCTION("""COMPUTED_VALUE"""),910)</f>
        <v>910</v>
      </c>
    </row>
    <row r="868" spans="1:13">
      <c r="A868" s="2">
        <f ca="1">IFERROR(__xludf.DUMMYFUNCTION("""COMPUTED_VALUE"""),877)</f>
        <v>877</v>
      </c>
      <c r="B868" s="2" t="str">
        <f ca="1">IFERROR(__xludf.DUMMYFUNCTION("""COMPUTED_VALUE"""),"Toshiba")</f>
        <v>Toshiba</v>
      </c>
      <c r="C868" s="2" t="str">
        <f ca="1">IFERROR(__xludf.DUMMYFUNCTION("""COMPUTED_VALUE"""),"Portégé Z30-C-188")</f>
        <v>Portégé Z30-C-188</v>
      </c>
      <c r="D868" s="2" t="str">
        <f ca="1">IFERROR(__xludf.DUMMYFUNCTION("""COMPUTED_VALUE"""),"Ultrabook")</f>
        <v>Ultrabook</v>
      </c>
      <c r="E868" s="2">
        <f ca="1">IFERROR(__xludf.DUMMYFUNCTION("""COMPUTED_VALUE"""),13.3)</f>
        <v>13.3</v>
      </c>
      <c r="F868" s="2" t="str">
        <f ca="1">IFERROR(__xludf.DUMMYFUNCTION("""COMPUTED_VALUE"""),"1366x768")</f>
        <v>1366x768</v>
      </c>
      <c r="G868" s="2" t="str">
        <f ca="1">IFERROR(__xludf.DUMMYFUNCTION("""COMPUTED_VALUE"""),"Intel Core i5 6200U 2.3GHz")</f>
        <v>Intel Core i5 6200U 2.3GHz</v>
      </c>
      <c r="H868" s="2" t="str">
        <f ca="1">IFERROR(__xludf.DUMMYFUNCTION("""COMPUTED_VALUE"""),"8GB")</f>
        <v>8GB</v>
      </c>
      <c r="I868" s="2" t="str">
        <f ca="1">IFERROR(__xludf.DUMMYFUNCTION("""COMPUTED_VALUE"""),"256GB SSD")</f>
        <v>256GB SSD</v>
      </c>
      <c r="J868" s="2" t="str">
        <f ca="1">IFERROR(__xludf.DUMMYFUNCTION("""COMPUTED_VALUE"""),"Intel HD Graphics 520")</f>
        <v>Intel HD Graphics 520</v>
      </c>
      <c r="K868" s="2" t="str">
        <f ca="1">IFERROR(__xludf.DUMMYFUNCTION("""COMPUTED_VALUE"""),"Windows 10")</f>
        <v>Windows 10</v>
      </c>
      <c r="L868" s="2" t="str">
        <f ca="1">IFERROR(__xludf.DUMMYFUNCTION("""COMPUTED_VALUE"""),"1.2kg")</f>
        <v>1.2kg</v>
      </c>
      <c r="M868" s="2">
        <f ca="1">IFERROR(__xludf.DUMMYFUNCTION("""COMPUTED_VALUE"""),1095)</f>
        <v>1095</v>
      </c>
    </row>
    <row r="869" spans="1:13">
      <c r="A869" s="2">
        <f ca="1">IFERROR(__xludf.DUMMYFUNCTION("""COMPUTED_VALUE"""),878)</f>
        <v>878</v>
      </c>
      <c r="B869" s="2" t="str">
        <f ca="1">IFERROR(__xludf.DUMMYFUNCTION("""COMPUTED_VALUE"""),"Lenovo")</f>
        <v>Lenovo</v>
      </c>
      <c r="C869" s="2" t="str">
        <f ca="1">IFERROR(__xludf.DUMMYFUNCTION("""COMPUTED_VALUE"""),"ThinkPad Yoga")</f>
        <v>ThinkPad Yoga</v>
      </c>
      <c r="D869" s="2" t="str">
        <f ca="1">IFERROR(__xludf.DUMMYFUNCTION("""COMPUTED_VALUE"""),"2 in 1 Convertible")</f>
        <v>2 in 1 Convertible</v>
      </c>
      <c r="E869" s="2">
        <f ca="1">IFERROR(__xludf.DUMMYFUNCTION("""COMPUTED_VALUE"""),13.3)</f>
        <v>13.3</v>
      </c>
      <c r="F869" s="2" t="str">
        <f ca="1">IFERROR(__xludf.DUMMYFUNCTION("""COMPUTED_VALUE"""),"IPS Panel Full HD / Touchscreen 1920x1080")</f>
        <v>IPS Panel Full HD / Touchscreen 1920x1080</v>
      </c>
      <c r="G869" s="2" t="str">
        <f ca="1">IFERROR(__xludf.DUMMYFUNCTION("""COMPUTED_VALUE"""),"Intel Core i7 7500U 2.7GHz")</f>
        <v>Intel Core i7 7500U 2.7GHz</v>
      </c>
      <c r="H869" s="2" t="str">
        <f ca="1">IFERROR(__xludf.DUMMYFUNCTION("""COMPUTED_VALUE"""),"8GB")</f>
        <v>8GB</v>
      </c>
      <c r="I869" s="2" t="str">
        <f ca="1">IFERROR(__xludf.DUMMYFUNCTION("""COMPUTED_VALUE"""),"256GB SSD")</f>
        <v>256GB SSD</v>
      </c>
      <c r="J869" s="2" t="str">
        <f ca="1">IFERROR(__xludf.DUMMYFUNCTION("""COMPUTED_VALUE"""),"Intel HD Graphics 620")</f>
        <v>Intel HD Graphics 620</v>
      </c>
      <c r="K869" s="2" t="str">
        <f ca="1">IFERROR(__xludf.DUMMYFUNCTION("""COMPUTED_VALUE"""),"Windows 10")</f>
        <v>Windows 10</v>
      </c>
      <c r="L869" s="2" t="str">
        <f ca="1">IFERROR(__xludf.DUMMYFUNCTION("""COMPUTED_VALUE"""),"1.37kg")</f>
        <v>1.37kg</v>
      </c>
      <c r="M869" s="2">
        <f ca="1">IFERROR(__xludf.DUMMYFUNCTION("""COMPUTED_VALUE"""),1950)</f>
        <v>1950</v>
      </c>
    </row>
    <row r="870" spans="1:13">
      <c r="A870" s="2">
        <f ca="1">IFERROR(__xludf.DUMMYFUNCTION("""COMPUTED_VALUE"""),879)</f>
        <v>879</v>
      </c>
      <c r="B870" s="2" t="str">
        <f ca="1">IFERROR(__xludf.DUMMYFUNCTION("""COMPUTED_VALUE"""),"Acer")</f>
        <v>Acer</v>
      </c>
      <c r="C870" s="2" t="str">
        <f ca="1">IFERROR(__xludf.DUMMYFUNCTION("""COMPUTED_VALUE"""),"TMX349-G2-M-50FS (i5-7200U/8GB/256GB/FHD/W10)")</f>
        <v>TMX349-G2-M-50FS (i5-7200U/8GB/256GB/FHD/W10)</v>
      </c>
      <c r="D870" s="2" t="str">
        <f ca="1">IFERROR(__xludf.DUMMYFUNCTION("""COMPUTED_VALUE"""),"Notebook")</f>
        <v>Notebook</v>
      </c>
      <c r="E870" s="2">
        <f ca="1">IFERROR(__xludf.DUMMYFUNCTION("""COMPUTED_VALUE"""),14)</f>
        <v>14</v>
      </c>
      <c r="F870" s="2" t="str">
        <f ca="1">IFERROR(__xludf.DUMMYFUNCTION("""COMPUTED_VALUE"""),"IPS Panel Full HD 1920x1080")</f>
        <v>IPS Panel Full HD 1920x1080</v>
      </c>
      <c r="G870" s="2" t="str">
        <f ca="1">IFERROR(__xludf.DUMMYFUNCTION("""COMPUTED_VALUE"""),"Intel Core i5 7200U 2.5GHz")</f>
        <v>Intel Core i5 7200U 2.5GHz</v>
      </c>
      <c r="H870" s="2" t="str">
        <f ca="1">IFERROR(__xludf.DUMMYFUNCTION("""COMPUTED_VALUE"""),"8GB")</f>
        <v>8GB</v>
      </c>
      <c r="I870" s="2" t="str">
        <f ca="1">IFERROR(__xludf.DUMMYFUNCTION("""COMPUTED_VALUE"""),"256GB SSD")</f>
        <v>256GB SSD</v>
      </c>
      <c r="J870" s="2" t="str">
        <f ca="1">IFERROR(__xludf.DUMMYFUNCTION("""COMPUTED_VALUE"""),"Intel HD Graphics 620")</f>
        <v>Intel HD Graphics 620</v>
      </c>
      <c r="K870" s="2" t="str">
        <f ca="1">IFERROR(__xludf.DUMMYFUNCTION("""COMPUTED_VALUE"""),"Windows 10")</f>
        <v>Windows 10</v>
      </c>
      <c r="L870" s="2" t="str">
        <f ca="1">IFERROR(__xludf.DUMMYFUNCTION("""COMPUTED_VALUE"""),"1.56kg")</f>
        <v>1.56kg</v>
      </c>
      <c r="M870" s="2">
        <f ca="1">IFERROR(__xludf.DUMMYFUNCTION("""COMPUTED_VALUE"""),902)</f>
        <v>902</v>
      </c>
    </row>
    <row r="871" spans="1:13">
      <c r="A871" s="2">
        <f ca="1">IFERROR(__xludf.DUMMYFUNCTION("""COMPUTED_VALUE"""),880)</f>
        <v>880</v>
      </c>
      <c r="B871" s="2" t="str">
        <f ca="1">IFERROR(__xludf.DUMMYFUNCTION("""COMPUTED_VALUE"""),"Dell")</f>
        <v>Dell</v>
      </c>
      <c r="C871" s="2" t="str">
        <f ca="1">IFERROR(__xludf.DUMMYFUNCTION("""COMPUTED_VALUE"""),"Precision 3520")</f>
        <v>Precision 3520</v>
      </c>
      <c r="D871" s="2" t="str">
        <f ca="1">IFERROR(__xludf.DUMMYFUNCTION("""COMPUTED_VALUE"""),"Workstation")</f>
        <v>Workstation</v>
      </c>
      <c r="E871" s="2">
        <f ca="1">IFERROR(__xludf.DUMMYFUNCTION("""COMPUTED_VALUE"""),15.6)</f>
        <v>15.6</v>
      </c>
      <c r="F871" s="2" t="str">
        <f ca="1">IFERROR(__xludf.DUMMYFUNCTION("""COMPUTED_VALUE"""),"Full HD 1920x1080")</f>
        <v>Full HD 1920x1080</v>
      </c>
      <c r="G871" s="2" t="str">
        <f ca="1">IFERROR(__xludf.DUMMYFUNCTION("""COMPUTED_VALUE"""),"Intel Core i7 7700HQ 2.8GHz")</f>
        <v>Intel Core i7 7700HQ 2.8GHz</v>
      </c>
      <c r="H871" s="2" t="str">
        <f ca="1">IFERROR(__xludf.DUMMYFUNCTION("""COMPUTED_VALUE"""),"8GB")</f>
        <v>8GB</v>
      </c>
      <c r="I871" s="2" t="str">
        <f ca="1">IFERROR(__xludf.DUMMYFUNCTION("""COMPUTED_VALUE"""),"1TB HDD")</f>
        <v>1TB HDD</v>
      </c>
      <c r="J871" s="2" t="str">
        <f ca="1">IFERROR(__xludf.DUMMYFUNCTION("""COMPUTED_VALUE"""),"Nvidia Quadro M620")</f>
        <v>Nvidia Quadro M620</v>
      </c>
      <c r="K871" s="2" t="str">
        <f ca="1">IFERROR(__xludf.DUMMYFUNCTION("""COMPUTED_VALUE"""),"Windows 10")</f>
        <v>Windows 10</v>
      </c>
      <c r="L871" s="2" t="str">
        <f ca="1">IFERROR(__xludf.DUMMYFUNCTION("""COMPUTED_VALUE"""),"2.23kg")</f>
        <v>2.23kg</v>
      </c>
      <c r="M871" s="2">
        <f ca="1">IFERROR(__xludf.DUMMYFUNCTION("""COMPUTED_VALUE"""),1778)</f>
        <v>1778</v>
      </c>
    </row>
    <row r="872" spans="1:13">
      <c r="A872" s="2">
        <f ca="1">IFERROR(__xludf.DUMMYFUNCTION("""COMPUTED_VALUE"""),881)</f>
        <v>881</v>
      </c>
      <c r="B872" s="2" t="str">
        <f ca="1">IFERROR(__xludf.DUMMYFUNCTION("""COMPUTED_VALUE"""),"Lenovo")</f>
        <v>Lenovo</v>
      </c>
      <c r="C872" s="2" t="str">
        <f ca="1">IFERROR(__xludf.DUMMYFUNCTION("""COMPUTED_VALUE"""),"ThinkPad L570")</f>
        <v>ThinkPad L570</v>
      </c>
      <c r="D872" s="2" t="str">
        <f ca="1">IFERROR(__xludf.DUMMYFUNCTION("""COMPUTED_VALUE"""),"Notebook")</f>
        <v>Notebook</v>
      </c>
      <c r="E872" s="2">
        <f ca="1">IFERROR(__xludf.DUMMYFUNCTION("""COMPUTED_VALUE"""),15.6)</f>
        <v>15.6</v>
      </c>
      <c r="F872" s="2" t="str">
        <f ca="1">IFERROR(__xludf.DUMMYFUNCTION("""COMPUTED_VALUE"""),"1366x768")</f>
        <v>1366x768</v>
      </c>
      <c r="G872" s="2" t="str">
        <f ca="1">IFERROR(__xludf.DUMMYFUNCTION("""COMPUTED_VALUE"""),"Intel Core i5 7200U 2.5GHz")</f>
        <v>Intel Core i5 7200U 2.5GHz</v>
      </c>
      <c r="H872" s="2" t="str">
        <f ca="1">IFERROR(__xludf.DUMMYFUNCTION("""COMPUTED_VALUE"""),"4GB")</f>
        <v>4GB</v>
      </c>
      <c r="I872" s="2" t="str">
        <f ca="1">IFERROR(__xludf.DUMMYFUNCTION("""COMPUTED_VALUE"""),"500GB HDD")</f>
        <v>500GB HDD</v>
      </c>
      <c r="J872" s="2" t="str">
        <f ca="1">IFERROR(__xludf.DUMMYFUNCTION("""COMPUTED_VALUE"""),"Intel HD Graphics 620")</f>
        <v>Intel HD Graphics 620</v>
      </c>
      <c r="K872" s="2" t="str">
        <f ca="1">IFERROR(__xludf.DUMMYFUNCTION("""COMPUTED_VALUE"""),"Windows 10")</f>
        <v>Windows 10</v>
      </c>
      <c r="L872" s="2" t="str">
        <f ca="1">IFERROR(__xludf.DUMMYFUNCTION("""COMPUTED_VALUE"""),"2.38kg")</f>
        <v>2.38kg</v>
      </c>
      <c r="M872" s="2">
        <f ca="1">IFERROR(__xludf.DUMMYFUNCTION("""COMPUTED_VALUE"""),1055)</f>
        <v>1055</v>
      </c>
    </row>
    <row r="873" spans="1:13">
      <c r="A873" s="2">
        <f ca="1">IFERROR(__xludf.DUMMYFUNCTION("""COMPUTED_VALUE"""),882)</f>
        <v>882</v>
      </c>
      <c r="B873" s="2" t="str">
        <f ca="1">IFERROR(__xludf.DUMMYFUNCTION("""COMPUTED_VALUE"""),"Lenovo")</f>
        <v>Lenovo</v>
      </c>
      <c r="C873" s="2" t="str">
        <f ca="1">IFERROR(__xludf.DUMMYFUNCTION("""COMPUTED_VALUE"""),"IdeaPad 110-15ISK")</f>
        <v>IdeaPad 110-15ISK</v>
      </c>
      <c r="D873" s="2" t="str">
        <f ca="1">IFERROR(__xludf.DUMMYFUNCTION("""COMPUTED_VALUE"""),"Notebook")</f>
        <v>Notebook</v>
      </c>
      <c r="E873" s="2">
        <f ca="1">IFERROR(__xludf.DUMMYFUNCTION("""COMPUTED_VALUE"""),15.6)</f>
        <v>15.6</v>
      </c>
      <c r="F873" s="2" t="str">
        <f ca="1">IFERROR(__xludf.DUMMYFUNCTION("""COMPUTED_VALUE"""),"Full HD 1920x1080")</f>
        <v>Full HD 1920x1080</v>
      </c>
      <c r="G873" s="2" t="str">
        <f ca="1">IFERROR(__xludf.DUMMYFUNCTION("""COMPUTED_VALUE"""),"Intel Core i3 6006U 2GHz")</f>
        <v>Intel Core i3 6006U 2GHz</v>
      </c>
      <c r="H873" s="2" t="str">
        <f ca="1">IFERROR(__xludf.DUMMYFUNCTION("""COMPUTED_VALUE"""),"4GB")</f>
        <v>4GB</v>
      </c>
      <c r="I873" s="2" t="str">
        <f ca="1">IFERROR(__xludf.DUMMYFUNCTION("""COMPUTED_VALUE"""),"1TB HDD")</f>
        <v>1TB HDD</v>
      </c>
      <c r="J873" s="2" t="str">
        <f ca="1">IFERROR(__xludf.DUMMYFUNCTION("""COMPUTED_VALUE"""),"AMD Radeon R5 M430")</f>
        <v>AMD Radeon R5 M430</v>
      </c>
      <c r="K873" s="2" t="str">
        <f ca="1">IFERROR(__xludf.DUMMYFUNCTION("""COMPUTED_VALUE"""),"No OS")</f>
        <v>No OS</v>
      </c>
      <c r="L873" s="2" t="str">
        <f ca="1">IFERROR(__xludf.DUMMYFUNCTION("""COMPUTED_VALUE"""),"2.2kg")</f>
        <v>2.2kg</v>
      </c>
      <c r="M873" s="2">
        <f ca="1">IFERROR(__xludf.DUMMYFUNCTION("""COMPUTED_VALUE"""),479)</f>
        <v>479</v>
      </c>
    </row>
    <row r="874" spans="1:13">
      <c r="A874" s="2">
        <f ca="1">IFERROR(__xludf.DUMMYFUNCTION("""COMPUTED_VALUE"""),883)</f>
        <v>883</v>
      </c>
      <c r="B874" s="2" t="str">
        <f ca="1">IFERROR(__xludf.DUMMYFUNCTION("""COMPUTED_VALUE"""),"Toshiba")</f>
        <v>Toshiba</v>
      </c>
      <c r="C874" s="2" t="str">
        <f ca="1">IFERROR(__xludf.DUMMYFUNCTION("""COMPUTED_VALUE"""),"Tecra A50-D-11D")</f>
        <v>Tecra A50-D-11D</v>
      </c>
      <c r="D874" s="2" t="str">
        <f ca="1">IFERROR(__xludf.DUMMYFUNCTION("""COMPUTED_VALUE"""),"Notebook")</f>
        <v>Notebook</v>
      </c>
      <c r="E874" s="2">
        <f ca="1">IFERROR(__xludf.DUMMYFUNCTION("""COMPUTED_VALUE"""),15.6)</f>
        <v>15.6</v>
      </c>
      <c r="F874" s="2" t="str">
        <f ca="1">IFERROR(__xludf.DUMMYFUNCTION("""COMPUTED_VALUE"""),"IPS Panel Full HD 1920x1080")</f>
        <v>IPS Panel Full HD 1920x1080</v>
      </c>
      <c r="G874" s="2" t="str">
        <f ca="1">IFERROR(__xludf.DUMMYFUNCTION("""COMPUTED_VALUE"""),"Intel Core i7 7500U 2.7GHz")</f>
        <v>Intel Core i7 7500U 2.7GHz</v>
      </c>
      <c r="H874" s="2" t="str">
        <f ca="1">IFERROR(__xludf.DUMMYFUNCTION("""COMPUTED_VALUE"""),"8GB")</f>
        <v>8GB</v>
      </c>
      <c r="I874" s="2" t="str">
        <f ca="1">IFERROR(__xludf.DUMMYFUNCTION("""COMPUTED_VALUE"""),"256GB SSD")</f>
        <v>256GB SSD</v>
      </c>
      <c r="J874" s="2" t="str">
        <f ca="1">IFERROR(__xludf.DUMMYFUNCTION("""COMPUTED_VALUE"""),"Intel HD Graphics 620")</f>
        <v>Intel HD Graphics 620</v>
      </c>
      <c r="K874" s="2" t="str">
        <f ca="1">IFERROR(__xludf.DUMMYFUNCTION("""COMPUTED_VALUE"""),"Windows 10")</f>
        <v>Windows 10</v>
      </c>
      <c r="L874" s="2" t="str">
        <f ca="1">IFERROR(__xludf.DUMMYFUNCTION("""COMPUTED_VALUE"""),"2.0kg")</f>
        <v>2.0kg</v>
      </c>
      <c r="M874" s="2">
        <f ca="1">IFERROR(__xludf.DUMMYFUNCTION("""COMPUTED_VALUE"""),1388)</f>
        <v>1388</v>
      </c>
    </row>
    <row r="875" spans="1:13">
      <c r="A875" s="2">
        <f ca="1">IFERROR(__xludf.DUMMYFUNCTION("""COMPUTED_VALUE"""),884)</f>
        <v>884</v>
      </c>
      <c r="B875" s="2" t="str">
        <f ca="1">IFERROR(__xludf.DUMMYFUNCTION("""COMPUTED_VALUE"""),"Lenovo")</f>
        <v>Lenovo</v>
      </c>
      <c r="C875" s="2" t="str">
        <f ca="1">IFERROR(__xludf.DUMMYFUNCTION("""COMPUTED_VALUE"""),"Thinkpad 13")</f>
        <v>Thinkpad 13</v>
      </c>
      <c r="D875" s="2" t="str">
        <f ca="1">IFERROR(__xludf.DUMMYFUNCTION("""COMPUTED_VALUE"""),"Notebook")</f>
        <v>Notebook</v>
      </c>
      <c r="E875" s="2">
        <f ca="1">IFERROR(__xludf.DUMMYFUNCTION("""COMPUTED_VALUE"""),13.3)</f>
        <v>13.3</v>
      </c>
      <c r="F875" s="2" t="str">
        <f ca="1">IFERROR(__xludf.DUMMYFUNCTION("""COMPUTED_VALUE"""),"IPS Panel Full HD 1920x1080")</f>
        <v>IPS Panel Full HD 1920x1080</v>
      </c>
      <c r="G875" s="2" t="str">
        <f ca="1">IFERROR(__xludf.DUMMYFUNCTION("""COMPUTED_VALUE"""),"Intel Core i3 7100U 2.4GHz")</f>
        <v>Intel Core i3 7100U 2.4GHz</v>
      </c>
      <c r="H875" s="2" t="str">
        <f ca="1">IFERROR(__xludf.DUMMYFUNCTION("""COMPUTED_VALUE"""),"4GB")</f>
        <v>4GB</v>
      </c>
      <c r="I875" s="2" t="str">
        <f ca="1">IFERROR(__xludf.DUMMYFUNCTION("""COMPUTED_VALUE"""),"180GB SSD")</f>
        <v>180GB SSD</v>
      </c>
      <c r="J875" s="2" t="str">
        <f ca="1">IFERROR(__xludf.DUMMYFUNCTION("""COMPUTED_VALUE"""),"Intel HD Graphics 620")</f>
        <v>Intel HD Graphics 620</v>
      </c>
      <c r="K875" s="2" t="str">
        <f ca="1">IFERROR(__xludf.DUMMYFUNCTION("""COMPUTED_VALUE"""),"Windows 10")</f>
        <v>Windows 10</v>
      </c>
      <c r="L875" s="2" t="str">
        <f ca="1">IFERROR(__xludf.DUMMYFUNCTION("""COMPUTED_VALUE"""),"1.44kg")</f>
        <v>1.44kg</v>
      </c>
      <c r="M875" s="2">
        <f ca="1">IFERROR(__xludf.DUMMYFUNCTION("""COMPUTED_VALUE"""),735)</f>
        <v>735</v>
      </c>
    </row>
    <row r="876" spans="1:13">
      <c r="A876" s="2">
        <f ca="1">IFERROR(__xludf.DUMMYFUNCTION("""COMPUTED_VALUE"""),885)</f>
        <v>885</v>
      </c>
      <c r="B876" s="2" t="str">
        <f ca="1">IFERROR(__xludf.DUMMYFUNCTION("""COMPUTED_VALUE"""),"Samsung")</f>
        <v>Samsung</v>
      </c>
      <c r="C876" s="2" t="str">
        <f ca="1">IFERROR(__xludf.DUMMYFUNCTION("""COMPUTED_VALUE"""),"Notebook 9")</f>
        <v>Notebook 9</v>
      </c>
      <c r="D876" s="2" t="str">
        <f ca="1">IFERROR(__xludf.DUMMYFUNCTION("""COMPUTED_VALUE"""),"Ultrabook")</f>
        <v>Ultrabook</v>
      </c>
      <c r="E876" s="2">
        <f ca="1">IFERROR(__xludf.DUMMYFUNCTION("""COMPUTED_VALUE"""),15)</f>
        <v>15</v>
      </c>
      <c r="F876" s="2" t="str">
        <f ca="1">IFERROR(__xludf.DUMMYFUNCTION("""COMPUTED_VALUE"""),"Full HD 1920x1080")</f>
        <v>Full HD 1920x1080</v>
      </c>
      <c r="G876" s="2" t="str">
        <f ca="1">IFERROR(__xludf.DUMMYFUNCTION("""COMPUTED_VALUE"""),"Intel Core i7 7500U 2.7GHz")</f>
        <v>Intel Core i7 7500U 2.7GHz</v>
      </c>
      <c r="H876" s="2" t="str">
        <f ca="1">IFERROR(__xludf.DUMMYFUNCTION("""COMPUTED_VALUE"""),"16GB")</f>
        <v>16GB</v>
      </c>
      <c r="I876" s="2" t="str">
        <f ca="1">IFERROR(__xludf.DUMMYFUNCTION("""COMPUTED_VALUE"""),"256GB SSD")</f>
        <v>256GB SSD</v>
      </c>
      <c r="J876" s="2" t="str">
        <f ca="1">IFERROR(__xludf.DUMMYFUNCTION("""COMPUTED_VALUE"""),"Nvidia GeForce 940MX")</f>
        <v>Nvidia GeForce 940MX</v>
      </c>
      <c r="K876" s="2" t="str">
        <f ca="1">IFERROR(__xludf.DUMMYFUNCTION("""COMPUTED_VALUE"""),"Windows 10")</f>
        <v>Windows 10</v>
      </c>
      <c r="L876" s="2" t="str">
        <f ca="1">IFERROR(__xludf.DUMMYFUNCTION("""COMPUTED_VALUE"""),"1.23kg")</f>
        <v>1.23kg</v>
      </c>
      <c r="M876" s="2">
        <f ca="1">IFERROR(__xludf.DUMMYFUNCTION("""COMPUTED_VALUE"""),1849)</f>
        <v>1849</v>
      </c>
    </row>
    <row r="877" spans="1:13">
      <c r="A877" s="2">
        <f ca="1">IFERROR(__xludf.DUMMYFUNCTION("""COMPUTED_VALUE"""),886)</f>
        <v>886</v>
      </c>
      <c r="B877" s="2" t="str">
        <f ca="1">IFERROR(__xludf.DUMMYFUNCTION("""COMPUTED_VALUE"""),"Dell")</f>
        <v>Dell</v>
      </c>
      <c r="C877" s="2" t="str">
        <f ca="1">IFERROR(__xludf.DUMMYFUNCTION("""COMPUTED_VALUE"""),"Latitude 7280")</f>
        <v>Latitude 7280</v>
      </c>
      <c r="D877" s="2" t="str">
        <f ca="1">IFERROR(__xludf.DUMMYFUNCTION("""COMPUTED_VALUE"""),"Ultrabook")</f>
        <v>Ultrabook</v>
      </c>
      <c r="E877" s="2">
        <f ca="1">IFERROR(__xludf.DUMMYFUNCTION("""COMPUTED_VALUE"""),12.5)</f>
        <v>12.5</v>
      </c>
      <c r="F877" s="2" t="str">
        <f ca="1">IFERROR(__xludf.DUMMYFUNCTION("""COMPUTED_VALUE"""),"Full HD 1920x1080")</f>
        <v>Full HD 1920x1080</v>
      </c>
      <c r="G877" s="2" t="str">
        <f ca="1">IFERROR(__xludf.DUMMYFUNCTION("""COMPUTED_VALUE"""),"Intel Core i7 7600U 2.8GHz")</f>
        <v>Intel Core i7 7600U 2.8GHz</v>
      </c>
      <c r="H877" s="2" t="str">
        <f ca="1">IFERROR(__xludf.DUMMYFUNCTION("""COMPUTED_VALUE"""),"8GB")</f>
        <v>8GB</v>
      </c>
      <c r="I877" s="2" t="str">
        <f ca="1">IFERROR(__xludf.DUMMYFUNCTION("""COMPUTED_VALUE"""),"256GB SSD")</f>
        <v>256GB SSD</v>
      </c>
      <c r="J877" s="2" t="str">
        <f ca="1">IFERROR(__xludf.DUMMYFUNCTION("""COMPUTED_VALUE"""),"Intel HD Graphics 620")</f>
        <v>Intel HD Graphics 620</v>
      </c>
      <c r="K877" s="2" t="str">
        <f ca="1">IFERROR(__xludf.DUMMYFUNCTION("""COMPUTED_VALUE"""),"Windows 10")</f>
        <v>Windows 10</v>
      </c>
      <c r="L877" s="2" t="str">
        <f ca="1">IFERROR(__xludf.DUMMYFUNCTION("""COMPUTED_VALUE"""),"1.6kg")</f>
        <v>1.6kg</v>
      </c>
      <c r="M877" s="2">
        <f ca="1">IFERROR(__xludf.DUMMYFUNCTION("""COMPUTED_VALUE"""),1690)</f>
        <v>1690</v>
      </c>
    </row>
    <row r="878" spans="1:13">
      <c r="A878" s="2">
        <f ca="1">IFERROR(__xludf.DUMMYFUNCTION("""COMPUTED_VALUE"""),887)</f>
        <v>887</v>
      </c>
      <c r="B878" s="2" t="str">
        <f ca="1">IFERROR(__xludf.DUMMYFUNCTION("""COMPUTED_VALUE"""),"Asus")</f>
        <v>Asus</v>
      </c>
      <c r="C878" s="2" t="str">
        <f ca="1">IFERROR(__xludf.DUMMYFUNCTION("""COMPUTED_VALUE"""),"X541NA-GO121 (N4200/4GB/1TB/Linux)")</f>
        <v>X541NA-GO121 (N4200/4GB/1TB/Linux)</v>
      </c>
      <c r="D878" s="2" t="str">
        <f ca="1">IFERROR(__xludf.DUMMYFUNCTION("""COMPUTED_VALUE"""),"Notebook")</f>
        <v>Notebook</v>
      </c>
      <c r="E878" s="2">
        <f ca="1">IFERROR(__xludf.DUMMYFUNCTION("""COMPUTED_VALUE"""),15.6)</f>
        <v>15.6</v>
      </c>
      <c r="F878" s="2" t="str">
        <f ca="1">IFERROR(__xludf.DUMMYFUNCTION("""COMPUTED_VALUE"""),"1366x768")</f>
        <v>1366x768</v>
      </c>
      <c r="G878" s="2" t="str">
        <f ca="1">IFERROR(__xludf.DUMMYFUNCTION("""COMPUTED_VALUE"""),"Intel Pentium Quad Core N4200 1.1GHz")</f>
        <v>Intel Pentium Quad Core N4200 1.1GHz</v>
      </c>
      <c r="H878" s="2" t="str">
        <f ca="1">IFERROR(__xludf.DUMMYFUNCTION("""COMPUTED_VALUE"""),"4GB")</f>
        <v>4GB</v>
      </c>
      <c r="I878" s="2" t="str">
        <f ca="1">IFERROR(__xludf.DUMMYFUNCTION("""COMPUTED_VALUE"""),"1TB HDD")</f>
        <v>1TB HDD</v>
      </c>
      <c r="J878" s="2" t="str">
        <f ca="1">IFERROR(__xludf.DUMMYFUNCTION("""COMPUTED_VALUE"""),"Intel HD Graphics 505")</f>
        <v>Intel HD Graphics 505</v>
      </c>
      <c r="K878" s="2" t="str">
        <f ca="1">IFERROR(__xludf.DUMMYFUNCTION("""COMPUTED_VALUE"""),"Linux")</f>
        <v>Linux</v>
      </c>
      <c r="L878" s="2" t="str">
        <f ca="1">IFERROR(__xludf.DUMMYFUNCTION("""COMPUTED_VALUE"""),"2kg")</f>
        <v>2kg</v>
      </c>
      <c r="M878" s="2">
        <f ca="1">IFERROR(__xludf.DUMMYFUNCTION("""COMPUTED_VALUE"""),398.99)</f>
        <v>398.99</v>
      </c>
    </row>
    <row r="879" spans="1:13">
      <c r="A879" s="2">
        <f ca="1">IFERROR(__xludf.DUMMYFUNCTION("""COMPUTED_VALUE"""),888)</f>
        <v>888</v>
      </c>
      <c r="B879" s="2" t="str">
        <f ca="1">IFERROR(__xludf.DUMMYFUNCTION("""COMPUTED_VALUE"""),"Xiaomi")</f>
        <v>Xiaomi</v>
      </c>
      <c r="C879" s="2" t="str">
        <f ca="1">IFERROR(__xludf.DUMMYFUNCTION("""COMPUTED_VALUE"""),"Mi Notebook")</f>
        <v>Mi Notebook</v>
      </c>
      <c r="D879" s="2" t="str">
        <f ca="1">IFERROR(__xludf.DUMMYFUNCTION("""COMPUTED_VALUE"""),"Ultrabook")</f>
        <v>Ultrabook</v>
      </c>
      <c r="E879" s="2">
        <f ca="1">IFERROR(__xludf.DUMMYFUNCTION("""COMPUTED_VALUE"""),13.3)</f>
        <v>13.3</v>
      </c>
      <c r="F879" s="2" t="str">
        <f ca="1">IFERROR(__xludf.DUMMYFUNCTION("""COMPUTED_VALUE"""),"IPS Panel Full HD 1920x1080")</f>
        <v>IPS Panel Full HD 1920x1080</v>
      </c>
      <c r="G879" s="2" t="str">
        <f ca="1">IFERROR(__xludf.DUMMYFUNCTION("""COMPUTED_VALUE"""),"Intel Core i5 6200U 2.3GHz")</f>
        <v>Intel Core i5 6200U 2.3GHz</v>
      </c>
      <c r="H879" s="2" t="str">
        <f ca="1">IFERROR(__xludf.DUMMYFUNCTION("""COMPUTED_VALUE"""),"8GB")</f>
        <v>8GB</v>
      </c>
      <c r="I879" s="2" t="str">
        <f ca="1">IFERROR(__xludf.DUMMYFUNCTION("""COMPUTED_VALUE"""),"256GB SSD")</f>
        <v>256GB SSD</v>
      </c>
      <c r="J879" s="2" t="str">
        <f ca="1">IFERROR(__xludf.DUMMYFUNCTION("""COMPUTED_VALUE"""),"Nvidia GeForce 940MX")</f>
        <v>Nvidia GeForce 940MX</v>
      </c>
      <c r="K879" s="2" t="str">
        <f ca="1">IFERROR(__xludf.DUMMYFUNCTION("""COMPUTED_VALUE"""),"Windows 10")</f>
        <v>Windows 10</v>
      </c>
      <c r="L879" s="2" t="str">
        <f ca="1">IFERROR(__xludf.DUMMYFUNCTION("""COMPUTED_VALUE"""),"1.28kg")</f>
        <v>1.28kg</v>
      </c>
      <c r="M879" s="2">
        <f ca="1">IFERROR(__xludf.DUMMYFUNCTION("""COMPUTED_VALUE"""),935)</f>
        <v>935</v>
      </c>
    </row>
    <row r="880" spans="1:13">
      <c r="A880" s="2">
        <f ca="1">IFERROR(__xludf.DUMMYFUNCTION("""COMPUTED_VALUE"""),889)</f>
        <v>889</v>
      </c>
      <c r="B880" s="2" t="str">
        <f ca="1">IFERROR(__xludf.DUMMYFUNCTION("""COMPUTED_VALUE"""),"Dell")</f>
        <v>Dell</v>
      </c>
      <c r="C880" s="2" t="str">
        <f ca="1">IFERROR(__xludf.DUMMYFUNCTION("""COMPUTED_VALUE"""),"Vostro 5568")</f>
        <v>Vostro 5568</v>
      </c>
      <c r="D880" s="2" t="str">
        <f ca="1">IFERROR(__xludf.DUMMYFUNCTION("""COMPUTED_VALUE"""),"Notebook")</f>
        <v>Notebook</v>
      </c>
      <c r="E880" s="2">
        <f ca="1">IFERROR(__xludf.DUMMYFUNCTION("""COMPUTED_VALUE"""),15.6)</f>
        <v>15.6</v>
      </c>
      <c r="F880" s="2" t="str">
        <f ca="1">IFERROR(__xludf.DUMMYFUNCTION("""COMPUTED_VALUE"""),"Full HD 1920x1080")</f>
        <v>Full HD 1920x1080</v>
      </c>
      <c r="G880" s="2" t="str">
        <f ca="1">IFERROR(__xludf.DUMMYFUNCTION("""COMPUTED_VALUE"""),"Intel Core i5 7200U 2.5GHz")</f>
        <v>Intel Core i5 7200U 2.5GHz</v>
      </c>
      <c r="H880" s="2" t="str">
        <f ca="1">IFERROR(__xludf.DUMMYFUNCTION("""COMPUTED_VALUE"""),"4GB")</f>
        <v>4GB</v>
      </c>
      <c r="I880" s="2" t="str">
        <f ca="1">IFERROR(__xludf.DUMMYFUNCTION("""COMPUTED_VALUE"""),"128GB SSD +  1TB HDD")</f>
        <v>128GB SSD +  1TB HDD</v>
      </c>
      <c r="J880" s="2" t="str">
        <f ca="1">IFERROR(__xludf.DUMMYFUNCTION("""COMPUTED_VALUE"""),"Nvidia GeForce 940MX")</f>
        <v>Nvidia GeForce 940MX</v>
      </c>
      <c r="K880" s="2" t="str">
        <f ca="1">IFERROR(__xludf.DUMMYFUNCTION("""COMPUTED_VALUE"""),"Windows 10")</f>
        <v>Windows 10</v>
      </c>
      <c r="L880" s="2" t="str">
        <f ca="1">IFERROR(__xludf.DUMMYFUNCTION("""COMPUTED_VALUE"""),"2.18kg")</f>
        <v>2.18kg</v>
      </c>
      <c r="M880" s="2">
        <f ca="1">IFERROR(__xludf.DUMMYFUNCTION("""COMPUTED_VALUE"""),912.5)</f>
        <v>912.5</v>
      </c>
    </row>
    <row r="881" spans="1:13">
      <c r="A881" s="2">
        <f ca="1">IFERROR(__xludf.DUMMYFUNCTION("""COMPUTED_VALUE"""),890)</f>
        <v>890</v>
      </c>
      <c r="B881" s="2" t="str">
        <f ca="1">IFERROR(__xludf.DUMMYFUNCTION("""COMPUTED_VALUE"""),"HP")</f>
        <v>HP</v>
      </c>
      <c r="C881" s="2" t="str">
        <f ca="1">IFERROR(__xludf.DUMMYFUNCTION("""COMPUTED_VALUE"""),"ProBook 450")</f>
        <v>ProBook 450</v>
      </c>
      <c r="D881" s="2" t="str">
        <f ca="1">IFERROR(__xludf.DUMMYFUNCTION("""COMPUTED_VALUE"""),"Notebook")</f>
        <v>Notebook</v>
      </c>
      <c r="E881" s="2">
        <f ca="1">IFERROR(__xludf.DUMMYFUNCTION("""COMPUTED_VALUE"""),15.6)</f>
        <v>15.6</v>
      </c>
      <c r="F881" s="2" t="str">
        <f ca="1">IFERROR(__xludf.DUMMYFUNCTION("""COMPUTED_VALUE"""),"Full HD 1920x1080")</f>
        <v>Full HD 1920x1080</v>
      </c>
      <c r="G881" s="2" t="str">
        <f ca="1">IFERROR(__xludf.DUMMYFUNCTION("""COMPUTED_VALUE"""),"Intel Core i5 7200U 2.5GHz")</f>
        <v>Intel Core i5 7200U 2.5GHz</v>
      </c>
      <c r="H881" s="2" t="str">
        <f ca="1">IFERROR(__xludf.DUMMYFUNCTION("""COMPUTED_VALUE"""),"4GB")</f>
        <v>4GB</v>
      </c>
      <c r="I881" s="2" t="str">
        <f ca="1">IFERROR(__xludf.DUMMYFUNCTION("""COMPUTED_VALUE"""),"256GB SSD")</f>
        <v>256GB SSD</v>
      </c>
      <c r="J881" s="2" t="str">
        <f ca="1">IFERROR(__xludf.DUMMYFUNCTION("""COMPUTED_VALUE"""),"Intel HD Graphics 620")</f>
        <v>Intel HD Graphics 620</v>
      </c>
      <c r="K881" s="2" t="str">
        <f ca="1">IFERROR(__xludf.DUMMYFUNCTION("""COMPUTED_VALUE"""),"Windows 10")</f>
        <v>Windows 10</v>
      </c>
      <c r="L881" s="2" t="str">
        <f ca="1">IFERROR(__xludf.DUMMYFUNCTION("""COMPUTED_VALUE"""),"2.04kg")</f>
        <v>2.04kg</v>
      </c>
      <c r="M881" s="2">
        <f ca="1">IFERROR(__xludf.DUMMYFUNCTION("""COMPUTED_VALUE"""),839)</f>
        <v>839</v>
      </c>
    </row>
    <row r="882" spans="1:13">
      <c r="A882" s="2">
        <f ca="1">IFERROR(__xludf.DUMMYFUNCTION("""COMPUTED_VALUE"""),891)</f>
        <v>891</v>
      </c>
      <c r="B882" s="2" t="str">
        <f ca="1">IFERROR(__xludf.DUMMYFUNCTION("""COMPUTED_VALUE"""),"HP")</f>
        <v>HP</v>
      </c>
      <c r="C882" s="2" t="str">
        <f ca="1">IFERROR(__xludf.DUMMYFUNCTION("""COMPUTED_VALUE"""),"EliteBook x360")</f>
        <v>EliteBook x360</v>
      </c>
      <c r="D882" s="2" t="str">
        <f ca="1">IFERROR(__xludf.DUMMYFUNCTION("""COMPUTED_VALUE"""),"2 in 1 Convertible")</f>
        <v>2 in 1 Convertible</v>
      </c>
      <c r="E882" s="2">
        <f ca="1">IFERROR(__xludf.DUMMYFUNCTION("""COMPUTED_VALUE"""),13.3)</f>
        <v>13.3</v>
      </c>
      <c r="F882" s="2" t="str">
        <f ca="1">IFERROR(__xludf.DUMMYFUNCTION("""COMPUTED_VALUE"""),"Full HD / Touchscreen 1920x1080")</f>
        <v>Full HD / Touchscreen 1920x1080</v>
      </c>
      <c r="G882" s="2" t="str">
        <f ca="1">IFERROR(__xludf.DUMMYFUNCTION("""COMPUTED_VALUE"""),"Intel Core i5 7200U 2.5GHz")</f>
        <v>Intel Core i5 7200U 2.5GHz</v>
      </c>
      <c r="H882" s="2" t="str">
        <f ca="1">IFERROR(__xludf.DUMMYFUNCTION("""COMPUTED_VALUE"""),"4GB")</f>
        <v>4GB</v>
      </c>
      <c r="I882" s="2" t="str">
        <f ca="1">IFERROR(__xludf.DUMMYFUNCTION("""COMPUTED_VALUE"""),"256GB SSD")</f>
        <v>256GB SSD</v>
      </c>
      <c r="J882" s="2" t="str">
        <f ca="1">IFERROR(__xludf.DUMMYFUNCTION("""COMPUTED_VALUE"""),"Intel HD Graphics 620")</f>
        <v>Intel HD Graphics 620</v>
      </c>
      <c r="K882" s="2" t="str">
        <f ca="1">IFERROR(__xludf.DUMMYFUNCTION("""COMPUTED_VALUE"""),"Windows 10")</f>
        <v>Windows 10</v>
      </c>
      <c r="L882" s="2" t="str">
        <f ca="1">IFERROR(__xludf.DUMMYFUNCTION("""COMPUTED_VALUE"""),"1.28kg")</f>
        <v>1.28kg</v>
      </c>
      <c r="M882" s="2">
        <f ca="1">IFERROR(__xludf.DUMMYFUNCTION("""COMPUTED_VALUE"""),1700)</f>
        <v>1700</v>
      </c>
    </row>
    <row r="883" spans="1:13">
      <c r="A883" s="2">
        <f ca="1">IFERROR(__xludf.DUMMYFUNCTION("""COMPUTED_VALUE"""),892)</f>
        <v>892</v>
      </c>
      <c r="B883" s="2" t="str">
        <f ca="1">IFERROR(__xludf.DUMMYFUNCTION("""COMPUTED_VALUE"""),"HP")</f>
        <v>HP</v>
      </c>
      <c r="C883" s="2" t="str">
        <f ca="1">IFERROR(__xludf.DUMMYFUNCTION("""COMPUTED_VALUE"""),"Pavilion x360")</f>
        <v>Pavilion x360</v>
      </c>
      <c r="D883" s="2" t="str">
        <f ca="1">IFERROR(__xludf.DUMMYFUNCTION("""COMPUTED_VALUE"""),"2 in 1 Convertible")</f>
        <v>2 in 1 Convertible</v>
      </c>
      <c r="E883" s="2">
        <f ca="1">IFERROR(__xludf.DUMMYFUNCTION("""COMPUTED_VALUE"""),15.6)</f>
        <v>15.6</v>
      </c>
      <c r="F883" s="2" t="str">
        <f ca="1">IFERROR(__xludf.DUMMYFUNCTION("""COMPUTED_VALUE"""),"Touchscreen 1366x768")</f>
        <v>Touchscreen 1366x768</v>
      </c>
      <c r="G883" s="2" t="str">
        <f ca="1">IFERROR(__xludf.DUMMYFUNCTION("""COMPUTED_VALUE"""),"Intel Core i5 7200U 2.5GHz")</f>
        <v>Intel Core i5 7200U 2.5GHz</v>
      </c>
      <c r="H883" s="2" t="str">
        <f ca="1">IFERROR(__xludf.DUMMYFUNCTION("""COMPUTED_VALUE"""),"4GB")</f>
        <v>4GB</v>
      </c>
      <c r="I883" s="2" t="str">
        <f ca="1">IFERROR(__xludf.DUMMYFUNCTION("""COMPUTED_VALUE"""),"500GB HDD")</f>
        <v>500GB HDD</v>
      </c>
      <c r="J883" s="2" t="str">
        <f ca="1">IFERROR(__xludf.DUMMYFUNCTION("""COMPUTED_VALUE"""),"Intel HD Graphics 620")</f>
        <v>Intel HD Graphics 620</v>
      </c>
      <c r="K883" s="2" t="str">
        <f ca="1">IFERROR(__xludf.DUMMYFUNCTION("""COMPUTED_VALUE"""),"Windows 10")</f>
        <v>Windows 10</v>
      </c>
      <c r="L883" s="2" t="str">
        <f ca="1">IFERROR(__xludf.DUMMYFUNCTION("""COMPUTED_VALUE"""),"2.3kg")</f>
        <v>2.3kg</v>
      </c>
      <c r="M883" s="2">
        <f ca="1">IFERROR(__xludf.DUMMYFUNCTION("""COMPUTED_VALUE"""),684.8)</f>
        <v>684.8</v>
      </c>
    </row>
    <row r="884" spans="1:13">
      <c r="A884" s="2">
        <f ca="1">IFERROR(__xludf.DUMMYFUNCTION("""COMPUTED_VALUE"""),893)</f>
        <v>893</v>
      </c>
      <c r="B884" s="2" t="str">
        <f ca="1">IFERROR(__xludf.DUMMYFUNCTION("""COMPUTED_VALUE"""),"Asus")</f>
        <v>Asus</v>
      </c>
      <c r="C884" s="2" t="str">
        <f ca="1">IFERROR(__xludf.DUMMYFUNCTION("""COMPUTED_VALUE"""),"VivoBook L402NA")</f>
        <v>VivoBook L402NA</v>
      </c>
      <c r="D884" s="2" t="str">
        <f ca="1">IFERROR(__xludf.DUMMYFUNCTION("""COMPUTED_VALUE"""),"Notebook")</f>
        <v>Notebook</v>
      </c>
      <c r="E884" s="2">
        <f ca="1">IFERROR(__xludf.DUMMYFUNCTION("""COMPUTED_VALUE"""),14.1)</f>
        <v>14.1</v>
      </c>
      <c r="F884" s="2" t="str">
        <f ca="1">IFERROR(__xludf.DUMMYFUNCTION("""COMPUTED_VALUE"""),"1366x768")</f>
        <v>1366x768</v>
      </c>
      <c r="G884" s="2" t="str">
        <f ca="1">IFERROR(__xludf.DUMMYFUNCTION("""COMPUTED_VALUE"""),"Intel Celeron Dual Core N3350 1.1GHz")</f>
        <v>Intel Celeron Dual Core N3350 1.1GHz</v>
      </c>
      <c r="H884" s="2" t="str">
        <f ca="1">IFERROR(__xludf.DUMMYFUNCTION("""COMPUTED_VALUE"""),"4GB")</f>
        <v>4GB</v>
      </c>
      <c r="I884" s="2" t="str">
        <f ca="1">IFERROR(__xludf.DUMMYFUNCTION("""COMPUTED_VALUE"""),"32GB Flash Storage")</f>
        <v>32GB Flash Storage</v>
      </c>
      <c r="J884" s="2" t="str">
        <f ca="1">IFERROR(__xludf.DUMMYFUNCTION("""COMPUTED_VALUE"""),"Intel HD Graphics 500")</f>
        <v>Intel HD Graphics 500</v>
      </c>
      <c r="K884" s="2" t="str">
        <f ca="1">IFERROR(__xludf.DUMMYFUNCTION("""COMPUTED_VALUE"""),"Windows 10")</f>
        <v>Windows 10</v>
      </c>
      <c r="L884" s="2" t="str">
        <f ca="1">IFERROR(__xludf.DUMMYFUNCTION("""COMPUTED_VALUE"""),"1.65kg")</f>
        <v>1.65kg</v>
      </c>
      <c r="M884" s="2">
        <f ca="1">IFERROR(__xludf.DUMMYFUNCTION("""COMPUTED_VALUE"""),348)</f>
        <v>348</v>
      </c>
    </row>
    <row r="885" spans="1:13">
      <c r="A885" s="2">
        <f ca="1">IFERROR(__xludf.DUMMYFUNCTION("""COMPUTED_VALUE"""),894)</f>
        <v>894</v>
      </c>
      <c r="B885" s="2" t="str">
        <f ca="1">IFERROR(__xludf.DUMMYFUNCTION("""COMPUTED_VALUE"""),"Lenovo")</f>
        <v>Lenovo</v>
      </c>
      <c r="C885" s="2" t="str">
        <f ca="1">IFERROR(__xludf.DUMMYFUNCTION("""COMPUTED_VALUE"""),"IdeaPad 510-15ISK")</f>
        <v>IdeaPad 510-15ISK</v>
      </c>
      <c r="D885" s="2" t="str">
        <f ca="1">IFERROR(__xludf.DUMMYFUNCTION("""COMPUTED_VALUE"""),"Notebook")</f>
        <v>Notebook</v>
      </c>
      <c r="E885" s="2">
        <f ca="1">IFERROR(__xludf.DUMMYFUNCTION("""COMPUTED_VALUE"""),15.6)</f>
        <v>15.6</v>
      </c>
      <c r="F885" s="2" t="str">
        <f ca="1">IFERROR(__xludf.DUMMYFUNCTION("""COMPUTED_VALUE"""),"IPS Panel Full HD 1920x1080")</f>
        <v>IPS Panel Full HD 1920x1080</v>
      </c>
      <c r="G885" s="2" t="str">
        <f ca="1">IFERROR(__xludf.DUMMYFUNCTION("""COMPUTED_VALUE"""),"Intel Core i7 6500U 2.5GHz")</f>
        <v>Intel Core i7 6500U 2.5GHz</v>
      </c>
      <c r="H885" s="2" t="str">
        <f ca="1">IFERROR(__xludf.DUMMYFUNCTION("""COMPUTED_VALUE"""),"8GB")</f>
        <v>8GB</v>
      </c>
      <c r="I885" s="2" t="str">
        <f ca="1">IFERROR(__xludf.DUMMYFUNCTION("""COMPUTED_VALUE"""),"1TB HDD")</f>
        <v>1TB HDD</v>
      </c>
      <c r="J885" s="2" t="str">
        <f ca="1">IFERROR(__xludf.DUMMYFUNCTION("""COMPUTED_VALUE"""),"Nvidia GeForce 940MX")</f>
        <v>Nvidia GeForce 940MX</v>
      </c>
      <c r="K885" s="2" t="str">
        <f ca="1">IFERROR(__xludf.DUMMYFUNCTION("""COMPUTED_VALUE"""),"Windows 10")</f>
        <v>Windows 10</v>
      </c>
      <c r="L885" s="2" t="str">
        <f ca="1">IFERROR(__xludf.DUMMYFUNCTION("""COMPUTED_VALUE"""),"2.2kg")</f>
        <v>2.2kg</v>
      </c>
      <c r="M885" s="2">
        <f ca="1">IFERROR(__xludf.DUMMYFUNCTION("""COMPUTED_VALUE"""),669)</f>
        <v>669</v>
      </c>
    </row>
    <row r="886" spans="1:13">
      <c r="A886" s="2">
        <f ca="1">IFERROR(__xludf.DUMMYFUNCTION("""COMPUTED_VALUE"""),895)</f>
        <v>895</v>
      </c>
      <c r="B886" s="2" t="str">
        <f ca="1">IFERROR(__xludf.DUMMYFUNCTION("""COMPUTED_VALUE"""),"Dell")</f>
        <v>Dell</v>
      </c>
      <c r="C886" s="2" t="str">
        <f ca="1">IFERROR(__xludf.DUMMYFUNCTION("""COMPUTED_VALUE"""),"Inspiron 3552")</f>
        <v>Inspiron 3552</v>
      </c>
      <c r="D886" s="2" t="str">
        <f ca="1">IFERROR(__xludf.DUMMYFUNCTION("""COMPUTED_VALUE"""),"Notebook")</f>
        <v>Notebook</v>
      </c>
      <c r="E886" s="2">
        <f ca="1">IFERROR(__xludf.DUMMYFUNCTION("""COMPUTED_VALUE"""),15.6)</f>
        <v>15.6</v>
      </c>
      <c r="F886" s="2" t="str">
        <f ca="1">IFERROR(__xludf.DUMMYFUNCTION("""COMPUTED_VALUE"""),"1366x768")</f>
        <v>1366x768</v>
      </c>
      <c r="G886" s="2" t="str">
        <f ca="1">IFERROR(__xludf.DUMMYFUNCTION("""COMPUTED_VALUE"""),"Intel Pentium Quad Core N3710 1.6GHz")</f>
        <v>Intel Pentium Quad Core N3710 1.6GHz</v>
      </c>
      <c r="H886" s="2" t="str">
        <f ca="1">IFERROR(__xludf.DUMMYFUNCTION("""COMPUTED_VALUE"""),"4GB")</f>
        <v>4GB</v>
      </c>
      <c r="I886" s="2" t="str">
        <f ca="1">IFERROR(__xludf.DUMMYFUNCTION("""COMPUTED_VALUE"""),"500GB HDD")</f>
        <v>500GB HDD</v>
      </c>
      <c r="J886" s="2" t="str">
        <f ca="1">IFERROR(__xludf.DUMMYFUNCTION("""COMPUTED_VALUE"""),"Intel HD Graphics")</f>
        <v>Intel HD Graphics</v>
      </c>
      <c r="K886" s="2" t="str">
        <f ca="1">IFERROR(__xludf.DUMMYFUNCTION("""COMPUTED_VALUE"""),"Windows 10")</f>
        <v>Windows 10</v>
      </c>
      <c r="L886" s="2" t="str">
        <f ca="1">IFERROR(__xludf.DUMMYFUNCTION("""COMPUTED_VALUE"""),"2.2kg")</f>
        <v>2.2kg</v>
      </c>
      <c r="M886" s="2">
        <f ca="1">IFERROR(__xludf.DUMMYFUNCTION("""COMPUTED_VALUE"""),369)</f>
        <v>369</v>
      </c>
    </row>
    <row r="887" spans="1:13">
      <c r="A887" s="2">
        <f ca="1">IFERROR(__xludf.DUMMYFUNCTION("""COMPUTED_VALUE"""),896)</f>
        <v>896</v>
      </c>
      <c r="B887" s="2" t="str">
        <f ca="1">IFERROR(__xludf.DUMMYFUNCTION("""COMPUTED_VALUE"""),"HP")</f>
        <v>HP</v>
      </c>
      <c r="C887" s="2" t="str">
        <f ca="1">IFERROR(__xludf.DUMMYFUNCTION("""COMPUTED_VALUE"""),"EliteBook x360")</f>
        <v>EliteBook x360</v>
      </c>
      <c r="D887" s="2" t="str">
        <f ca="1">IFERROR(__xludf.DUMMYFUNCTION("""COMPUTED_VALUE"""),"2 in 1 Convertible")</f>
        <v>2 in 1 Convertible</v>
      </c>
      <c r="E887" s="2">
        <f ca="1">IFERROR(__xludf.DUMMYFUNCTION("""COMPUTED_VALUE"""),13.3)</f>
        <v>13.3</v>
      </c>
      <c r="F887" s="2" t="str">
        <f ca="1">IFERROR(__xludf.DUMMYFUNCTION("""COMPUTED_VALUE"""),"Full HD / Touchscreen 1920x1080")</f>
        <v>Full HD / Touchscreen 1920x1080</v>
      </c>
      <c r="G887" s="2" t="str">
        <f ca="1">IFERROR(__xludf.DUMMYFUNCTION("""COMPUTED_VALUE"""),"Intel Core i5 7200U 2.5GHz")</f>
        <v>Intel Core i5 7200U 2.5GHz</v>
      </c>
      <c r="H887" s="2" t="str">
        <f ca="1">IFERROR(__xludf.DUMMYFUNCTION("""COMPUTED_VALUE"""),"4GB")</f>
        <v>4GB</v>
      </c>
      <c r="I887" s="2" t="str">
        <f ca="1">IFERROR(__xludf.DUMMYFUNCTION("""COMPUTED_VALUE"""),"256GB SSD")</f>
        <v>256GB SSD</v>
      </c>
      <c r="J887" s="2" t="str">
        <f ca="1">IFERROR(__xludf.DUMMYFUNCTION("""COMPUTED_VALUE"""),"Intel HD Graphics 620")</f>
        <v>Intel HD Graphics 620</v>
      </c>
      <c r="K887" s="2" t="str">
        <f ca="1">IFERROR(__xludf.DUMMYFUNCTION("""COMPUTED_VALUE"""),"Windows 10")</f>
        <v>Windows 10</v>
      </c>
      <c r="L887" s="2" t="str">
        <f ca="1">IFERROR(__xludf.DUMMYFUNCTION("""COMPUTED_VALUE"""),"1.28kg")</f>
        <v>1.28kg</v>
      </c>
      <c r="M887" s="2">
        <f ca="1">IFERROR(__xludf.DUMMYFUNCTION("""COMPUTED_VALUE"""),1799)</f>
        <v>1799</v>
      </c>
    </row>
    <row r="888" spans="1:13">
      <c r="A888" s="2">
        <f ca="1">IFERROR(__xludf.DUMMYFUNCTION("""COMPUTED_VALUE"""),897)</f>
        <v>897</v>
      </c>
      <c r="B888" s="2" t="str">
        <f ca="1">IFERROR(__xludf.DUMMYFUNCTION("""COMPUTED_VALUE"""),"Dell")</f>
        <v>Dell</v>
      </c>
      <c r="C888" s="2" t="str">
        <f ca="1">IFERROR(__xludf.DUMMYFUNCTION("""COMPUTED_VALUE"""),"Vostro 3568")</f>
        <v>Vostro 3568</v>
      </c>
      <c r="D888" s="2" t="str">
        <f ca="1">IFERROR(__xludf.DUMMYFUNCTION("""COMPUTED_VALUE"""),"Notebook")</f>
        <v>Notebook</v>
      </c>
      <c r="E888" s="2">
        <f ca="1">IFERROR(__xludf.DUMMYFUNCTION("""COMPUTED_VALUE"""),15.6)</f>
        <v>15.6</v>
      </c>
      <c r="F888" s="2" t="str">
        <f ca="1">IFERROR(__xludf.DUMMYFUNCTION("""COMPUTED_VALUE"""),"1366x768")</f>
        <v>1366x768</v>
      </c>
      <c r="G888" s="2" t="str">
        <f ca="1">IFERROR(__xludf.DUMMYFUNCTION("""COMPUTED_VALUE"""),"Intel Core i3 6006U 2.0GHz")</f>
        <v>Intel Core i3 6006U 2.0GHz</v>
      </c>
      <c r="H888" s="2" t="str">
        <f ca="1">IFERROR(__xludf.DUMMYFUNCTION("""COMPUTED_VALUE"""),"4GB")</f>
        <v>4GB</v>
      </c>
      <c r="I888" s="2" t="str">
        <f ca="1">IFERROR(__xludf.DUMMYFUNCTION("""COMPUTED_VALUE"""),"1TB HDD")</f>
        <v>1TB HDD</v>
      </c>
      <c r="J888" s="2" t="str">
        <f ca="1">IFERROR(__xludf.DUMMYFUNCTION("""COMPUTED_VALUE"""),"AMD Radeon R5 M420X")</f>
        <v>AMD Radeon R5 M420X</v>
      </c>
      <c r="K888" s="2" t="str">
        <f ca="1">IFERROR(__xludf.DUMMYFUNCTION("""COMPUTED_VALUE"""),"Linux")</f>
        <v>Linux</v>
      </c>
      <c r="L888" s="2" t="str">
        <f ca="1">IFERROR(__xludf.DUMMYFUNCTION("""COMPUTED_VALUE"""),"2.18kg")</f>
        <v>2.18kg</v>
      </c>
      <c r="M888" s="2">
        <f ca="1">IFERROR(__xludf.DUMMYFUNCTION("""COMPUTED_VALUE"""),455.7)</f>
        <v>455.7</v>
      </c>
    </row>
    <row r="889" spans="1:13">
      <c r="A889" s="2">
        <f ca="1">IFERROR(__xludf.DUMMYFUNCTION("""COMPUTED_VALUE"""),898)</f>
        <v>898</v>
      </c>
      <c r="B889" s="2" t="str">
        <f ca="1">IFERROR(__xludf.DUMMYFUNCTION("""COMPUTED_VALUE"""),"Asus")</f>
        <v>Asus</v>
      </c>
      <c r="C889" s="2" t="str">
        <f ca="1">IFERROR(__xludf.DUMMYFUNCTION("""COMPUTED_VALUE"""),"Rog GL753VD-GC082T")</f>
        <v>Rog GL753VD-GC082T</v>
      </c>
      <c r="D889" s="2" t="str">
        <f ca="1">IFERROR(__xludf.DUMMYFUNCTION("""COMPUTED_VALUE"""),"Gaming")</f>
        <v>Gaming</v>
      </c>
      <c r="E889" s="2">
        <f ca="1">IFERROR(__xludf.DUMMYFUNCTION("""COMPUTED_VALUE"""),17.3)</f>
        <v>17.3</v>
      </c>
      <c r="F889" s="2" t="str">
        <f ca="1">IFERROR(__xludf.DUMMYFUNCTION("""COMPUTED_VALUE"""),"Full HD 1920x1080")</f>
        <v>Full HD 1920x1080</v>
      </c>
      <c r="G889" s="2" t="str">
        <f ca="1">IFERROR(__xludf.DUMMYFUNCTION("""COMPUTED_VALUE"""),"Intel Core i5 7300HQ 2.5GHz")</f>
        <v>Intel Core i5 7300HQ 2.5GHz</v>
      </c>
      <c r="H889" s="2" t="str">
        <f ca="1">IFERROR(__xludf.DUMMYFUNCTION("""COMPUTED_VALUE"""),"12GB")</f>
        <v>12GB</v>
      </c>
      <c r="I889" s="2" t="str">
        <f ca="1">IFERROR(__xludf.DUMMYFUNCTION("""COMPUTED_VALUE"""),"128GB SSD +  1TB HDD")</f>
        <v>128GB SSD +  1TB HDD</v>
      </c>
      <c r="J889" s="2" t="str">
        <f ca="1">IFERROR(__xludf.DUMMYFUNCTION("""COMPUTED_VALUE"""),"Nvidia GeForce GTX 1050")</f>
        <v>Nvidia GeForce GTX 1050</v>
      </c>
      <c r="K889" s="2" t="str">
        <f ca="1">IFERROR(__xludf.DUMMYFUNCTION("""COMPUTED_VALUE"""),"Windows 10")</f>
        <v>Windows 10</v>
      </c>
      <c r="L889" s="2" t="str">
        <f ca="1">IFERROR(__xludf.DUMMYFUNCTION("""COMPUTED_VALUE"""),"2.2kg")</f>
        <v>2.2kg</v>
      </c>
      <c r="M889" s="2">
        <f ca="1">IFERROR(__xludf.DUMMYFUNCTION("""COMPUTED_VALUE"""),1369.9)</f>
        <v>1369.9</v>
      </c>
    </row>
    <row r="890" spans="1:13">
      <c r="A890" s="2">
        <f ca="1">IFERROR(__xludf.DUMMYFUNCTION("""COMPUTED_VALUE"""),899)</f>
        <v>899</v>
      </c>
      <c r="B890" s="2" t="str">
        <f ca="1">IFERROR(__xludf.DUMMYFUNCTION("""COMPUTED_VALUE"""),"Acer")</f>
        <v>Acer</v>
      </c>
      <c r="C890" s="2" t="str">
        <f ca="1">IFERROR(__xludf.DUMMYFUNCTION("""COMPUTED_VALUE"""),"Chromebook C731-C78G")</f>
        <v>Chromebook C731-C78G</v>
      </c>
      <c r="D890" s="2" t="str">
        <f ca="1">IFERROR(__xludf.DUMMYFUNCTION("""COMPUTED_VALUE"""),"Netbook")</f>
        <v>Netbook</v>
      </c>
      <c r="E890" s="2">
        <f ca="1">IFERROR(__xludf.DUMMYFUNCTION("""COMPUTED_VALUE"""),11.6)</f>
        <v>11.6</v>
      </c>
      <c r="F890" s="2" t="str">
        <f ca="1">IFERROR(__xludf.DUMMYFUNCTION("""COMPUTED_VALUE"""),"IPS Panel 1366x768")</f>
        <v>IPS Panel 1366x768</v>
      </c>
      <c r="G890" s="2" t="str">
        <f ca="1">IFERROR(__xludf.DUMMYFUNCTION("""COMPUTED_VALUE"""),"Intel Celeron Dual Core N3060 1.6GHz")</f>
        <v>Intel Celeron Dual Core N3060 1.6GHz</v>
      </c>
      <c r="H890" s="2" t="str">
        <f ca="1">IFERROR(__xludf.DUMMYFUNCTION("""COMPUTED_VALUE"""),"4GB")</f>
        <v>4GB</v>
      </c>
      <c r="I890" s="2" t="str">
        <f ca="1">IFERROR(__xludf.DUMMYFUNCTION("""COMPUTED_VALUE"""),"32GB Flash Storage")</f>
        <v>32GB Flash Storage</v>
      </c>
      <c r="J890" s="2" t="str">
        <f ca="1">IFERROR(__xludf.DUMMYFUNCTION("""COMPUTED_VALUE"""),"Intel HD Graphics 400")</f>
        <v>Intel HD Graphics 400</v>
      </c>
      <c r="K890" s="2" t="str">
        <f ca="1">IFERROR(__xludf.DUMMYFUNCTION("""COMPUTED_VALUE"""),"Chrome OS")</f>
        <v>Chrome OS</v>
      </c>
      <c r="L890" s="2" t="str">
        <f ca="1">IFERROR(__xludf.DUMMYFUNCTION("""COMPUTED_VALUE"""),"1.25kg")</f>
        <v>1.25kg</v>
      </c>
      <c r="M890" s="2">
        <f ca="1">IFERROR(__xludf.DUMMYFUNCTION("""COMPUTED_VALUE"""),297)</f>
        <v>297</v>
      </c>
    </row>
    <row r="891" spans="1:13">
      <c r="A891" s="2">
        <f ca="1">IFERROR(__xludf.DUMMYFUNCTION("""COMPUTED_VALUE"""),900)</f>
        <v>900</v>
      </c>
      <c r="B891" s="2" t="str">
        <f ca="1">IFERROR(__xludf.DUMMYFUNCTION("""COMPUTED_VALUE"""),"Lenovo")</f>
        <v>Lenovo</v>
      </c>
      <c r="C891" s="2" t="str">
        <f ca="1">IFERROR(__xludf.DUMMYFUNCTION("""COMPUTED_VALUE"""),"IdeaPad 110-17ACL")</f>
        <v>IdeaPad 110-17ACL</v>
      </c>
      <c r="D891" s="2" t="str">
        <f ca="1">IFERROR(__xludf.DUMMYFUNCTION("""COMPUTED_VALUE"""),"Notebook")</f>
        <v>Notebook</v>
      </c>
      <c r="E891" s="2">
        <f ca="1">IFERROR(__xludf.DUMMYFUNCTION("""COMPUTED_VALUE"""),17.3)</f>
        <v>17.3</v>
      </c>
      <c r="F891" s="2" t="str">
        <f ca="1">IFERROR(__xludf.DUMMYFUNCTION("""COMPUTED_VALUE"""),"1600x900")</f>
        <v>1600x900</v>
      </c>
      <c r="G891" s="2" t="str">
        <f ca="1">IFERROR(__xludf.DUMMYFUNCTION("""COMPUTED_VALUE"""),"AMD A4-Series 7210 2.2GHz")</f>
        <v>AMD A4-Series 7210 2.2GHz</v>
      </c>
      <c r="H891" s="2" t="str">
        <f ca="1">IFERROR(__xludf.DUMMYFUNCTION("""COMPUTED_VALUE"""),"4GB")</f>
        <v>4GB</v>
      </c>
      <c r="I891" s="2" t="str">
        <f ca="1">IFERROR(__xludf.DUMMYFUNCTION("""COMPUTED_VALUE"""),"500GB HDD")</f>
        <v>500GB HDD</v>
      </c>
      <c r="J891" s="2" t="str">
        <f ca="1">IFERROR(__xludf.DUMMYFUNCTION("""COMPUTED_VALUE"""),"AMD Radeon R3")</f>
        <v>AMD Radeon R3</v>
      </c>
      <c r="K891" s="2" t="str">
        <f ca="1">IFERROR(__xludf.DUMMYFUNCTION("""COMPUTED_VALUE"""),"Windows 10")</f>
        <v>Windows 10</v>
      </c>
      <c r="L891" s="2" t="str">
        <f ca="1">IFERROR(__xludf.DUMMYFUNCTION("""COMPUTED_VALUE"""),"2.8kg")</f>
        <v>2.8kg</v>
      </c>
      <c r="M891" s="2">
        <f ca="1">IFERROR(__xludf.DUMMYFUNCTION("""COMPUTED_VALUE"""),379)</f>
        <v>379</v>
      </c>
    </row>
    <row r="892" spans="1:13">
      <c r="A892" s="2">
        <f ca="1">IFERROR(__xludf.DUMMYFUNCTION("""COMPUTED_VALUE"""),901)</f>
        <v>901</v>
      </c>
      <c r="B892" s="2" t="str">
        <f ca="1">IFERROR(__xludf.DUMMYFUNCTION("""COMPUTED_VALUE"""),"HP")</f>
        <v>HP</v>
      </c>
      <c r="C892" s="2" t="str">
        <f ca="1">IFERROR(__xludf.DUMMYFUNCTION("""COMPUTED_VALUE"""),"Probook 640")</f>
        <v>Probook 640</v>
      </c>
      <c r="D892" s="2" t="str">
        <f ca="1">IFERROR(__xludf.DUMMYFUNCTION("""COMPUTED_VALUE"""),"Notebook")</f>
        <v>Notebook</v>
      </c>
      <c r="E892" s="2">
        <f ca="1">IFERROR(__xludf.DUMMYFUNCTION("""COMPUTED_VALUE"""),14)</f>
        <v>14</v>
      </c>
      <c r="F892" s="2" t="str">
        <f ca="1">IFERROR(__xludf.DUMMYFUNCTION("""COMPUTED_VALUE"""),"Full HD 1920x1080")</f>
        <v>Full HD 1920x1080</v>
      </c>
      <c r="G892" s="2" t="str">
        <f ca="1">IFERROR(__xludf.DUMMYFUNCTION("""COMPUTED_VALUE"""),"Intel Core i5 7200U 2.5GHz")</f>
        <v>Intel Core i5 7200U 2.5GHz</v>
      </c>
      <c r="H892" s="2" t="str">
        <f ca="1">IFERROR(__xludf.DUMMYFUNCTION("""COMPUTED_VALUE"""),"4GB")</f>
        <v>4GB</v>
      </c>
      <c r="I892" s="2" t="str">
        <f ca="1">IFERROR(__xludf.DUMMYFUNCTION("""COMPUTED_VALUE"""),"128GB SSD")</f>
        <v>128GB SSD</v>
      </c>
      <c r="J892" s="2" t="str">
        <f ca="1">IFERROR(__xludf.DUMMYFUNCTION("""COMPUTED_VALUE"""),"Intel HD Graphics 620")</f>
        <v>Intel HD Graphics 620</v>
      </c>
      <c r="K892" s="2" t="str">
        <f ca="1">IFERROR(__xludf.DUMMYFUNCTION("""COMPUTED_VALUE"""),"Windows 10")</f>
        <v>Windows 10</v>
      </c>
      <c r="L892" s="2" t="str">
        <f ca="1">IFERROR(__xludf.DUMMYFUNCTION("""COMPUTED_VALUE"""),"1.95kg")</f>
        <v>1.95kg</v>
      </c>
      <c r="M892" s="2">
        <f ca="1">IFERROR(__xludf.DUMMYFUNCTION("""COMPUTED_VALUE"""),1265)</f>
        <v>1265</v>
      </c>
    </row>
    <row r="893" spans="1:13">
      <c r="A893" s="2">
        <f ca="1">IFERROR(__xludf.DUMMYFUNCTION("""COMPUTED_VALUE"""),902)</f>
        <v>902</v>
      </c>
      <c r="B893" s="2" t="str">
        <f ca="1">IFERROR(__xludf.DUMMYFUNCTION("""COMPUTED_VALUE"""),"HP")</f>
        <v>HP</v>
      </c>
      <c r="C893" s="2" t="str">
        <f ca="1">IFERROR(__xludf.DUMMYFUNCTION("""COMPUTED_VALUE"""),"Envy x360")</f>
        <v>Envy x360</v>
      </c>
      <c r="D893" s="2" t="str">
        <f ca="1">IFERROR(__xludf.DUMMYFUNCTION("""COMPUTED_VALUE"""),"2 in 1 Convertible")</f>
        <v>2 in 1 Convertible</v>
      </c>
      <c r="E893" s="2">
        <f ca="1">IFERROR(__xludf.DUMMYFUNCTION("""COMPUTED_VALUE"""),13.3)</f>
        <v>13.3</v>
      </c>
      <c r="F893" s="2" t="str">
        <f ca="1">IFERROR(__xludf.DUMMYFUNCTION("""COMPUTED_VALUE"""),"Quad HD+ / Touchscreen 3200x1800")</f>
        <v>Quad HD+ / Touchscreen 3200x1800</v>
      </c>
      <c r="G893" s="2" t="str">
        <f ca="1">IFERROR(__xludf.DUMMYFUNCTION("""COMPUTED_VALUE"""),"Intel Core i7 7500U 2.7GHz")</f>
        <v>Intel Core i7 7500U 2.7GHz</v>
      </c>
      <c r="H893" s="2" t="str">
        <f ca="1">IFERROR(__xludf.DUMMYFUNCTION("""COMPUTED_VALUE"""),"16GB")</f>
        <v>16GB</v>
      </c>
      <c r="I893" s="2" t="str">
        <f ca="1">IFERROR(__xludf.DUMMYFUNCTION("""COMPUTED_VALUE"""),"256GB SSD")</f>
        <v>256GB SSD</v>
      </c>
      <c r="J893" s="2" t="str">
        <f ca="1">IFERROR(__xludf.DUMMYFUNCTION("""COMPUTED_VALUE"""),"Intel HD Graphics 620")</f>
        <v>Intel HD Graphics 620</v>
      </c>
      <c r="K893" s="2" t="str">
        <f ca="1">IFERROR(__xludf.DUMMYFUNCTION("""COMPUTED_VALUE"""),"Windows 10")</f>
        <v>Windows 10</v>
      </c>
      <c r="L893" s="2" t="str">
        <f ca="1">IFERROR(__xludf.DUMMYFUNCTION("""COMPUTED_VALUE"""),"1.42kg")</f>
        <v>1.42kg</v>
      </c>
      <c r="M893" s="2">
        <f ca="1">IFERROR(__xludf.DUMMYFUNCTION("""COMPUTED_VALUE"""),1399)</f>
        <v>1399</v>
      </c>
    </row>
    <row r="894" spans="1:13">
      <c r="A894" s="2">
        <f ca="1">IFERROR(__xludf.DUMMYFUNCTION("""COMPUTED_VALUE"""),903)</f>
        <v>903</v>
      </c>
      <c r="B894" s="2" t="str">
        <f ca="1">IFERROR(__xludf.DUMMYFUNCTION("""COMPUTED_VALUE"""),"Samsung")</f>
        <v>Samsung</v>
      </c>
      <c r="C894" s="2" t="str">
        <f ca="1">IFERROR(__xludf.DUMMYFUNCTION("""COMPUTED_VALUE"""),"Notebook 9")</f>
        <v>Notebook 9</v>
      </c>
      <c r="D894" s="2" t="str">
        <f ca="1">IFERROR(__xludf.DUMMYFUNCTION("""COMPUTED_VALUE"""),"Ultrabook")</f>
        <v>Ultrabook</v>
      </c>
      <c r="E894" s="2">
        <f ca="1">IFERROR(__xludf.DUMMYFUNCTION("""COMPUTED_VALUE"""),15)</f>
        <v>15</v>
      </c>
      <c r="F894" s="2" t="str">
        <f ca="1">IFERROR(__xludf.DUMMYFUNCTION("""COMPUTED_VALUE"""),"Full HD 1920x1080")</f>
        <v>Full HD 1920x1080</v>
      </c>
      <c r="G894" s="2" t="str">
        <f ca="1">IFERROR(__xludf.DUMMYFUNCTION("""COMPUTED_VALUE"""),"Intel Core i7 7500U 2.7GHz")</f>
        <v>Intel Core i7 7500U 2.7GHz</v>
      </c>
      <c r="H894" s="2" t="str">
        <f ca="1">IFERROR(__xludf.DUMMYFUNCTION("""COMPUTED_VALUE"""),"8GB")</f>
        <v>8GB</v>
      </c>
      <c r="I894" s="2" t="str">
        <f ca="1">IFERROR(__xludf.DUMMYFUNCTION("""COMPUTED_VALUE"""),"256GB SSD")</f>
        <v>256GB SSD</v>
      </c>
      <c r="J894" s="2" t="str">
        <f ca="1">IFERROR(__xludf.DUMMYFUNCTION("""COMPUTED_VALUE"""),"Intel HD Graphics 620")</f>
        <v>Intel HD Graphics 620</v>
      </c>
      <c r="K894" s="2" t="str">
        <f ca="1">IFERROR(__xludf.DUMMYFUNCTION("""COMPUTED_VALUE"""),"Windows 10")</f>
        <v>Windows 10</v>
      </c>
      <c r="L894" s="2" t="str">
        <f ca="1">IFERROR(__xludf.DUMMYFUNCTION("""COMPUTED_VALUE"""),"1.17kg")</f>
        <v>1.17kg</v>
      </c>
      <c r="M894" s="2">
        <f ca="1">IFERROR(__xludf.DUMMYFUNCTION("""COMPUTED_VALUE"""),1699)</f>
        <v>1699</v>
      </c>
    </row>
    <row r="895" spans="1:13">
      <c r="A895" s="2">
        <f ca="1">IFERROR(__xludf.DUMMYFUNCTION("""COMPUTED_VALUE"""),904)</f>
        <v>904</v>
      </c>
      <c r="B895" s="2" t="str">
        <f ca="1">IFERROR(__xludf.DUMMYFUNCTION("""COMPUTED_VALUE"""),"Lenovo")</f>
        <v>Lenovo</v>
      </c>
      <c r="C895" s="2" t="str">
        <f ca="1">IFERROR(__xludf.DUMMYFUNCTION("""COMPUTED_VALUE"""),"ThinkPad T470s")</f>
        <v>ThinkPad T470s</v>
      </c>
      <c r="D895" s="2" t="str">
        <f ca="1">IFERROR(__xludf.DUMMYFUNCTION("""COMPUTED_VALUE"""),"Ultrabook")</f>
        <v>Ultrabook</v>
      </c>
      <c r="E895" s="2">
        <f ca="1">IFERROR(__xludf.DUMMYFUNCTION("""COMPUTED_VALUE"""),14)</f>
        <v>14</v>
      </c>
      <c r="F895" s="2" t="str">
        <f ca="1">IFERROR(__xludf.DUMMYFUNCTION("""COMPUTED_VALUE"""),"IPS Panel Full HD 1920x1080")</f>
        <v>IPS Panel Full HD 1920x1080</v>
      </c>
      <c r="G895" s="2" t="str">
        <f ca="1">IFERROR(__xludf.DUMMYFUNCTION("""COMPUTED_VALUE"""),"Intel Core i5 7200U 2.5GHz")</f>
        <v>Intel Core i5 7200U 2.5GHz</v>
      </c>
      <c r="H895" s="2" t="str">
        <f ca="1">IFERROR(__xludf.DUMMYFUNCTION("""COMPUTED_VALUE"""),"8GB")</f>
        <v>8GB</v>
      </c>
      <c r="I895" s="2" t="str">
        <f ca="1">IFERROR(__xludf.DUMMYFUNCTION("""COMPUTED_VALUE"""),"256GB SSD")</f>
        <v>256GB SSD</v>
      </c>
      <c r="J895" s="2" t="str">
        <f ca="1">IFERROR(__xludf.DUMMYFUNCTION("""COMPUTED_VALUE"""),"Intel HD Graphics 620")</f>
        <v>Intel HD Graphics 620</v>
      </c>
      <c r="K895" s="2" t="str">
        <f ca="1">IFERROR(__xludf.DUMMYFUNCTION("""COMPUTED_VALUE"""),"Windows 10")</f>
        <v>Windows 10</v>
      </c>
      <c r="L895" s="2" t="str">
        <f ca="1">IFERROR(__xludf.DUMMYFUNCTION("""COMPUTED_VALUE"""),"1.32kg")</f>
        <v>1.32kg</v>
      </c>
      <c r="M895" s="2">
        <f ca="1">IFERROR(__xludf.DUMMYFUNCTION("""COMPUTED_VALUE"""),1799)</f>
        <v>1799</v>
      </c>
    </row>
    <row r="896" spans="1:13">
      <c r="A896" s="2">
        <f ca="1">IFERROR(__xludf.DUMMYFUNCTION("""COMPUTED_VALUE"""),905)</f>
        <v>905</v>
      </c>
      <c r="B896" s="2" t="str">
        <f ca="1">IFERROR(__xludf.DUMMYFUNCTION("""COMPUTED_VALUE"""),"MSI")</f>
        <v>MSI</v>
      </c>
      <c r="C896" s="2" t="str">
        <f ca="1">IFERROR(__xludf.DUMMYFUNCTION("""COMPUTED_VALUE"""),"GS73VR Stealth")</f>
        <v>GS73VR Stealth</v>
      </c>
      <c r="D896" s="2" t="str">
        <f ca="1">IFERROR(__xludf.DUMMYFUNCTION("""COMPUTED_VALUE"""),"Gaming")</f>
        <v>Gaming</v>
      </c>
      <c r="E896" s="2">
        <f ca="1">IFERROR(__xludf.DUMMYFUNCTION("""COMPUTED_VALUE"""),17.3)</f>
        <v>17.3</v>
      </c>
      <c r="F896" s="2" t="str">
        <f ca="1">IFERROR(__xludf.DUMMYFUNCTION("""COMPUTED_VALUE"""),"IPS Panel 4K Ultra HD 3840x2160")</f>
        <v>IPS Panel 4K Ultra HD 3840x2160</v>
      </c>
      <c r="G896" s="2" t="str">
        <f ca="1">IFERROR(__xludf.DUMMYFUNCTION("""COMPUTED_VALUE"""),"Intel Core i7 6700HQ 2.6GHz")</f>
        <v>Intel Core i7 6700HQ 2.6GHz</v>
      </c>
      <c r="H896" s="2" t="str">
        <f ca="1">IFERROR(__xludf.DUMMYFUNCTION("""COMPUTED_VALUE"""),"16GB")</f>
        <v>16GB</v>
      </c>
      <c r="I896" s="2" t="str">
        <f ca="1">IFERROR(__xludf.DUMMYFUNCTION("""COMPUTED_VALUE"""),"512GB SSD +  2TB HDD")</f>
        <v>512GB SSD +  2TB HDD</v>
      </c>
      <c r="J896" s="2" t="str">
        <f ca="1">IFERROR(__xludf.DUMMYFUNCTION("""COMPUTED_VALUE"""),"Nvidia GeForce GTX 1060")</f>
        <v>Nvidia GeForce GTX 1060</v>
      </c>
      <c r="K896" s="2" t="str">
        <f ca="1">IFERROR(__xludf.DUMMYFUNCTION("""COMPUTED_VALUE"""),"Windows 10")</f>
        <v>Windows 10</v>
      </c>
      <c r="L896" s="2" t="str">
        <f ca="1">IFERROR(__xludf.DUMMYFUNCTION("""COMPUTED_VALUE"""),"2.43kg")</f>
        <v>2.43kg</v>
      </c>
      <c r="M896" s="2">
        <f ca="1">IFERROR(__xludf.DUMMYFUNCTION("""COMPUTED_VALUE"""),2649)</f>
        <v>2649</v>
      </c>
    </row>
    <row r="897" spans="1:13">
      <c r="A897" s="2">
        <f ca="1">IFERROR(__xludf.DUMMYFUNCTION("""COMPUTED_VALUE"""),906)</f>
        <v>906</v>
      </c>
      <c r="B897" s="2" t="str">
        <f ca="1">IFERROR(__xludf.DUMMYFUNCTION("""COMPUTED_VALUE"""),"Toshiba")</f>
        <v>Toshiba</v>
      </c>
      <c r="C897" s="2" t="str">
        <f ca="1">IFERROR(__xludf.DUMMYFUNCTION("""COMPUTED_VALUE"""),"Portege X30-D-10V")</f>
        <v>Portege X30-D-10V</v>
      </c>
      <c r="D897" s="2" t="str">
        <f ca="1">IFERROR(__xludf.DUMMYFUNCTION("""COMPUTED_VALUE"""),"Notebook")</f>
        <v>Notebook</v>
      </c>
      <c r="E897" s="2">
        <f ca="1">IFERROR(__xludf.DUMMYFUNCTION("""COMPUTED_VALUE"""),13.3)</f>
        <v>13.3</v>
      </c>
      <c r="F897" s="2" t="str">
        <f ca="1">IFERROR(__xludf.DUMMYFUNCTION("""COMPUTED_VALUE"""),"Full HD 1920x1080")</f>
        <v>Full HD 1920x1080</v>
      </c>
      <c r="G897" s="2" t="str">
        <f ca="1">IFERROR(__xludf.DUMMYFUNCTION("""COMPUTED_VALUE"""),"Intel Core i5 7200U 2.5GHz")</f>
        <v>Intel Core i5 7200U 2.5GHz</v>
      </c>
      <c r="H897" s="2" t="str">
        <f ca="1">IFERROR(__xludf.DUMMYFUNCTION("""COMPUTED_VALUE"""),"8GB")</f>
        <v>8GB</v>
      </c>
      <c r="I897" s="2" t="str">
        <f ca="1">IFERROR(__xludf.DUMMYFUNCTION("""COMPUTED_VALUE"""),"256GB SSD")</f>
        <v>256GB SSD</v>
      </c>
      <c r="J897" s="2" t="str">
        <f ca="1">IFERROR(__xludf.DUMMYFUNCTION("""COMPUTED_VALUE"""),"Intel HD Graphics 620")</f>
        <v>Intel HD Graphics 620</v>
      </c>
      <c r="K897" s="2" t="str">
        <f ca="1">IFERROR(__xludf.DUMMYFUNCTION("""COMPUTED_VALUE"""),"Windows 10")</f>
        <v>Windows 10</v>
      </c>
      <c r="L897" s="2" t="str">
        <f ca="1">IFERROR(__xludf.DUMMYFUNCTION("""COMPUTED_VALUE"""),"1.05kg")</f>
        <v>1.05kg</v>
      </c>
      <c r="M897" s="2">
        <f ca="1">IFERROR(__xludf.DUMMYFUNCTION("""COMPUTED_VALUE"""),1475)</f>
        <v>1475</v>
      </c>
    </row>
    <row r="898" spans="1:13">
      <c r="A898" s="2">
        <f ca="1">IFERROR(__xludf.DUMMYFUNCTION("""COMPUTED_VALUE"""),908)</f>
        <v>908</v>
      </c>
      <c r="B898" s="2" t="str">
        <f ca="1">IFERROR(__xludf.DUMMYFUNCTION("""COMPUTED_VALUE"""),"Dell")</f>
        <v>Dell</v>
      </c>
      <c r="C898" s="2" t="str">
        <f ca="1">IFERROR(__xludf.DUMMYFUNCTION("""COMPUTED_VALUE"""),"Inspiron 7567")</f>
        <v>Inspiron 7567</v>
      </c>
      <c r="D898" s="2" t="str">
        <f ca="1">IFERROR(__xludf.DUMMYFUNCTION("""COMPUTED_VALUE"""),"Gaming")</f>
        <v>Gaming</v>
      </c>
      <c r="E898" s="2">
        <f ca="1">IFERROR(__xludf.DUMMYFUNCTION("""COMPUTED_VALUE"""),15.6)</f>
        <v>15.6</v>
      </c>
      <c r="F898" s="2" t="str">
        <f ca="1">IFERROR(__xludf.DUMMYFUNCTION("""COMPUTED_VALUE"""),"Full HD 1920x1080")</f>
        <v>Full HD 1920x1080</v>
      </c>
      <c r="G898" s="2" t="str">
        <f ca="1">IFERROR(__xludf.DUMMYFUNCTION("""COMPUTED_VALUE"""),"Intel Core i7 7700HQ 2.8GHz")</f>
        <v>Intel Core i7 7700HQ 2.8GHz</v>
      </c>
      <c r="H898" s="2" t="str">
        <f ca="1">IFERROR(__xludf.DUMMYFUNCTION("""COMPUTED_VALUE"""),"8GB")</f>
        <v>8GB</v>
      </c>
      <c r="I898" s="2" t="str">
        <f ca="1">IFERROR(__xludf.DUMMYFUNCTION("""COMPUTED_VALUE"""),"1TB HDD")</f>
        <v>1TB HDD</v>
      </c>
      <c r="J898" s="2" t="str">
        <f ca="1">IFERROR(__xludf.DUMMYFUNCTION("""COMPUTED_VALUE"""),"Nvidia GeForce GTX 1050Ti")</f>
        <v>Nvidia GeForce GTX 1050Ti</v>
      </c>
      <c r="K898" s="2" t="str">
        <f ca="1">IFERROR(__xludf.DUMMYFUNCTION("""COMPUTED_VALUE"""),"Linux")</f>
        <v>Linux</v>
      </c>
      <c r="L898" s="2" t="str">
        <f ca="1">IFERROR(__xludf.DUMMYFUNCTION("""COMPUTED_VALUE"""),"2.62kg")</f>
        <v>2.62kg</v>
      </c>
      <c r="M898" s="2">
        <f ca="1">IFERROR(__xludf.DUMMYFUNCTION("""COMPUTED_VALUE"""),929)</f>
        <v>929</v>
      </c>
    </row>
    <row r="899" spans="1:13">
      <c r="A899" s="2">
        <f ca="1">IFERROR(__xludf.DUMMYFUNCTION("""COMPUTED_VALUE"""),909)</f>
        <v>909</v>
      </c>
      <c r="B899" s="2" t="str">
        <f ca="1">IFERROR(__xludf.DUMMYFUNCTION("""COMPUTED_VALUE"""),"HP")</f>
        <v>HP</v>
      </c>
      <c r="C899" s="2" t="str">
        <f ca="1">IFERROR(__xludf.DUMMYFUNCTION("""COMPUTED_VALUE"""),"ProBook 450")</f>
        <v>ProBook 450</v>
      </c>
      <c r="D899" s="2" t="str">
        <f ca="1">IFERROR(__xludf.DUMMYFUNCTION("""COMPUTED_VALUE"""),"Notebook")</f>
        <v>Notebook</v>
      </c>
      <c r="E899" s="2">
        <f ca="1">IFERROR(__xludf.DUMMYFUNCTION("""COMPUTED_VALUE"""),15.6)</f>
        <v>15.6</v>
      </c>
      <c r="F899" s="2" t="str">
        <f ca="1">IFERROR(__xludf.DUMMYFUNCTION("""COMPUTED_VALUE"""),"Full HD 1920x1080")</f>
        <v>Full HD 1920x1080</v>
      </c>
      <c r="G899" s="2" t="str">
        <f ca="1">IFERROR(__xludf.DUMMYFUNCTION("""COMPUTED_VALUE"""),"Intel Core i7 7500U 2.7GHz")</f>
        <v>Intel Core i7 7500U 2.7GHz</v>
      </c>
      <c r="H899" s="2" t="str">
        <f ca="1">IFERROR(__xludf.DUMMYFUNCTION("""COMPUTED_VALUE"""),"8GB")</f>
        <v>8GB</v>
      </c>
      <c r="I899" s="2" t="str">
        <f ca="1">IFERROR(__xludf.DUMMYFUNCTION("""COMPUTED_VALUE"""),"1TB HDD")</f>
        <v>1TB HDD</v>
      </c>
      <c r="J899" s="2" t="str">
        <f ca="1">IFERROR(__xludf.DUMMYFUNCTION("""COMPUTED_VALUE"""),"Nvidia GeForce 930MX")</f>
        <v>Nvidia GeForce 930MX</v>
      </c>
      <c r="K899" s="2" t="str">
        <f ca="1">IFERROR(__xludf.DUMMYFUNCTION("""COMPUTED_VALUE"""),"Windows 10")</f>
        <v>Windows 10</v>
      </c>
      <c r="L899" s="2" t="str">
        <f ca="1">IFERROR(__xludf.DUMMYFUNCTION("""COMPUTED_VALUE"""),"2.04kg")</f>
        <v>2.04kg</v>
      </c>
      <c r="M899" s="2">
        <f ca="1">IFERROR(__xludf.DUMMYFUNCTION("""COMPUTED_VALUE"""),900)</f>
        <v>900</v>
      </c>
    </row>
    <row r="900" spans="1:13">
      <c r="A900" s="2">
        <f ca="1">IFERROR(__xludf.DUMMYFUNCTION("""COMPUTED_VALUE"""),910)</f>
        <v>910</v>
      </c>
      <c r="B900" s="2" t="str">
        <f ca="1">IFERROR(__xludf.DUMMYFUNCTION("""COMPUTED_VALUE"""),"Dell")</f>
        <v>Dell</v>
      </c>
      <c r="C900" s="2" t="str">
        <f ca="1">IFERROR(__xludf.DUMMYFUNCTION("""COMPUTED_VALUE"""),"Vostro 3568")</f>
        <v>Vostro 3568</v>
      </c>
      <c r="D900" s="2" t="str">
        <f ca="1">IFERROR(__xludf.DUMMYFUNCTION("""COMPUTED_VALUE"""),"Notebook")</f>
        <v>Notebook</v>
      </c>
      <c r="E900" s="2">
        <f ca="1">IFERROR(__xludf.DUMMYFUNCTION("""COMPUTED_VALUE"""),15.6)</f>
        <v>15.6</v>
      </c>
      <c r="F900" s="2" t="str">
        <f ca="1">IFERROR(__xludf.DUMMYFUNCTION("""COMPUTED_VALUE"""),"1366x768")</f>
        <v>1366x768</v>
      </c>
      <c r="G900" s="2" t="str">
        <f ca="1">IFERROR(__xludf.DUMMYFUNCTION("""COMPUTED_VALUE"""),"Intel Core i3 6006U 2.0GHz")</f>
        <v>Intel Core i3 6006U 2.0GHz</v>
      </c>
      <c r="H900" s="2" t="str">
        <f ca="1">IFERROR(__xludf.DUMMYFUNCTION("""COMPUTED_VALUE"""),"4GB")</f>
        <v>4GB</v>
      </c>
      <c r="I900" s="2" t="str">
        <f ca="1">IFERROR(__xludf.DUMMYFUNCTION("""COMPUTED_VALUE"""),"1TB HDD")</f>
        <v>1TB HDD</v>
      </c>
      <c r="J900" s="2" t="str">
        <f ca="1">IFERROR(__xludf.DUMMYFUNCTION("""COMPUTED_VALUE"""),"AMD Radeon R5 M420X")</f>
        <v>AMD Radeon R5 M420X</v>
      </c>
      <c r="K900" s="2" t="str">
        <f ca="1">IFERROR(__xludf.DUMMYFUNCTION("""COMPUTED_VALUE"""),"Windows 10")</f>
        <v>Windows 10</v>
      </c>
      <c r="L900" s="2" t="str">
        <f ca="1">IFERROR(__xludf.DUMMYFUNCTION("""COMPUTED_VALUE"""),"2.18kg")</f>
        <v>2.18kg</v>
      </c>
      <c r="M900" s="2">
        <f ca="1">IFERROR(__xludf.DUMMYFUNCTION("""COMPUTED_VALUE"""),614)</f>
        <v>614</v>
      </c>
    </row>
    <row r="901" spans="1:13">
      <c r="A901" s="2">
        <f ca="1">IFERROR(__xludf.DUMMYFUNCTION("""COMPUTED_VALUE"""),911)</f>
        <v>911</v>
      </c>
      <c r="B901" s="2" t="str">
        <f ca="1">IFERROR(__xludf.DUMMYFUNCTION("""COMPUTED_VALUE"""),"Dell")</f>
        <v>Dell</v>
      </c>
      <c r="C901" s="2" t="str">
        <f ca="1">IFERROR(__xludf.DUMMYFUNCTION("""COMPUTED_VALUE"""),"Latitude 5580")</f>
        <v>Latitude 5580</v>
      </c>
      <c r="D901" s="2" t="str">
        <f ca="1">IFERROR(__xludf.DUMMYFUNCTION("""COMPUTED_VALUE"""),"Notebook")</f>
        <v>Notebook</v>
      </c>
      <c r="E901" s="2">
        <f ca="1">IFERROR(__xludf.DUMMYFUNCTION("""COMPUTED_VALUE"""),15.6)</f>
        <v>15.6</v>
      </c>
      <c r="F901" s="2" t="str">
        <f ca="1">IFERROR(__xludf.DUMMYFUNCTION("""COMPUTED_VALUE"""),"Full HD 1920x1080")</f>
        <v>Full HD 1920x1080</v>
      </c>
      <c r="G901" s="2" t="str">
        <f ca="1">IFERROR(__xludf.DUMMYFUNCTION("""COMPUTED_VALUE"""),"Intel Core i5 7300U 2.6GHz")</f>
        <v>Intel Core i5 7300U 2.6GHz</v>
      </c>
      <c r="H901" s="2" t="str">
        <f ca="1">IFERROR(__xludf.DUMMYFUNCTION("""COMPUTED_VALUE"""),"8GB")</f>
        <v>8GB</v>
      </c>
      <c r="I901" s="2" t="str">
        <f ca="1">IFERROR(__xludf.DUMMYFUNCTION("""COMPUTED_VALUE"""),"500GB HDD")</f>
        <v>500GB HDD</v>
      </c>
      <c r="J901" s="2" t="str">
        <f ca="1">IFERROR(__xludf.DUMMYFUNCTION("""COMPUTED_VALUE"""),"Intel HD Graphics 620")</f>
        <v>Intel HD Graphics 620</v>
      </c>
      <c r="K901" s="2" t="str">
        <f ca="1">IFERROR(__xludf.DUMMYFUNCTION("""COMPUTED_VALUE"""),"Windows 10")</f>
        <v>Windows 10</v>
      </c>
      <c r="L901" s="2" t="str">
        <f ca="1">IFERROR(__xludf.DUMMYFUNCTION("""COMPUTED_VALUE"""),"1.9kg")</f>
        <v>1.9kg</v>
      </c>
      <c r="M901" s="2">
        <f ca="1">IFERROR(__xludf.DUMMYFUNCTION("""COMPUTED_VALUE"""),935)</f>
        <v>935</v>
      </c>
    </row>
    <row r="902" spans="1:13">
      <c r="A902" s="2">
        <f ca="1">IFERROR(__xludf.DUMMYFUNCTION("""COMPUTED_VALUE"""),912)</f>
        <v>912</v>
      </c>
      <c r="B902" s="2" t="str">
        <f ca="1">IFERROR(__xludf.DUMMYFUNCTION("""COMPUTED_VALUE"""),"Dell")</f>
        <v>Dell</v>
      </c>
      <c r="C902" s="2" t="str">
        <f ca="1">IFERROR(__xludf.DUMMYFUNCTION("""COMPUTED_VALUE"""),"XPS 13")</f>
        <v>XPS 13</v>
      </c>
      <c r="D902" s="2" t="str">
        <f ca="1">IFERROR(__xludf.DUMMYFUNCTION("""COMPUTED_VALUE"""),"2 in 1 Convertible")</f>
        <v>2 in 1 Convertible</v>
      </c>
      <c r="E902" s="2">
        <f ca="1">IFERROR(__xludf.DUMMYFUNCTION("""COMPUTED_VALUE"""),13.3)</f>
        <v>13.3</v>
      </c>
      <c r="F902" s="2" t="str">
        <f ca="1">IFERROR(__xludf.DUMMYFUNCTION("""COMPUTED_VALUE"""),"Quad HD+ / Touchscreen 3200x1800")</f>
        <v>Quad HD+ / Touchscreen 3200x1800</v>
      </c>
      <c r="G902" s="2" t="str">
        <f ca="1">IFERROR(__xludf.DUMMYFUNCTION("""COMPUTED_VALUE"""),"Intel Core i7 7Y75 1.3GHz")</f>
        <v>Intel Core i7 7Y75 1.3GHz</v>
      </c>
      <c r="H902" s="2" t="str">
        <f ca="1">IFERROR(__xludf.DUMMYFUNCTION("""COMPUTED_VALUE"""),"8GB")</f>
        <v>8GB</v>
      </c>
      <c r="I902" s="2" t="str">
        <f ca="1">IFERROR(__xludf.DUMMYFUNCTION("""COMPUTED_VALUE"""),"512GB SSD")</f>
        <v>512GB SSD</v>
      </c>
      <c r="J902" s="2" t="str">
        <f ca="1">IFERROR(__xludf.DUMMYFUNCTION("""COMPUTED_VALUE"""),"Intel HD Graphics 615")</f>
        <v>Intel HD Graphics 615</v>
      </c>
      <c r="K902" s="2" t="str">
        <f ca="1">IFERROR(__xludf.DUMMYFUNCTION("""COMPUTED_VALUE"""),"Windows 10")</f>
        <v>Windows 10</v>
      </c>
      <c r="L902" s="2" t="str">
        <f ca="1">IFERROR(__xludf.DUMMYFUNCTION("""COMPUTED_VALUE"""),"1.24kg")</f>
        <v>1.24kg</v>
      </c>
      <c r="M902" s="2">
        <f ca="1">IFERROR(__xludf.DUMMYFUNCTION("""COMPUTED_VALUE"""),2013.1)</f>
        <v>2013.1</v>
      </c>
    </row>
    <row r="903" spans="1:13">
      <c r="A903" s="2">
        <f ca="1">IFERROR(__xludf.DUMMYFUNCTION("""COMPUTED_VALUE"""),913)</f>
        <v>913</v>
      </c>
      <c r="B903" s="2" t="str">
        <f ca="1">IFERROR(__xludf.DUMMYFUNCTION("""COMPUTED_VALUE"""),"Asus")</f>
        <v>Asus</v>
      </c>
      <c r="C903" s="2" t="str">
        <f ca="1">IFERROR(__xludf.DUMMYFUNCTION("""COMPUTED_VALUE"""),"G701VO-IH74K (i7-6820HK/32GB/2x")</f>
        <v>G701VO-IH74K (i7-6820HK/32GB/2x</v>
      </c>
      <c r="D903" s="2" t="str">
        <f ca="1">IFERROR(__xludf.DUMMYFUNCTION("""COMPUTED_VALUE"""),"Gaming")</f>
        <v>Gaming</v>
      </c>
      <c r="E903" s="2">
        <f ca="1">IFERROR(__xludf.DUMMYFUNCTION("""COMPUTED_VALUE"""),17.3)</f>
        <v>17.3</v>
      </c>
      <c r="F903" s="2" t="str">
        <f ca="1">IFERROR(__xludf.DUMMYFUNCTION("""COMPUTED_VALUE"""),"IPS Panel Full HD 1920x1080")</f>
        <v>IPS Panel Full HD 1920x1080</v>
      </c>
      <c r="G903" s="2" t="str">
        <f ca="1">IFERROR(__xludf.DUMMYFUNCTION("""COMPUTED_VALUE"""),"Intel Core i7 6820HK 2.7GHz")</f>
        <v>Intel Core i7 6820HK 2.7GHz</v>
      </c>
      <c r="H903" s="2" t="str">
        <f ca="1">IFERROR(__xludf.DUMMYFUNCTION("""COMPUTED_VALUE"""),"32GB")</f>
        <v>32GB</v>
      </c>
      <c r="I903" s="2" t="str">
        <f ca="1">IFERROR(__xludf.DUMMYFUNCTION("""COMPUTED_VALUE"""),"256GB SSD +  256GB SSD")</f>
        <v>256GB SSD +  256GB SSD</v>
      </c>
      <c r="J903" s="2" t="str">
        <f ca="1">IFERROR(__xludf.DUMMYFUNCTION("""COMPUTED_VALUE"""),"Nvidia GeForce GTX 980M")</f>
        <v>Nvidia GeForce GTX 980M</v>
      </c>
      <c r="K903" s="2" t="str">
        <f ca="1">IFERROR(__xludf.DUMMYFUNCTION("""COMPUTED_VALUE"""),"Windows 10")</f>
        <v>Windows 10</v>
      </c>
      <c r="L903" s="2" t="str">
        <f ca="1">IFERROR(__xludf.DUMMYFUNCTION("""COMPUTED_VALUE"""),"3.58kg")</f>
        <v>3.58kg</v>
      </c>
      <c r="M903" s="2">
        <f ca="1">IFERROR(__xludf.DUMMYFUNCTION("""COMPUTED_VALUE"""),1279)</f>
        <v>1279</v>
      </c>
    </row>
    <row r="904" spans="1:13">
      <c r="A904" s="2">
        <f ca="1">IFERROR(__xludf.DUMMYFUNCTION("""COMPUTED_VALUE"""),914)</f>
        <v>914</v>
      </c>
      <c r="B904" s="2" t="str">
        <f ca="1">IFERROR(__xludf.DUMMYFUNCTION("""COMPUTED_VALUE"""),"Dell")</f>
        <v>Dell</v>
      </c>
      <c r="C904" s="2" t="str">
        <f ca="1">IFERROR(__xludf.DUMMYFUNCTION("""COMPUTED_VALUE"""),"XPS 13")</f>
        <v>XPS 13</v>
      </c>
      <c r="D904" s="2" t="str">
        <f ca="1">IFERROR(__xludf.DUMMYFUNCTION("""COMPUTED_VALUE"""),"2 in 1 Convertible")</f>
        <v>2 in 1 Convertible</v>
      </c>
      <c r="E904" s="2">
        <f ca="1">IFERROR(__xludf.DUMMYFUNCTION("""COMPUTED_VALUE"""),13.3)</f>
        <v>13.3</v>
      </c>
      <c r="F904" s="2" t="str">
        <f ca="1">IFERROR(__xludf.DUMMYFUNCTION("""COMPUTED_VALUE"""),"Full HD / Touchscreen 1920x1080")</f>
        <v>Full HD / Touchscreen 1920x1080</v>
      </c>
      <c r="G904" s="2" t="str">
        <f ca="1">IFERROR(__xludf.DUMMYFUNCTION("""COMPUTED_VALUE"""),"Intel Core i7 7Y75 1.3GHz")</f>
        <v>Intel Core i7 7Y75 1.3GHz</v>
      </c>
      <c r="H904" s="2" t="str">
        <f ca="1">IFERROR(__xludf.DUMMYFUNCTION("""COMPUTED_VALUE"""),"16GB")</f>
        <v>16GB</v>
      </c>
      <c r="I904" s="2" t="str">
        <f ca="1">IFERROR(__xludf.DUMMYFUNCTION("""COMPUTED_VALUE"""),"256GB SSD")</f>
        <v>256GB SSD</v>
      </c>
      <c r="J904" s="2" t="str">
        <f ca="1">IFERROR(__xludf.DUMMYFUNCTION("""COMPUTED_VALUE"""),"Intel HD Graphics 615")</f>
        <v>Intel HD Graphics 615</v>
      </c>
      <c r="K904" s="2" t="str">
        <f ca="1">IFERROR(__xludf.DUMMYFUNCTION("""COMPUTED_VALUE"""),"Windows 10")</f>
        <v>Windows 10</v>
      </c>
      <c r="L904" s="2" t="str">
        <f ca="1">IFERROR(__xludf.DUMMYFUNCTION("""COMPUTED_VALUE"""),"1.22kg")</f>
        <v>1.22kg</v>
      </c>
      <c r="M904" s="2">
        <f ca="1">IFERROR(__xludf.DUMMYFUNCTION("""COMPUTED_VALUE"""),1649)</f>
        <v>1649</v>
      </c>
    </row>
    <row r="905" spans="1:13">
      <c r="A905" s="2">
        <f ca="1">IFERROR(__xludf.DUMMYFUNCTION("""COMPUTED_VALUE"""),915)</f>
        <v>915</v>
      </c>
      <c r="B905" s="2" t="str">
        <f ca="1">IFERROR(__xludf.DUMMYFUNCTION("""COMPUTED_VALUE"""),"Lenovo")</f>
        <v>Lenovo</v>
      </c>
      <c r="C905" s="2" t="str">
        <f ca="1">IFERROR(__xludf.DUMMYFUNCTION("""COMPUTED_VALUE"""),"ThinkPad X1")</f>
        <v>ThinkPad X1</v>
      </c>
      <c r="D905" s="2" t="str">
        <f ca="1">IFERROR(__xludf.DUMMYFUNCTION("""COMPUTED_VALUE"""),"Ultrabook")</f>
        <v>Ultrabook</v>
      </c>
      <c r="E905" s="2">
        <f ca="1">IFERROR(__xludf.DUMMYFUNCTION("""COMPUTED_VALUE"""),14)</f>
        <v>14</v>
      </c>
      <c r="F905" s="2" t="str">
        <f ca="1">IFERROR(__xludf.DUMMYFUNCTION("""COMPUTED_VALUE"""),"IPS Panel Full HD 1920x1080")</f>
        <v>IPS Panel Full HD 1920x1080</v>
      </c>
      <c r="G905" s="2" t="str">
        <f ca="1">IFERROR(__xludf.DUMMYFUNCTION("""COMPUTED_VALUE"""),"Intel Core i7 7500U 2.7GHz")</f>
        <v>Intel Core i7 7500U 2.7GHz</v>
      </c>
      <c r="H905" s="2" t="str">
        <f ca="1">IFERROR(__xludf.DUMMYFUNCTION("""COMPUTED_VALUE"""),"8GB")</f>
        <v>8GB</v>
      </c>
      <c r="I905" s="2" t="str">
        <f ca="1">IFERROR(__xludf.DUMMYFUNCTION("""COMPUTED_VALUE"""),"256GB Flash Storage")</f>
        <v>256GB Flash Storage</v>
      </c>
      <c r="J905" s="2" t="str">
        <f ca="1">IFERROR(__xludf.DUMMYFUNCTION("""COMPUTED_VALUE"""),"Intel HD Graphics 620")</f>
        <v>Intel HD Graphics 620</v>
      </c>
      <c r="K905" s="2" t="str">
        <f ca="1">IFERROR(__xludf.DUMMYFUNCTION("""COMPUTED_VALUE"""),"Windows 10")</f>
        <v>Windows 10</v>
      </c>
      <c r="L905" s="2" t="str">
        <f ca="1">IFERROR(__xludf.DUMMYFUNCTION("""COMPUTED_VALUE"""),"1.13kg")</f>
        <v>1.13kg</v>
      </c>
      <c r="M905" s="2">
        <f ca="1">IFERROR(__xludf.DUMMYFUNCTION("""COMPUTED_VALUE"""),2049)</f>
        <v>2049</v>
      </c>
    </row>
    <row r="906" spans="1:13">
      <c r="A906" s="2">
        <f ca="1">IFERROR(__xludf.DUMMYFUNCTION("""COMPUTED_VALUE"""),916)</f>
        <v>916</v>
      </c>
      <c r="B906" s="2" t="str">
        <f ca="1">IFERROR(__xludf.DUMMYFUNCTION("""COMPUTED_VALUE"""),"Lenovo")</f>
        <v>Lenovo</v>
      </c>
      <c r="C906" s="2" t="str">
        <f ca="1">IFERROR(__xludf.DUMMYFUNCTION("""COMPUTED_VALUE"""),"ThinkPad T570")</f>
        <v>ThinkPad T570</v>
      </c>
      <c r="D906" s="2" t="str">
        <f ca="1">IFERROR(__xludf.DUMMYFUNCTION("""COMPUTED_VALUE"""),"Notebook")</f>
        <v>Notebook</v>
      </c>
      <c r="E906" s="2">
        <f ca="1">IFERROR(__xludf.DUMMYFUNCTION("""COMPUTED_VALUE"""),15.6)</f>
        <v>15.6</v>
      </c>
      <c r="F906" s="2" t="str">
        <f ca="1">IFERROR(__xludf.DUMMYFUNCTION("""COMPUTED_VALUE"""),"IPS Panel Full HD 1920x1080")</f>
        <v>IPS Panel Full HD 1920x1080</v>
      </c>
      <c r="G906" s="2" t="str">
        <f ca="1">IFERROR(__xludf.DUMMYFUNCTION("""COMPUTED_VALUE"""),"Intel Core i5 7200U 2.5GHz")</f>
        <v>Intel Core i5 7200U 2.5GHz</v>
      </c>
      <c r="H906" s="2" t="str">
        <f ca="1">IFERROR(__xludf.DUMMYFUNCTION("""COMPUTED_VALUE"""),"8GB")</f>
        <v>8GB</v>
      </c>
      <c r="I906" s="2" t="str">
        <f ca="1">IFERROR(__xludf.DUMMYFUNCTION("""COMPUTED_VALUE"""),"512GB SSD")</f>
        <v>512GB SSD</v>
      </c>
      <c r="J906" s="2" t="str">
        <f ca="1">IFERROR(__xludf.DUMMYFUNCTION("""COMPUTED_VALUE"""),"Intel HD Graphics 620")</f>
        <v>Intel HD Graphics 620</v>
      </c>
      <c r="K906" s="2" t="str">
        <f ca="1">IFERROR(__xludf.DUMMYFUNCTION("""COMPUTED_VALUE"""),"Windows 10")</f>
        <v>Windows 10</v>
      </c>
      <c r="L906" s="2" t="str">
        <f ca="1">IFERROR(__xludf.DUMMYFUNCTION("""COMPUTED_VALUE"""),"1.95kg")</f>
        <v>1.95kg</v>
      </c>
      <c r="M906" s="2">
        <f ca="1">IFERROR(__xludf.DUMMYFUNCTION("""COMPUTED_VALUE"""),1962.99)</f>
        <v>1962.99</v>
      </c>
    </row>
    <row r="907" spans="1:13">
      <c r="A907" s="2">
        <f ca="1">IFERROR(__xludf.DUMMYFUNCTION("""COMPUTED_VALUE"""),917)</f>
        <v>917</v>
      </c>
      <c r="B907" s="2" t="str">
        <f ca="1">IFERROR(__xludf.DUMMYFUNCTION("""COMPUTED_VALUE"""),"LG")</f>
        <v>LG</v>
      </c>
      <c r="C907" s="2" t="str">
        <f ca="1">IFERROR(__xludf.DUMMYFUNCTION("""COMPUTED_VALUE"""),"Gram 15Z970")</f>
        <v>Gram 15Z970</v>
      </c>
      <c r="D907" s="2" t="str">
        <f ca="1">IFERROR(__xludf.DUMMYFUNCTION("""COMPUTED_VALUE"""),"Ultrabook")</f>
        <v>Ultrabook</v>
      </c>
      <c r="E907" s="2">
        <f ca="1">IFERROR(__xludf.DUMMYFUNCTION("""COMPUTED_VALUE"""),15.6)</f>
        <v>15.6</v>
      </c>
      <c r="F907" s="2" t="str">
        <f ca="1">IFERROR(__xludf.DUMMYFUNCTION("""COMPUTED_VALUE"""),"IPS Panel Full HD / Touchscreen 1920x1080")</f>
        <v>IPS Panel Full HD / Touchscreen 1920x1080</v>
      </c>
      <c r="G907" s="2" t="str">
        <f ca="1">IFERROR(__xludf.DUMMYFUNCTION("""COMPUTED_VALUE"""),"Intel Core i7 7500U 2.7GHz")</f>
        <v>Intel Core i7 7500U 2.7GHz</v>
      </c>
      <c r="H907" s="2" t="str">
        <f ca="1">IFERROR(__xludf.DUMMYFUNCTION("""COMPUTED_VALUE"""),"16GB")</f>
        <v>16GB</v>
      </c>
      <c r="I907" s="2" t="str">
        <f ca="1">IFERROR(__xludf.DUMMYFUNCTION("""COMPUTED_VALUE"""),"512GB SSD")</f>
        <v>512GB SSD</v>
      </c>
      <c r="J907" s="2" t="str">
        <f ca="1">IFERROR(__xludf.DUMMYFUNCTION("""COMPUTED_VALUE"""),"Intel HD Graphics 620")</f>
        <v>Intel HD Graphics 620</v>
      </c>
      <c r="K907" s="2" t="str">
        <f ca="1">IFERROR(__xludf.DUMMYFUNCTION("""COMPUTED_VALUE"""),"Windows 10")</f>
        <v>Windows 10</v>
      </c>
      <c r="L907" s="2" t="str">
        <f ca="1">IFERROR(__xludf.DUMMYFUNCTION("""COMPUTED_VALUE"""),"1.08kg")</f>
        <v>1.08kg</v>
      </c>
      <c r="M907" s="2">
        <f ca="1">IFERROR(__xludf.DUMMYFUNCTION("""COMPUTED_VALUE"""),2099)</f>
        <v>2099</v>
      </c>
    </row>
    <row r="908" spans="1:13">
      <c r="A908" s="2">
        <f ca="1">IFERROR(__xludf.DUMMYFUNCTION("""COMPUTED_VALUE"""),918)</f>
        <v>918</v>
      </c>
      <c r="B908" s="2" t="str">
        <f ca="1">IFERROR(__xludf.DUMMYFUNCTION("""COMPUTED_VALUE"""),"HP")</f>
        <v>HP</v>
      </c>
      <c r="C908" s="2" t="str">
        <f ca="1">IFERROR(__xludf.DUMMYFUNCTION("""COMPUTED_VALUE"""),"Elitebook 820")</f>
        <v>Elitebook 820</v>
      </c>
      <c r="D908" s="2" t="str">
        <f ca="1">IFERROR(__xludf.DUMMYFUNCTION("""COMPUTED_VALUE"""),"Netbook")</f>
        <v>Netbook</v>
      </c>
      <c r="E908" s="2">
        <f ca="1">IFERROR(__xludf.DUMMYFUNCTION("""COMPUTED_VALUE"""),12.5)</f>
        <v>12.5</v>
      </c>
      <c r="F908" s="2" t="str">
        <f ca="1">IFERROR(__xludf.DUMMYFUNCTION("""COMPUTED_VALUE"""),"Full HD 1920x1080")</f>
        <v>Full HD 1920x1080</v>
      </c>
      <c r="G908" s="2" t="str">
        <f ca="1">IFERROR(__xludf.DUMMYFUNCTION("""COMPUTED_VALUE"""),"Intel Core i7 7500U 2.7GHz")</f>
        <v>Intel Core i7 7500U 2.7GHz</v>
      </c>
      <c r="H908" s="2" t="str">
        <f ca="1">IFERROR(__xludf.DUMMYFUNCTION("""COMPUTED_VALUE"""),"8GB")</f>
        <v>8GB</v>
      </c>
      <c r="I908" s="2" t="str">
        <f ca="1">IFERROR(__xludf.DUMMYFUNCTION("""COMPUTED_VALUE"""),"512GB SSD")</f>
        <v>512GB SSD</v>
      </c>
      <c r="J908" s="2" t="str">
        <f ca="1">IFERROR(__xludf.DUMMYFUNCTION("""COMPUTED_VALUE"""),"Intel HD Graphics 620")</f>
        <v>Intel HD Graphics 620</v>
      </c>
      <c r="K908" s="2" t="str">
        <f ca="1">IFERROR(__xludf.DUMMYFUNCTION("""COMPUTED_VALUE"""),"Windows 10")</f>
        <v>Windows 10</v>
      </c>
      <c r="L908" s="2" t="str">
        <f ca="1">IFERROR(__xludf.DUMMYFUNCTION("""COMPUTED_VALUE"""),"1.26kg")</f>
        <v>1.26kg</v>
      </c>
      <c r="M908" s="2">
        <f ca="1">IFERROR(__xludf.DUMMYFUNCTION("""COMPUTED_VALUE"""),1483)</f>
        <v>1483</v>
      </c>
    </row>
    <row r="909" spans="1:13">
      <c r="A909" s="2">
        <f ca="1">IFERROR(__xludf.DUMMYFUNCTION("""COMPUTED_VALUE"""),919)</f>
        <v>919</v>
      </c>
      <c r="B909" s="2" t="str">
        <f ca="1">IFERROR(__xludf.DUMMYFUNCTION("""COMPUTED_VALUE"""),"Acer")</f>
        <v>Acer</v>
      </c>
      <c r="C909" s="2" t="str">
        <f ca="1">IFERROR(__xludf.DUMMYFUNCTION("""COMPUTED_VALUE"""),"Chromebook CB5-571-C1DZ")</f>
        <v>Chromebook CB5-571-C1DZ</v>
      </c>
      <c r="D909" s="2" t="str">
        <f ca="1">IFERROR(__xludf.DUMMYFUNCTION("""COMPUTED_VALUE"""),"Notebook")</f>
        <v>Notebook</v>
      </c>
      <c r="E909" s="2">
        <f ca="1">IFERROR(__xludf.DUMMYFUNCTION("""COMPUTED_VALUE"""),15.6)</f>
        <v>15.6</v>
      </c>
      <c r="F909" s="2" t="str">
        <f ca="1">IFERROR(__xludf.DUMMYFUNCTION("""COMPUTED_VALUE"""),"IPS Panel Full HD 1920x1080")</f>
        <v>IPS Panel Full HD 1920x1080</v>
      </c>
      <c r="G909" s="2" t="str">
        <f ca="1">IFERROR(__xludf.DUMMYFUNCTION("""COMPUTED_VALUE"""),"Intel Celeron Dual Core 3205U 1.5GHz")</f>
        <v>Intel Celeron Dual Core 3205U 1.5GHz</v>
      </c>
      <c r="H909" s="2" t="str">
        <f ca="1">IFERROR(__xludf.DUMMYFUNCTION("""COMPUTED_VALUE"""),"4GB")</f>
        <v>4GB</v>
      </c>
      <c r="I909" s="2" t="str">
        <f ca="1">IFERROR(__xludf.DUMMYFUNCTION("""COMPUTED_VALUE"""),"16GB Flash Storage")</f>
        <v>16GB Flash Storage</v>
      </c>
      <c r="J909" s="2" t="str">
        <f ca="1">IFERROR(__xludf.DUMMYFUNCTION("""COMPUTED_VALUE"""),"Intel HD Graphics")</f>
        <v>Intel HD Graphics</v>
      </c>
      <c r="K909" s="2" t="str">
        <f ca="1">IFERROR(__xludf.DUMMYFUNCTION("""COMPUTED_VALUE"""),"Chrome OS")</f>
        <v>Chrome OS</v>
      </c>
      <c r="L909" s="2" t="str">
        <f ca="1">IFERROR(__xludf.DUMMYFUNCTION("""COMPUTED_VALUE"""),"2.20kg")</f>
        <v>2.20kg</v>
      </c>
      <c r="M909" s="2">
        <f ca="1">IFERROR(__xludf.DUMMYFUNCTION("""COMPUTED_VALUE"""),359)</f>
        <v>359</v>
      </c>
    </row>
    <row r="910" spans="1:13">
      <c r="A910" s="2">
        <f ca="1">IFERROR(__xludf.DUMMYFUNCTION("""COMPUTED_VALUE"""),920)</f>
        <v>920</v>
      </c>
      <c r="B910" s="2" t="str">
        <f ca="1">IFERROR(__xludf.DUMMYFUNCTION("""COMPUTED_VALUE"""),"Lenovo")</f>
        <v>Lenovo</v>
      </c>
      <c r="C910" s="2" t="str">
        <f ca="1">IFERROR(__xludf.DUMMYFUNCTION("""COMPUTED_VALUE"""),"IdeaPad Y700-15ISK")</f>
        <v>IdeaPad Y700-15ISK</v>
      </c>
      <c r="D910" s="2" t="str">
        <f ca="1">IFERROR(__xludf.DUMMYFUNCTION("""COMPUTED_VALUE"""),"Notebook")</f>
        <v>Notebook</v>
      </c>
      <c r="E910" s="2">
        <f ca="1">IFERROR(__xludf.DUMMYFUNCTION("""COMPUTED_VALUE"""),15.6)</f>
        <v>15.6</v>
      </c>
      <c r="F910" s="2" t="str">
        <f ca="1">IFERROR(__xludf.DUMMYFUNCTION("""COMPUTED_VALUE"""),"IPS Panel Full HD 1920x1080")</f>
        <v>IPS Panel Full HD 1920x1080</v>
      </c>
      <c r="G910" s="2" t="str">
        <f ca="1">IFERROR(__xludf.DUMMYFUNCTION("""COMPUTED_VALUE"""),"Intel Core i5 6300HQ 2.3GHz")</f>
        <v>Intel Core i5 6300HQ 2.3GHz</v>
      </c>
      <c r="H910" s="2" t="str">
        <f ca="1">IFERROR(__xludf.DUMMYFUNCTION("""COMPUTED_VALUE"""),"8GB")</f>
        <v>8GB</v>
      </c>
      <c r="I910" s="2" t="str">
        <f ca="1">IFERROR(__xludf.DUMMYFUNCTION("""COMPUTED_VALUE"""),"128GB SSD +  1TB HDD")</f>
        <v>128GB SSD +  1TB HDD</v>
      </c>
      <c r="J910" s="2" t="str">
        <f ca="1">IFERROR(__xludf.DUMMYFUNCTION("""COMPUTED_VALUE"""),"Nvidia GeForce GTX 960M")</f>
        <v>Nvidia GeForce GTX 960M</v>
      </c>
      <c r="K910" s="2" t="str">
        <f ca="1">IFERROR(__xludf.DUMMYFUNCTION("""COMPUTED_VALUE"""),"Windows 10")</f>
        <v>Windows 10</v>
      </c>
      <c r="L910" s="2" t="str">
        <f ca="1">IFERROR(__xludf.DUMMYFUNCTION("""COMPUTED_VALUE"""),"2.6kg")</f>
        <v>2.6kg</v>
      </c>
      <c r="M910" s="2">
        <f ca="1">IFERROR(__xludf.DUMMYFUNCTION("""COMPUTED_VALUE"""),789)</f>
        <v>789</v>
      </c>
    </row>
    <row r="911" spans="1:13">
      <c r="A911" s="2">
        <f ca="1">IFERROR(__xludf.DUMMYFUNCTION("""COMPUTED_VALUE"""),922)</f>
        <v>922</v>
      </c>
      <c r="B911" s="2" t="str">
        <f ca="1">IFERROR(__xludf.DUMMYFUNCTION("""COMPUTED_VALUE"""),"LG")</f>
        <v>LG</v>
      </c>
      <c r="C911" s="2" t="str">
        <f ca="1">IFERROR(__xludf.DUMMYFUNCTION("""COMPUTED_VALUE"""),"Gram 14Z970")</f>
        <v>Gram 14Z970</v>
      </c>
      <c r="D911" s="2" t="str">
        <f ca="1">IFERROR(__xludf.DUMMYFUNCTION("""COMPUTED_VALUE"""),"Ultrabook")</f>
        <v>Ultrabook</v>
      </c>
      <c r="E911" s="2">
        <f ca="1">IFERROR(__xludf.DUMMYFUNCTION("""COMPUTED_VALUE"""),14)</f>
        <v>14</v>
      </c>
      <c r="F911" s="2" t="str">
        <f ca="1">IFERROR(__xludf.DUMMYFUNCTION("""COMPUTED_VALUE"""),"IPS Panel Full HD / Touchscreen 1920x1080")</f>
        <v>IPS Panel Full HD / Touchscreen 1920x1080</v>
      </c>
      <c r="G911" s="2" t="str">
        <f ca="1">IFERROR(__xludf.DUMMYFUNCTION("""COMPUTED_VALUE"""),"Intel Core i7 7500U 2.7GHz")</f>
        <v>Intel Core i7 7500U 2.7GHz</v>
      </c>
      <c r="H911" s="2" t="str">
        <f ca="1">IFERROR(__xludf.DUMMYFUNCTION("""COMPUTED_VALUE"""),"8GB")</f>
        <v>8GB</v>
      </c>
      <c r="I911" s="2" t="str">
        <f ca="1">IFERROR(__xludf.DUMMYFUNCTION("""COMPUTED_VALUE"""),"512GB SSD")</f>
        <v>512GB SSD</v>
      </c>
      <c r="J911" s="2" t="str">
        <f ca="1">IFERROR(__xludf.DUMMYFUNCTION("""COMPUTED_VALUE"""),"Intel HD Graphics 620")</f>
        <v>Intel HD Graphics 620</v>
      </c>
      <c r="K911" s="2" t="str">
        <f ca="1">IFERROR(__xludf.DUMMYFUNCTION("""COMPUTED_VALUE"""),"Windows 10")</f>
        <v>Windows 10</v>
      </c>
      <c r="L911" s="2" t="str">
        <f ca="1">IFERROR(__xludf.DUMMYFUNCTION("""COMPUTED_VALUE"""),"0.98kg")</f>
        <v>0.98kg</v>
      </c>
      <c r="M911" s="2">
        <f ca="1">IFERROR(__xludf.DUMMYFUNCTION("""COMPUTED_VALUE"""),1899)</f>
        <v>1899</v>
      </c>
    </row>
    <row r="912" spans="1:13">
      <c r="A912" s="2">
        <f ca="1">IFERROR(__xludf.DUMMYFUNCTION("""COMPUTED_VALUE"""),923)</f>
        <v>923</v>
      </c>
      <c r="B912" s="2" t="str">
        <f ca="1">IFERROR(__xludf.DUMMYFUNCTION("""COMPUTED_VALUE"""),"Dell")</f>
        <v>Dell</v>
      </c>
      <c r="C912" s="2" t="str">
        <f ca="1">IFERROR(__xludf.DUMMYFUNCTION("""COMPUTED_VALUE"""),"Latitude 5480")</f>
        <v>Latitude 5480</v>
      </c>
      <c r="D912" s="2" t="str">
        <f ca="1">IFERROR(__xludf.DUMMYFUNCTION("""COMPUTED_VALUE"""),"Notebook")</f>
        <v>Notebook</v>
      </c>
      <c r="E912" s="2">
        <f ca="1">IFERROR(__xludf.DUMMYFUNCTION("""COMPUTED_VALUE"""),14)</f>
        <v>14</v>
      </c>
      <c r="F912" s="2" t="str">
        <f ca="1">IFERROR(__xludf.DUMMYFUNCTION("""COMPUTED_VALUE"""),"Full HD 1920x1080")</f>
        <v>Full HD 1920x1080</v>
      </c>
      <c r="G912" s="2" t="str">
        <f ca="1">IFERROR(__xludf.DUMMYFUNCTION("""COMPUTED_VALUE"""),"Intel Core i5 7440HQ 2.8GHz")</f>
        <v>Intel Core i5 7440HQ 2.8GHz</v>
      </c>
      <c r="H912" s="2" t="str">
        <f ca="1">IFERROR(__xludf.DUMMYFUNCTION("""COMPUTED_VALUE"""),"8GB")</f>
        <v>8GB</v>
      </c>
      <c r="I912" s="2" t="str">
        <f ca="1">IFERROR(__xludf.DUMMYFUNCTION("""COMPUTED_VALUE"""),"256GB SSD")</f>
        <v>256GB SSD</v>
      </c>
      <c r="J912" s="2" t="str">
        <f ca="1">IFERROR(__xludf.DUMMYFUNCTION("""COMPUTED_VALUE"""),"Intel HD Graphics 620")</f>
        <v>Intel HD Graphics 620</v>
      </c>
      <c r="K912" s="2" t="str">
        <f ca="1">IFERROR(__xludf.DUMMYFUNCTION("""COMPUTED_VALUE"""),"Windows 10")</f>
        <v>Windows 10</v>
      </c>
      <c r="L912" s="2" t="str">
        <f ca="1">IFERROR(__xludf.DUMMYFUNCTION("""COMPUTED_VALUE"""),"1.6kg")</f>
        <v>1.6kg</v>
      </c>
      <c r="M912" s="2">
        <f ca="1">IFERROR(__xludf.DUMMYFUNCTION("""COMPUTED_VALUE"""),1205)</f>
        <v>1205</v>
      </c>
    </row>
    <row r="913" spans="1:13">
      <c r="A913" s="2">
        <f ca="1">IFERROR(__xludf.DUMMYFUNCTION("""COMPUTED_VALUE"""),924)</f>
        <v>924</v>
      </c>
      <c r="B913" s="2" t="str">
        <f ca="1">IFERROR(__xludf.DUMMYFUNCTION("""COMPUTED_VALUE"""),"HP")</f>
        <v>HP</v>
      </c>
      <c r="C913" s="2" t="str">
        <f ca="1">IFERROR(__xludf.DUMMYFUNCTION("""COMPUTED_VALUE"""),"Elitebook Folio")</f>
        <v>Elitebook Folio</v>
      </c>
      <c r="D913" s="2" t="str">
        <f ca="1">IFERROR(__xludf.DUMMYFUNCTION("""COMPUTED_VALUE"""),"Ultrabook")</f>
        <v>Ultrabook</v>
      </c>
      <c r="E913" s="2">
        <f ca="1">IFERROR(__xludf.DUMMYFUNCTION("""COMPUTED_VALUE"""),12.5)</f>
        <v>12.5</v>
      </c>
      <c r="F913" s="2" t="str">
        <f ca="1">IFERROR(__xludf.DUMMYFUNCTION("""COMPUTED_VALUE"""),"4K Ultra HD / Touchscreen 3840x2160")</f>
        <v>4K Ultra HD / Touchscreen 3840x2160</v>
      </c>
      <c r="G913" s="2" t="str">
        <f ca="1">IFERROR(__xludf.DUMMYFUNCTION("""COMPUTED_VALUE"""),"Intel Core M 6Y75 1.2GHz")</f>
        <v>Intel Core M 6Y75 1.2GHz</v>
      </c>
      <c r="H913" s="2" t="str">
        <f ca="1">IFERROR(__xludf.DUMMYFUNCTION("""COMPUTED_VALUE"""),"8GB")</f>
        <v>8GB</v>
      </c>
      <c r="I913" s="2" t="str">
        <f ca="1">IFERROR(__xludf.DUMMYFUNCTION("""COMPUTED_VALUE"""),"240GB SSD")</f>
        <v>240GB SSD</v>
      </c>
      <c r="J913" s="2" t="str">
        <f ca="1">IFERROR(__xludf.DUMMYFUNCTION("""COMPUTED_VALUE"""),"Intel HD Graphics 515")</f>
        <v>Intel HD Graphics 515</v>
      </c>
      <c r="K913" s="2" t="str">
        <f ca="1">IFERROR(__xludf.DUMMYFUNCTION("""COMPUTED_VALUE"""),"Windows 10")</f>
        <v>Windows 10</v>
      </c>
      <c r="L913" s="2" t="str">
        <f ca="1">IFERROR(__xludf.DUMMYFUNCTION("""COMPUTED_VALUE"""),"1.09kg")</f>
        <v>1.09kg</v>
      </c>
      <c r="M913" s="2">
        <f ca="1">IFERROR(__xludf.DUMMYFUNCTION("""COMPUTED_VALUE"""),3100)</f>
        <v>3100</v>
      </c>
    </row>
    <row r="914" spans="1:13">
      <c r="A914" s="2">
        <f ca="1">IFERROR(__xludf.DUMMYFUNCTION("""COMPUTED_VALUE"""),925)</f>
        <v>925</v>
      </c>
      <c r="B914" s="2" t="str">
        <f ca="1">IFERROR(__xludf.DUMMYFUNCTION("""COMPUTED_VALUE"""),"Lenovo")</f>
        <v>Lenovo</v>
      </c>
      <c r="C914" s="2" t="str">
        <f ca="1">IFERROR(__xludf.DUMMYFUNCTION("""COMPUTED_VALUE"""),"IdeaPad 510-15IKB")</f>
        <v>IdeaPad 510-15IKB</v>
      </c>
      <c r="D914" s="2" t="str">
        <f ca="1">IFERROR(__xludf.DUMMYFUNCTION("""COMPUTED_VALUE"""),"Notebook")</f>
        <v>Notebook</v>
      </c>
      <c r="E914" s="2">
        <f ca="1">IFERROR(__xludf.DUMMYFUNCTION("""COMPUTED_VALUE"""),15.6)</f>
        <v>15.6</v>
      </c>
      <c r="F914" s="2" t="str">
        <f ca="1">IFERROR(__xludf.DUMMYFUNCTION("""COMPUTED_VALUE"""),"Full HD 1920x1080")</f>
        <v>Full HD 1920x1080</v>
      </c>
      <c r="G914" s="2" t="str">
        <f ca="1">IFERROR(__xludf.DUMMYFUNCTION("""COMPUTED_VALUE"""),"Intel Core i7 7500U 2.7GHz")</f>
        <v>Intel Core i7 7500U 2.7GHz</v>
      </c>
      <c r="H914" s="2" t="str">
        <f ca="1">IFERROR(__xludf.DUMMYFUNCTION("""COMPUTED_VALUE"""),"6GB")</f>
        <v>6GB</v>
      </c>
      <c r="I914" s="2" t="str">
        <f ca="1">IFERROR(__xludf.DUMMYFUNCTION("""COMPUTED_VALUE"""),"256GB SSD")</f>
        <v>256GB SSD</v>
      </c>
      <c r="J914" s="2" t="str">
        <f ca="1">IFERROR(__xludf.DUMMYFUNCTION("""COMPUTED_VALUE"""),"Nvidia GeForce 940MX")</f>
        <v>Nvidia GeForce 940MX</v>
      </c>
      <c r="K914" s="2" t="str">
        <f ca="1">IFERROR(__xludf.DUMMYFUNCTION("""COMPUTED_VALUE"""),"Windows 10")</f>
        <v>Windows 10</v>
      </c>
      <c r="L914" s="2" t="str">
        <f ca="1">IFERROR(__xludf.DUMMYFUNCTION("""COMPUTED_VALUE"""),"2.2kg")</f>
        <v>2.2kg</v>
      </c>
      <c r="M914" s="2">
        <f ca="1">IFERROR(__xludf.DUMMYFUNCTION("""COMPUTED_VALUE"""),789)</f>
        <v>789</v>
      </c>
    </row>
    <row r="915" spans="1:13">
      <c r="A915" s="2">
        <f ca="1">IFERROR(__xludf.DUMMYFUNCTION("""COMPUTED_VALUE"""),926)</f>
        <v>926</v>
      </c>
      <c r="B915" s="2" t="str">
        <f ca="1">IFERROR(__xludf.DUMMYFUNCTION("""COMPUTED_VALUE"""),"HP")</f>
        <v>HP</v>
      </c>
      <c r="C915" s="2" t="str">
        <f ca="1">IFERROR(__xludf.DUMMYFUNCTION("""COMPUTED_VALUE"""),"ProBook 450")</f>
        <v>ProBook 450</v>
      </c>
      <c r="D915" s="2" t="str">
        <f ca="1">IFERROR(__xludf.DUMMYFUNCTION("""COMPUTED_VALUE"""),"Notebook")</f>
        <v>Notebook</v>
      </c>
      <c r="E915" s="2">
        <f ca="1">IFERROR(__xludf.DUMMYFUNCTION("""COMPUTED_VALUE"""),15.6)</f>
        <v>15.6</v>
      </c>
      <c r="F915" s="2" t="str">
        <f ca="1">IFERROR(__xludf.DUMMYFUNCTION("""COMPUTED_VALUE"""),"Full HD 1920x1080")</f>
        <v>Full HD 1920x1080</v>
      </c>
      <c r="G915" s="2" t="str">
        <f ca="1">IFERROR(__xludf.DUMMYFUNCTION("""COMPUTED_VALUE"""),"Intel Core i7 7500U 2.7GHz")</f>
        <v>Intel Core i7 7500U 2.7GHz</v>
      </c>
      <c r="H915" s="2" t="str">
        <f ca="1">IFERROR(__xludf.DUMMYFUNCTION("""COMPUTED_VALUE"""),"8GB")</f>
        <v>8GB</v>
      </c>
      <c r="I915" s="2" t="str">
        <f ca="1">IFERROR(__xludf.DUMMYFUNCTION("""COMPUTED_VALUE"""),"256GB SSD")</f>
        <v>256GB SSD</v>
      </c>
      <c r="J915" s="2" t="str">
        <f ca="1">IFERROR(__xludf.DUMMYFUNCTION("""COMPUTED_VALUE"""),"Nvidia GeForce 930MX")</f>
        <v>Nvidia GeForce 930MX</v>
      </c>
      <c r="K915" s="2" t="str">
        <f ca="1">IFERROR(__xludf.DUMMYFUNCTION("""COMPUTED_VALUE"""),"Windows 10")</f>
        <v>Windows 10</v>
      </c>
      <c r="L915" s="2" t="str">
        <f ca="1">IFERROR(__xludf.DUMMYFUNCTION("""COMPUTED_VALUE"""),"2.04kg")</f>
        <v>2.04kg</v>
      </c>
      <c r="M915" s="2">
        <f ca="1">IFERROR(__xludf.DUMMYFUNCTION("""COMPUTED_VALUE"""),1018.99)</f>
        <v>1018.99</v>
      </c>
    </row>
    <row r="916" spans="1:13">
      <c r="A916" s="2">
        <f ca="1">IFERROR(__xludf.DUMMYFUNCTION("""COMPUTED_VALUE"""),927)</f>
        <v>927</v>
      </c>
      <c r="B916" s="2" t="str">
        <f ca="1">IFERROR(__xludf.DUMMYFUNCTION("""COMPUTED_VALUE"""),"Acer")</f>
        <v>Acer</v>
      </c>
      <c r="C916" s="2" t="str">
        <f ca="1">IFERROR(__xludf.DUMMYFUNCTION("""COMPUTED_VALUE"""),"Aspire E5-575")</f>
        <v>Aspire E5-575</v>
      </c>
      <c r="D916" s="2" t="str">
        <f ca="1">IFERROR(__xludf.DUMMYFUNCTION("""COMPUTED_VALUE"""),"Notebook")</f>
        <v>Notebook</v>
      </c>
      <c r="E916" s="2">
        <f ca="1">IFERROR(__xludf.DUMMYFUNCTION("""COMPUTED_VALUE"""),15.6)</f>
        <v>15.6</v>
      </c>
      <c r="F916" s="2" t="str">
        <f ca="1">IFERROR(__xludf.DUMMYFUNCTION("""COMPUTED_VALUE"""),"Full HD 1920x1080")</f>
        <v>Full HD 1920x1080</v>
      </c>
      <c r="G916" s="2" t="str">
        <f ca="1">IFERROR(__xludf.DUMMYFUNCTION("""COMPUTED_VALUE"""),"Intel Core i3 7100U 2.4GHz")</f>
        <v>Intel Core i3 7100U 2.4GHz</v>
      </c>
      <c r="H916" s="2" t="str">
        <f ca="1">IFERROR(__xludf.DUMMYFUNCTION("""COMPUTED_VALUE"""),"4GB")</f>
        <v>4GB</v>
      </c>
      <c r="I916" s="2" t="str">
        <f ca="1">IFERROR(__xludf.DUMMYFUNCTION("""COMPUTED_VALUE"""),"1TB HDD")</f>
        <v>1TB HDD</v>
      </c>
      <c r="J916" s="2" t="str">
        <f ca="1">IFERROR(__xludf.DUMMYFUNCTION("""COMPUTED_VALUE"""),"Intel HD Graphics 620")</f>
        <v>Intel HD Graphics 620</v>
      </c>
      <c r="K916" s="2" t="str">
        <f ca="1">IFERROR(__xludf.DUMMYFUNCTION("""COMPUTED_VALUE"""),"Windows 10")</f>
        <v>Windows 10</v>
      </c>
      <c r="L916" s="2" t="str">
        <f ca="1">IFERROR(__xludf.DUMMYFUNCTION("""COMPUTED_VALUE"""),"2.4kg")</f>
        <v>2.4kg</v>
      </c>
      <c r="M916" s="2">
        <f ca="1">IFERROR(__xludf.DUMMYFUNCTION("""COMPUTED_VALUE"""),499)</f>
        <v>499</v>
      </c>
    </row>
    <row r="917" spans="1:13">
      <c r="A917" s="2">
        <f ca="1">IFERROR(__xludf.DUMMYFUNCTION("""COMPUTED_VALUE"""),928)</f>
        <v>928</v>
      </c>
      <c r="B917" s="2" t="str">
        <f ca="1">IFERROR(__xludf.DUMMYFUNCTION("""COMPUTED_VALUE"""),"Lenovo")</f>
        <v>Lenovo</v>
      </c>
      <c r="C917" s="2" t="str">
        <f ca="1">IFERROR(__xludf.DUMMYFUNCTION("""COMPUTED_VALUE"""),"ThinkPad 13")</f>
        <v>ThinkPad 13</v>
      </c>
      <c r="D917" s="2" t="str">
        <f ca="1">IFERROR(__xludf.DUMMYFUNCTION("""COMPUTED_VALUE"""),"Notebook")</f>
        <v>Notebook</v>
      </c>
      <c r="E917" s="2">
        <f ca="1">IFERROR(__xludf.DUMMYFUNCTION("""COMPUTED_VALUE"""),13.3)</f>
        <v>13.3</v>
      </c>
      <c r="F917" s="2" t="str">
        <f ca="1">IFERROR(__xludf.DUMMYFUNCTION("""COMPUTED_VALUE"""),"Full HD 1920x1080")</f>
        <v>Full HD 1920x1080</v>
      </c>
      <c r="G917" s="2" t="str">
        <f ca="1">IFERROR(__xludf.DUMMYFUNCTION("""COMPUTED_VALUE"""),"Intel Core i5 7200U 2.5GHz")</f>
        <v>Intel Core i5 7200U 2.5GHz</v>
      </c>
      <c r="H917" s="2" t="str">
        <f ca="1">IFERROR(__xludf.DUMMYFUNCTION("""COMPUTED_VALUE"""),"4GB")</f>
        <v>4GB</v>
      </c>
      <c r="I917" s="2" t="str">
        <f ca="1">IFERROR(__xludf.DUMMYFUNCTION("""COMPUTED_VALUE"""),"128GB SSD")</f>
        <v>128GB SSD</v>
      </c>
      <c r="J917" s="2" t="str">
        <f ca="1">IFERROR(__xludf.DUMMYFUNCTION("""COMPUTED_VALUE"""),"Intel HD Graphics 620")</f>
        <v>Intel HD Graphics 620</v>
      </c>
      <c r="K917" s="2" t="str">
        <f ca="1">IFERROR(__xludf.DUMMYFUNCTION("""COMPUTED_VALUE"""),"Windows 10")</f>
        <v>Windows 10</v>
      </c>
      <c r="L917" s="2" t="str">
        <f ca="1">IFERROR(__xludf.DUMMYFUNCTION("""COMPUTED_VALUE"""),"1.44kg")</f>
        <v>1.44kg</v>
      </c>
      <c r="M917" s="2">
        <f ca="1">IFERROR(__xludf.DUMMYFUNCTION("""COMPUTED_VALUE"""),881)</f>
        <v>881</v>
      </c>
    </row>
    <row r="918" spans="1:13">
      <c r="A918" s="2">
        <f ca="1">IFERROR(__xludf.DUMMYFUNCTION("""COMPUTED_VALUE"""),930)</f>
        <v>930</v>
      </c>
      <c r="B918" s="2" t="str">
        <f ca="1">IFERROR(__xludf.DUMMYFUNCTION("""COMPUTED_VALUE"""),"HP")</f>
        <v>HP</v>
      </c>
      <c r="C918" s="2" t="str">
        <f ca="1">IFERROR(__xludf.DUMMYFUNCTION("""COMPUTED_VALUE"""),"Probook 430")</f>
        <v>Probook 430</v>
      </c>
      <c r="D918" s="2" t="str">
        <f ca="1">IFERROR(__xludf.DUMMYFUNCTION("""COMPUTED_VALUE"""),"Notebook")</f>
        <v>Notebook</v>
      </c>
      <c r="E918" s="2">
        <f ca="1">IFERROR(__xludf.DUMMYFUNCTION("""COMPUTED_VALUE"""),13.3)</f>
        <v>13.3</v>
      </c>
      <c r="F918" s="2" t="str">
        <f ca="1">IFERROR(__xludf.DUMMYFUNCTION("""COMPUTED_VALUE"""),"Full HD 1920x1080")</f>
        <v>Full HD 1920x1080</v>
      </c>
      <c r="G918" s="2" t="str">
        <f ca="1">IFERROR(__xludf.DUMMYFUNCTION("""COMPUTED_VALUE"""),"Intel Core i5 7200U 2.5GHz")</f>
        <v>Intel Core i5 7200U 2.5GHz</v>
      </c>
      <c r="H918" s="2" t="str">
        <f ca="1">IFERROR(__xludf.DUMMYFUNCTION("""COMPUTED_VALUE"""),"8GB")</f>
        <v>8GB</v>
      </c>
      <c r="I918" s="2" t="str">
        <f ca="1">IFERROR(__xludf.DUMMYFUNCTION("""COMPUTED_VALUE"""),"256GB SSD")</f>
        <v>256GB SSD</v>
      </c>
      <c r="J918" s="2" t="str">
        <f ca="1">IFERROR(__xludf.DUMMYFUNCTION("""COMPUTED_VALUE"""),"Intel HD Graphics 620")</f>
        <v>Intel HD Graphics 620</v>
      </c>
      <c r="K918" s="2" t="str">
        <f ca="1">IFERROR(__xludf.DUMMYFUNCTION("""COMPUTED_VALUE"""),"Windows 10")</f>
        <v>Windows 10</v>
      </c>
      <c r="L918" s="2" t="str">
        <f ca="1">IFERROR(__xludf.DUMMYFUNCTION("""COMPUTED_VALUE"""),"1.49kg")</f>
        <v>1.49kg</v>
      </c>
      <c r="M918" s="2">
        <f ca="1">IFERROR(__xludf.DUMMYFUNCTION("""COMPUTED_VALUE"""),960)</f>
        <v>960</v>
      </c>
    </row>
    <row r="919" spans="1:13">
      <c r="A919" s="2">
        <f ca="1">IFERROR(__xludf.DUMMYFUNCTION("""COMPUTED_VALUE"""),931)</f>
        <v>931</v>
      </c>
      <c r="B919" s="2" t="str">
        <f ca="1">IFERROR(__xludf.DUMMYFUNCTION("""COMPUTED_VALUE"""),"MSI")</f>
        <v>MSI</v>
      </c>
      <c r="C919" s="2" t="str">
        <f ca="1">IFERROR(__xludf.DUMMYFUNCTION("""COMPUTED_VALUE"""),"GE72VR 6RF")</f>
        <v>GE72VR 6RF</v>
      </c>
      <c r="D919" s="2" t="str">
        <f ca="1">IFERROR(__xludf.DUMMYFUNCTION("""COMPUTED_VALUE"""),"Gaming")</f>
        <v>Gaming</v>
      </c>
      <c r="E919" s="2">
        <f ca="1">IFERROR(__xludf.DUMMYFUNCTION("""COMPUTED_VALUE"""),17.3)</f>
        <v>17.3</v>
      </c>
      <c r="F919" s="2" t="str">
        <f ca="1">IFERROR(__xludf.DUMMYFUNCTION("""COMPUTED_VALUE"""),"Full HD 1920x1080")</f>
        <v>Full HD 1920x1080</v>
      </c>
      <c r="G919" s="2" t="str">
        <f ca="1">IFERROR(__xludf.DUMMYFUNCTION("""COMPUTED_VALUE"""),"Intel Core i7 7700HQ 2.8GHz")</f>
        <v>Intel Core i7 7700HQ 2.8GHz</v>
      </c>
      <c r="H919" s="2" t="str">
        <f ca="1">IFERROR(__xludf.DUMMYFUNCTION("""COMPUTED_VALUE"""),"16GB")</f>
        <v>16GB</v>
      </c>
      <c r="I919" s="2" t="str">
        <f ca="1">IFERROR(__xludf.DUMMYFUNCTION("""COMPUTED_VALUE"""),"256GB SSD +  1TB HDD")</f>
        <v>256GB SSD +  1TB HDD</v>
      </c>
      <c r="J919" s="2" t="str">
        <f ca="1">IFERROR(__xludf.DUMMYFUNCTION("""COMPUTED_VALUE"""),"Nvidia GeForce GTX 1050 Ti")</f>
        <v>Nvidia GeForce GTX 1050 Ti</v>
      </c>
      <c r="K919" s="2" t="str">
        <f ca="1">IFERROR(__xludf.DUMMYFUNCTION("""COMPUTED_VALUE"""),"Windows 10")</f>
        <v>Windows 10</v>
      </c>
      <c r="L919" s="2" t="str">
        <f ca="1">IFERROR(__xludf.DUMMYFUNCTION("""COMPUTED_VALUE"""),"2.7kg")</f>
        <v>2.7kg</v>
      </c>
      <c r="M919" s="2">
        <f ca="1">IFERROR(__xludf.DUMMYFUNCTION("""COMPUTED_VALUE"""),1599)</f>
        <v>1599</v>
      </c>
    </row>
    <row r="920" spans="1:13">
      <c r="A920" s="2">
        <f ca="1">IFERROR(__xludf.DUMMYFUNCTION("""COMPUTED_VALUE"""),932)</f>
        <v>932</v>
      </c>
      <c r="B920" s="2" t="str">
        <f ca="1">IFERROR(__xludf.DUMMYFUNCTION("""COMPUTED_VALUE"""),"Dell")</f>
        <v>Dell</v>
      </c>
      <c r="C920" s="2" t="str">
        <f ca="1">IFERROR(__xludf.DUMMYFUNCTION("""COMPUTED_VALUE"""),"Inspiron 7567")</f>
        <v>Inspiron 7567</v>
      </c>
      <c r="D920" s="2" t="str">
        <f ca="1">IFERROR(__xludf.DUMMYFUNCTION("""COMPUTED_VALUE"""),"Gaming")</f>
        <v>Gaming</v>
      </c>
      <c r="E920" s="2">
        <f ca="1">IFERROR(__xludf.DUMMYFUNCTION("""COMPUTED_VALUE"""),15.6)</f>
        <v>15.6</v>
      </c>
      <c r="F920" s="2" t="str">
        <f ca="1">IFERROR(__xludf.DUMMYFUNCTION("""COMPUTED_VALUE"""),"Full HD 1920x1080")</f>
        <v>Full HD 1920x1080</v>
      </c>
      <c r="G920" s="2" t="str">
        <f ca="1">IFERROR(__xludf.DUMMYFUNCTION("""COMPUTED_VALUE"""),"Intel Core i7 7700HQ 2.8GHz")</f>
        <v>Intel Core i7 7700HQ 2.8GHz</v>
      </c>
      <c r="H920" s="2" t="str">
        <f ca="1">IFERROR(__xludf.DUMMYFUNCTION("""COMPUTED_VALUE"""),"16GB")</f>
        <v>16GB</v>
      </c>
      <c r="I920" s="2" t="str">
        <f ca="1">IFERROR(__xludf.DUMMYFUNCTION("""COMPUTED_VALUE"""),"128GB SSD +  1TB HDD")</f>
        <v>128GB SSD +  1TB HDD</v>
      </c>
      <c r="J920" s="2" t="str">
        <f ca="1">IFERROR(__xludf.DUMMYFUNCTION("""COMPUTED_VALUE"""),"Nvidia GeForce GTX 1050 Ti")</f>
        <v>Nvidia GeForce GTX 1050 Ti</v>
      </c>
      <c r="K920" s="2" t="str">
        <f ca="1">IFERROR(__xludf.DUMMYFUNCTION("""COMPUTED_VALUE"""),"Windows 10")</f>
        <v>Windows 10</v>
      </c>
      <c r="L920" s="2" t="str">
        <f ca="1">IFERROR(__xludf.DUMMYFUNCTION("""COMPUTED_VALUE"""),"2.6kg")</f>
        <v>2.6kg</v>
      </c>
      <c r="M920" s="2">
        <f ca="1">IFERROR(__xludf.DUMMYFUNCTION("""COMPUTED_VALUE"""),1349)</f>
        <v>1349</v>
      </c>
    </row>
    <row r="921" spans="1:13">
      <c r="A921" s="2">
        <f ca="1">IFERROR(__xludf.DUMMYFUNCTION("""COMPUTED_VALUE"""),933)</f>
        <v>933</v>
      </c>
      <c r="B921" s="2" t="str">
        <f ca="1">IFERROR(__xludf.DUMMYFUNCTION("""COMPUTED_VALUE"""),"MSI")</f>
        <v>MSI</v>
      </c>
      <c r="C921" s="2" t="str">
        <f ca="1">IFERROR(__xludf.DUMMYFUNCTION("""COMPUTED_VALUE"""),"GL62M 7RD")</f>
        <v>GL62M 7RD</v>
      </c>
      <c r="D921" s="2" t="str">
        <f ca="1">IFERROR(__xludf.DUMMYFUNCTION("""COMPUTED_VALUE"""),"Gaming")</f>
        <v>Gaming</v>
      </c>
      <c r="E921" s="2">
        <f ca="1">IFERROR(__xludf.DUMMYFUNCTION("""COMPUTED_VALUE"""),15.6)</f>
        <v>15.6</v>
      </c>
      <c r="F921" s="2" t="str">
        <f ca="1">IFERROR(__xludf.DUMMYFUNCTION("""COMPUTED_VALUE"""),"Full HD 1920x1080")</f>
        <v>Full HD 1920x1080</v>
      </c>
      <c r="G921" s="2" t="str">
        <f ca="1">IFERROR(__xludf.DUMMYFUNCTION("""COMPUTED_VALUE"""),"Intel Core i5 7300HQ 2.5GHz")</f>
        <v>Intel Core i5 7300HQ 2.5GHz</v>
      </c>
      <c r="H921" s="2" t="str">
        <f ca="1">IFERROR(__xludf.DUMMYFUNCTION("""COMPUTED_VALUE"""),"8GB")</f>
        <v>8GB</v>
      </c>
      <c r="I921" s="2" t="str">
        <f ca="1">IFERROR(__xludf.DUMMYFUNCTION("""COMPUTED_VALUE"""),"128GB SSD +  1TB HDD")</f>
        <v>128GB SSD +  1TB HDD</v>
      </c>
      <c r="J921" s="2" t="str">
        <f ca="1">IFERROR(__xludf.DUMMYFUNCTION("""COMPUTED_VALUE"""),"Nvidia GeForce GTX 1050")</f>
        <v>Nvidia GeForce GTX 1050</v>
      </c>
      <c r="K921" s="2" t="str">
        <f ca="1">IFERROR(__xludf.DUMMYFUNCTION("""COMPUTED_VALUE"""),"Windows 10")</f>
        <v>Windows 10</v>
      </c>
      <c r="L921" s="2" t="str">
        <f ca="1">IFERROR(__xludf.DUMMYFUNCTION("""COMPUTED_VALUE"""),"2.2kg")</f>
        <v>2.2kg</v>
      </c>
      <c r="M921" s="2">
        <f ca="1">IFERROR(__xludf.DUMMYFUNCTION("""COMPUTED_VALUE"""),1119.91)</f>
        <v>1119.9100000000001</v>
      </c>
    </row>
    <row r="922" spans="1:13">
      <c r="A922" s="2">
        <f ca="1">IFERROR(__xludf.DUMMYFUNCTION("""COMPUTED_VALUE"""),934)</f>
        <v>934</v>
      </c>
      <c r="B922" s="2" t="str">
        <f ca="1">IFERROR(__xludf.DUMMYFUNCTION("""COMPUTED_VALUE"""),"Dell")</f>
        <v>Dell</v>
      </c>
      <c r="C922" s="2" t="str">
        <f ca="1">IFERROR(__xludf.DUMMYFUNCTION("""COMPUTED_VALUE"""),"Vostro 3568")</f>
        <v>Vostro 3568</v>
      </c>
      <c r="D922" s="2" t="str">
        <f ca="1">IFERROR(__xludf.DUMMYFUNCTION("""COMPUTED_VALUE"""),"Notebook")</f>
        <v>Notebook</v>
      </c>
      <c r="E922" s="2">
        <f ca="1">IFERROR(__xludf.DUMMYFUNCTION("""COMPUTED_VALUE"""),15.6)</f>
        <v>15.6</v>
      </c>
      <c r="F922" s="2" t="str">
        <f ca="1">IFERROR(__xludf.DUMMYFUNCTION("""COMPUTED_VALUE"""),"1366x768")</f>
        <v>1366x768</v>
      </c>
      <c r="G922" s="2" t="str">
        <f ca="1">IFERROR(__xludf.DUMMYFUNCTION("""COMPUTED_VALUE"""),"Intel Core i5 7200U 2.5GHz")</f>
        <v>Intel Core i5 7200U 2.5GHz</v>
      </c>
      <c r="H922" s="2" t="str">
        <f ca="1">IFERROR(__xludf.DUMMYFUNCTION("""COMPUTED_VALUE"""),"4GB")</f>
        <v>4GB</v>
      </c>
      <c r="I922" s="2" t="str">
        <f ca="1">IFERROR(__xludf.DUMMYFUNCTION("""COMPUTED_VALUE"""),"1TB HDD")</f>
        <v>1TB HDD</v>
      </c>
      <c r="J922" s="2" t="str">
        <f ca="1">IFERROR(__xludf.DUMMYFUNCTION("""COMPUTED_VALUE"""),"AMD Radeon R5 M420")</f>
        <v>AMD Radeon R5 M420</v>
      </c>
      <c r="K922" s="2" t="str">
        <f ca="1">IFERROR(__xludf.DUMMYFUNCTION("""COMPUTED_VALUE"""),"Windows 10")</f>
        <v>Windows 10</v>
      </c>
      <c r="L922" s="2" t="str">
        <f ca="1">IFERROR(__xludf.DUMMYFUNCTION("""COMPUTED_VALUE"""),"2.18kg")</f>
        <v>2.18kg</v>
      </c>
      <c r="M922" s="2">
        <f ca="1">IFERROR(__xludf.DUMMYFUNCTION("""COMPUTED_VALUE"""),684.99)</f>
        <v>684.99</v>
      </c>
    </row>
    <row r="923" spans="1:13">
      <c r="A923" s="2">
        <f ca="1">IFERROR(__xludf.DUMMYFUNCTION("""COMPUTED_VALUE"""),935)</f>
        <v>935</v>
      </c>
      <c r="B923" s="2" t="str">
        <f ca="1">IFERROR(__xludf.DUMMYFUNCTION("""COMPUTED_VALUE"""),"HP")</f>
        <v>HP</v>
      </c>
      <c r="C923" s="2" t="str">
        <f ca="1">IFERROR(__xludf.DUMMYFUNCTION("""COMPUTED_VALUE"""),"EliteBook 850")</f>
        <v>EliteBook 850</v>
      </c>
      <c r="D923" s="2" t="str">
        <f ca="1">IFERROR(__xludf.DUMMYFUNCTION("""COMPUTED_VALUE"""),"Ultrabook")</f>
        <v>Ultrabook</v>
      </c>
      <c r="E923" s="2">
        <f ca="1">IFERROR(__xludf.DUMMYFUNCTION("""COMPUTED_VALUE"""),15.6)</f>
        <v>15.6</v>
      </c>
      <c r="F923" s="2" t="str">
        <f ca="1">IFERROR(__xludf.DUMMYFUNCTION("""COMPUTED_VALUE"""),"Full HD 1920x1080")</f>
        <v>Full HD 1920x1080</v>
      </c>
      <c r="G923" s="2" t="str">
        <f ca="1">IFERROR(__xludf.DUMMYFUNCTION("""COMPUTED_VALUE"""),"Intel Core i7 6500U 2.5GHz")</f>
        <v>Intel Core i7 6500U 2.5GHz</v>
      </c>
      <c r="H923" s="2" t="str">
        <f ca="1">IFERROR(__xludf.DUMMYFUNCTION("""COMPUTED_VALUE"""),"8GB")</f>
        <v>8GB</v>
      </c>
      <c r="I923" s="2" t="str">
        <f ca="1">IFERROR(__xludf.DUMMYFUNCTION("""COMPUTED_VALUE"""),"256GB SSD")</f>
        <v>256GB SSD</v>
      </c>
      <c r="J923" s="2" t="str">
        <f ca="1">IFERROR(__xludf.DUMMYFUNCTION("""COMPUTED_VALUE"""),"AMD Radeon R7 M365X")</f>
        <v>AMD Radeon R7 M365X</v>
      </c>
      <c r="K923" s="2" t="str">
        <f ca="1">IFERROR(__xludf.DUMMYFUNCTION("""COMPUTED_VALUE"""),"Windows 10")</f>
        <v>Windows 10</v>
      </c>
      <c r="L923" s="2" t="str">
        <f ca="1">IFERROR(__xludf.DUMMYFUNCTION("""COMPUTED_VALUE"""),"1.84kg")</f>
        <v>1.84kg</v>
      </c>
      <c r="M923" s="2">
        <f ca="1">IFERROR(__xludf.DUMMYFUNCTION("""COMPUTED_VALUE"""),1296.99)</f>
        <v>1296.99</v>
      </c>
    </row>
    <row r="924" spans="1:13">
      <c r="A924" s="2">
        <f ca="1">IFERROR(__xludf.DUMMYFUNCTION("""COMPUTED_VALUE"""),936)</f>
        <v>936</v>
      </c>
      <c r="B924" s="2" t="str">
        <f ca="1">IFERROR(__xludf.DUMMYFUNCTION("""COMPUTED_VALUE"""),"HP")</f>
        <v>HP</v>
      </c>
      <c r="C924" s="2" t="str">
        <f ca="1">IFERROR(__xludf.DUMMYFUNCTION("""COMPUTED_VALUE"""),"Envy 13-AB077cl")</f>
        <v>Envy 13-AB077cl</v>
      </c>
      <c r="D924" s="2" t="str">
        <f ca="1">IFERROR(__xludf.DUMMYFUNCTION("""COMPUTED_VALUE"""),"Ultrabook")</f>
        <v>Ultrabook</v>
      </c>
      <c r="E924" s="2">
        <f ca="1">IFERROR(__xludf.DUMMYFUNCTION("""COMPUTED_VALUE"""),13.3)</f>
        <v>13.3</v>
      </c>
      <c r="F924" s="2" t="str">
        <f ca="1">IFERROR(__xludf.DUMMYFUNCTION("""COMPUTED_VALUE"""),"Quad HD+ / Touchscreen 3200x1800")</f>
        <v>Quad HD+ / Touchscreen 3200x1800</v>
      </c>
      <c r="G924" s="2" t="str">
        <f ca="1">IFERROR(__xludf.DUMMYFUNCTION("""COMPUTED_VALUE"""),"Intel Core i7 7500U 2.7GHz")</f>
        <v>Intel Core i7 7500U 2.7GHz</v>
      </c>
      <c r="H924" s="2" t="str">
        <f ca="1">IFERROR(__xludf.DUMMYFUNCTION("""COMPUTED_VALUE"""),"8GB")</f>
        <v>8GB</v>
      </c>
      <c r="I924" s="2" t="str">
        <f ca="1">IFERROR(__xludf.DUMMYFUNCTION("""COMPUTED_VALUE"""),"256GB SSD")</f>
        <v>256GB SSD</v>
      </c>
      <c r="J924" s="2" t="str">
        <f ca="1">IFERROR(__xludf.DUMMYFUNCTION("""COMPUTED_VALUE"""),"Intel HD Graphics 620")</f>
        <v>Intel HD Graphics 620</v>
      </c>
      <c r="K924" s="2" t="str">
        <f ca="1">IFERROR(__xludf.DUMMYFUNCTION("""COMPUTED_VALUE"""),"Windows 10")</f>
        <v>Windows 10</v>
      </c>
      <c r="L924" s="2" t="str">
        <f ca="1">IFERROR(__xludf.DUMMYFUNCTION("""COMPUTED_VALUE"""),"1.39kg")</f>
        <v>1.39kg</v>
      </c>
      <c r="M924" s="2">
        <f ca="1">IFERROR(__xludf.DUMMYFUNCTION("""COMPUTED_VALUE"""),1149)</f>
        <v>1149</v>
      </c>
    </row>
    <row r="925" spans="1:13">
      <c r="A925" s="2">
        <f ca="1">IFERROR(__xludf.DUMMYFUNCTION("""COMPUTED_VALUE"""),937)</f>
        <v>937</v>
      </c>
      <c r="B925" s="2" t="str">
        <f ca="1">IFERROR(__xludf.DUMMYFUNCTION("""COMPUTED_VALUE"""),"Toshiba")</f>
        <v>Toshiba</v>
      </c>
      <c r="C925" s="2" t="str">
        <f ca="1">IFERROR(__xludf.DUMMYFUNCTION("""COMPUTED_VALUE"""),"Tecra Z50-C-140")</f>
        <v>Tecra Z50-C-140</v>
      </c>
      <c r="D925" s="2" t="str">
        <f ca="1">IFERROR(__xludf.DUMMYFUNCTION("""COMPUTED_VALUE"""),"Notebook")</f>
        <v>Notebook</v>
      </c>
      <c r="E925" s="2">
        <f ca="1">IFERROR(__xludf.DUMMYFUNCTION("""COMPUTED_VALUE"""),15.6)</f>
        <v>15.6</v>
      </c>
      <c r="F925" s="2" t="str">
        <f ca="1">IFERROR(__xludf.DUMMYFUNCTION("""COMPUTED_VALUE"""),"IPS Panel Full HD 1920x1080")</f>
        <v>IPS Panel Full HD 1920x1080</v>
      </c>
      <c r="G925" s="2" t="str">
        <f ca="1">IFERROR(__xludf.DUMMYFUNCTION("""COMPUTED_VALUE"""),"Intel Core i7 6600U 2.6GHz")</f>
        <v>Intel Core i7 6600U 2.6GHz</v>
      </c>
      <c r="H925" s="2" t="str">
        <f ca="1">IFERROR(__xludf.DUMMYFUNCTION("""COMPUTED_VALUE"""),"16GB")</f>
        <v>16GB</v>
      </c>
      <c r="I925" s="2" t="str">
        <f ca="1">IFERROR(__xludf.DUMMYFUNCTION("""COMPUTED_VALUE"""),"256GB SSD")</f>
        <v>256GB SSD</v>
      </c>
      <c r="J925" s="2" t="str">
        <f ca="1">IFERROR(__xludf.DUMMYFUNCTION("""COMPUTED_VALUE"""),"Nvidia GeForce 930M")</f>
        <v>Nvidia GeForce 930M</v>
      </c>
      <c r="K925" s="2" t="str">
        <f ca="1">IFERROR(__xludf.DUMMYFUNCTION("""COMPUTED_VALUE"""),"Windows 10")</f>
        <v>Windows 10</v>
      </c>
      <c r="L925" s="2" t="str">
        <f ca="1">IFERROR(__xludf.DUMMYFUNCTION("""COMPUTED_VALUE"""),"2.4kg")</f>
        <v>2.4kg</v>
      </c>
      <c r="M925" s="2">
        <f ca="1">IFERROR(__xludf.DUMMYFUNCTION("""COMPUTED_VALUE"""),1975)</f>
        <v>1975</v>
      </c>
    </row>
    <row r="926" spans="1:13">
      <c r="A926" s="2">
        <f ca="1">IFERROR(__xludf.DUMMYFUNCTION("""COMPUTED_VALUE"""),938)</f>
        <v>938</v>
      </c>
      <c r="B926" s="2" t="str">
        <f ca="1">IFERROR(__xludf.DUMMYFUNCTION("""COMPUTED_VALUE"""),"Lenovo")</f>
        <v>Lenovo</v>
      </c>
      <c r="C926" s="2" t="str">
        <f ca="1">IFERROR(__xludf.DUMMYFUNCTION("""COMPUTED_VALUE"""),"ThinkPad Yoga")</f>
        <v>ThinkPad Yoga</v>
      </c>
      <c r="D926" s="2" t="str">
        <f ca="1">IFERROR(__xludf.DUMMYFUNCTION("""COMPUTED_VALUE"""),"2 in 1 Convertible")</f>
        <v>2 in 1 Convertible</v>
      </c>
      <c r="E926" s="2">
        <f ca="1">IFERROR(__xludf.DUMMYFUNCTION("""COMPUTED_VALUE"""),13.3)</f>
        <v>13.3</v>
      </c>
      <c r="F926" s="2" t="str">
        <f ca="1">IFERROR(__xludf.DUMMYFUNCTION("""COMPUTED_VALUE"""),"IPS Panel Full HD / Touchscreen 1920x1080")</f>
        <v>IPS Panel Full HD / Touchscreen 1920x1080</v>
      </c>
      <c r="G926" s="2" t="str">
        <f ca="1">IFERROR(__xludf.DUMMYFUNCTION("""COMPUTED_VALUE"""),"Intel Core i5 7200U 2.5GHz")</f>
        <v>Intel Core i5 7200U 2.5GHz</v>
      </c>
      <c r="H926" s="2" t="str">
        <f ca="1">IFERROR(__xludf.DUMMYFUNCTION("""COMPUTED_VALUE"""),"8GB")</f>
        <v>8GB</v>
      </c>
      <c r="I926" s="2" t="str">
        <f ca="1">IFERROR(__xludf.DUMMYFUNCTION("""COMPUTED_VALUE"""),"512GB SSD")</f>
        <v>512GB SSD</v>
      </c>
      <c r="J926" s="2" t="str">
        <f ca="1">IFERROR(__xludf.DUMMYFUNCTION("""COMPUTED_VALUE"""),"Intel HD Graphics 620")</f>
        <v>Intel HD Graphics 620</v>
      </c>
      <c r="K926" s="2" t="str">
        <f ca="1">IFERROR(__xludf.DUMMYFUNCTION("""COMPUTED_VALUE"""),"Windows 10")</f>
        <v>Windows 10</v>
      </c>
      <c r="L926" s="2" t="str">
        <f ca="1">IFERROR(__xludf.DUMMYFUNCTION("""COMPUTED_VALUE"""),"1.37kg")</f>
        <v>1.37kg</v>
      </c>
      <c r="M926" s="2">
        <f ca="1">IFERROR(__xludf.DUMMYFUNCTION("""COMPUTED_VALUE"""),1825)</f>
        <v>1825</v>
      </c>
    </row>
    <row r="927" spans="1:13">
      <c r="A927" s="2">
        <f ca="1">IFERROR(__xludf.DUMMYFUNCTION("""COMPUTED_VALUE"""),939)</f>
        <v>939</v>
      </c>
      <c r="B927" s="2" t="str">
        <f ca="1">IFERROR(__xludf.DUMMYFUNCTION("""COMPUTED_VALUE"""),"Dell")</f>
        <v>Dell</v>
      </c>
      <c r="C927" s="2" t="str">
        <f ca="1">IFERROR(__xludf.DUMMYFUNCTION("""COMPUTED_VALUE"""),"Latitude 3580")</f>
        <v>Latitude 3580</v>
      </c>
      <c r="D927" s="2" t="str">
        <f ca="1">IFERROR(__xludf.DUMMYFUNCTION("""COMPUTED_VALUE"""),"Notebook")</f>
        <v>Notebook</v>
      </c>
      <c r="E927" s="2">
        <f ca="1">IFERROR(__xludf.DUMMYFUNCTION("""COMPUTED_VALUE"""),15.6)</f>
        <v>15.6</v>
      </c>
      <c r="F927" s="2" t="str">
        <f ca="1">IFERROR(__xludf.DUMMYFUNCTION("""COMPUTED_VALUE"""),"1366x768")</f>
        <v>1366x768</v>
      </c>
      <c r="G927" s="2" t="str">
        <f ca="1">IFERROR(__xludf.DUMMYFUNCTION("""COMPUTED_VALUE"""),"Intel Core i5 6200U 2.3GHz")</f>
        <v>Intel Core i5 6200U 2.3GHz</v>
      </c>
      <c r="H927" s="2" t="str">
        <f ca="1">IFERROR(__xludf.DUMMYFUNCTION("""COMPUTED_VALUE"""),"4GB")</f>
        <v>4GB</v>
      </c>
      <c r="I927" s="2" t="str">
        <f ca="1">IFERROR(__xludf.DUMMYFUNCTION("""COMPUTED_VALUE"""),"500GB HDD")</f>
        <v>500GB HDD</v>
      </c>
      <c r="J927" s="2" t="str">
        <f ca="1">IFERROR(__xludf.DUMMYFUNCTION("""COMPUTED_VALUE"""),"Intel HD Graphics 520")</f>
        <v>Intel HD Graphics 520</v>
      </c>
      <c r="K927" s="2" t="str">
        <f ca="1">IFERROR(__xludf.DUMMYFUNCTION("""COMPUTED_VALUE"""),"Windows 10")</f>
        <v>Windows 10</v>
      </c>
      <c r="L927" s="2" t="str">
        <f ca="1">IFERROR(__xludf.DUMMYFUNCTION("""COMPUTED_VALUE"""),"1.95kg")</f>
        <v>1.95kg</v>
      </c>
      <c r="M927" s="2">
        <f ca="1">IFERROR(__xludf.DUMMYFUNCTION("""COMPUTED_VALUE"""),729.9)</f>
        <v>729.9</v>
      </c>
    </row>
    <row r="928" spans="1:13">
      <c r="A928" s="2">
        <f ca="1">IFERROR(__xludf.DUMMYFUNCTION("""COMPUTED_VALUE"""),940)</f>
        <v>940</v>
      </c>
      <c r="B928" s="2" t="str">
        <f ca="1">IFERROR(__xludf.DUMMYFUNCTION("""COMPUTED_VALUE"""),"Lenovo")</f>
        <v>Lenovo</v>
      </c>
      <c r="C928" s="2" t="str">
        <f ca="1">IFERROR(__xludf.DUMMYFUNCTION("""COMPUTED_VALUE"""),"Thinkpad X270")</f>
        <v>Thinkpad X270</v>
      </c>
      <c r="D928" s="2" t="str">
        <f ca="1">IFERROR(__xludf.DUMMYFUNCTION("""COMPUTED_VALUE"""),"Ultrabook")</f>
        <v>Ultrabook</v>
      </c>
      <c r="E928" s="2">
        <f ca="1">IFERROR(__xludf.DUMMYFUNCTION("""COMPUTED_VALUE"""),12.5)</f>
        <v>12.5</v>
      </c>
      <c r="F928" s="2" t="str">
        <f ca="1">IFERROR(__xludf.DUMMYFUNCTION("""COMPUTED_VALUE"""),"IPS Panel Full HD 1920x1080")</f>
        <v>IPS Panel Full HD 1920x1080</v>
      </c>
      <c r="G928" s="2" t="str">
        <f ca="1">IFERROR(__xludf.DUMMYFUNCTION("""COMPUTED_VALUE"""),"Intel Core i7 7500U 2.7GHz")</f>
        <v>Intel Core i7 7500U 2.7GHz</v>
      </c>
      <c r="H928" s="2" t="str">
        <f ca="1">IFERROR(__xludf.DUMMYFUNCTION("""COMPUTED_VALUE"""),"8GB")</f>
        <v>8GB</v>
      </c>
      <c r="I928" s="2" t="str">
        <f ca="1">IFERROR(__xludf.DUMMYFUNCTION("""COMPUTED_VALUE"""),"256GB SSD")</f>
        <v>256GB SSD</v>
      </c>
      <c r="J928" s="2" t="str">
        <f ca="1">IFERROR(__xludf.DUMMYFUNCTION("""COMPUTED_VALUE"""),"Intel HD Graphics 620")</f>
        <v>Intel HD Graphics 620</v>
      </c>
      <c r="K928" s="2" t="str">
        <f ca="1">IFERROR(__xludf.DUMMYFUNCTION("""COMPUTED_VALUE"""),"Windows 10")</f>
        <v>Windows 10</v>
      </c>
      <c r="L928" s="2" t="str">
        <f ca="1">IFERROR(__xludf.DUMMYFUNCTION("""COMPUTED_VALUE"""),"1.36kg")</f>
        <v>1.36kg</v>
      </c>
      <c r="M928" s="2">
        <f ca="1">IFERROR(__xludf.DUMMYFUNCTION("""COMPUTED_VALUE"""),1650)</f>
        <v>1650</v>
      </c>
    </row>
    <row r="929" spans="1:13">
      <c r="A929" s="2">
        <f ca="1">IFERROR(__xludf.DUMMYFUNCTION("""COMPUTED_VALUE"""),941)</f>
        <v>941</v>
      </c>
      <c r="B929" s="2" t="str">
        <f ca="1">IFERROR(__xludf.DUMMYFUNCTION("""COMPUTED_VALUE"""),"HP")</f>
        <v>HP</v>
      </c>
      <c r="C929" s="2" t="str">
        <f ca="1">IFERROR(__xludf.DUMMYFUNCTION("""COMPUTED_VALUE"""),"Probook 650")</f>
        <v>Probook 650</v>
      </c>
      <c r="D929" s="2" t="str">
        <f ca="1">IFERROR(__xludf.DUMMYFUNCTION("""COMPUTED_VALUE"""),"Notebook")</f>
        <v>Notebook</v>
      </c>
      <c r="E929" s="2">
        <f ca="1">IFERROR(__xludf.DUMMYFUNCTION("""COMPUTED_VALUE"""),15.6)</f>
        <v>15.6</v>
      </c>
      <c r="F929" s="2" t="str">
        <f ca="1">IFERROR(__xludf.DUMMYFUNCTION("""COMPUTED_VALUE"""),"Full HD 1920x1080")</f>
        <v>Full HD 1920x1080</v>
      </c>
      <c r="G929" s="2" t="str">
        <f ca="1">IFERROR(__xludf.DUMMYFUNCTION("""COMPUTED_VALUE"""),"Intel Core i5 6200U 2.3GHz")</f>
        <v>Intel Core i5 6200U 2.3GHz</v>
      </c>
      <c r="H929" s="2" t="str">
        <f ca="1">IFERROR(__xludf.DUMMYFUNCTION("""COMPUTED_VALUE"""),"8GB")</f>
        <v>8GB</v>
      </c>
      <c r="I929" s="2" t="str">
        <f ca="1">IFERROR(__xludf.DUMMYFUNCTION("""COMPUTED_VALUE"""),"256GB SSD")</f>
        <v>256GB SSD</v>
      </c>
      <c r="J929" s="2" t="str">
        <f ca="1">IFERROR(__xludf.DUMMYFUNCTION("""COMPUTED_VALUE"""),"Intel HD Graphics 520")</f>
        <v>Intel HD Graphics 520</v>
      </c>
      <c r="K929" s="2" t="str">
        <f ca="1">IFERROR(__xludf.DUMMYFUNCTION("""COMPUTED_VALUE"""),"Windows 10")</f>
        <v>Windows 10</v>
      </c>
      <c r="L929" s="2" t="str">
        <f ca="1">IFERROR(__xludf.DUMMYFUNCTION("""COMPUTED_VALUE"""),"2.31kg")</f>
        <v>2.31kg</v>
      </c>
      <c r="M929" s="2">
        <f ca="1">IFERROR(__xludf.DUMMYFUNCTION("""COMPUTED_VALUE"""),1165)</f>
        <v>1165</v>
      </c>
    </row>
    <row r="930" spans="1:13">
      <c r="A930" s="2">
        <f ca="1">IFERROR(__xludf.DUMMYFUNCTION("""COMPUTED_VALUE"""),942)</f>
        <v>942</v>
      </c>
      <c r="B930" s="2" t="str">
        <f ca="1">IFERROR(__xludf.DUMMYFUNCTION("""COMPUTED_VALUE"""),"Dell")</f>
        <v>Dell</v>
      </c>
      <c r="C930" s="2" t="str">
        <f ca="1">IFERROR(__xludf.DUMMYFUNCTION("""COMPUTED_VALUE"""),"Vostro 3568")</f>
        <v>Vostro 3568</v>
      </c>
      <c r="D930" s="2" t="str">
        <f ca="1">IFERROR(__xludf.DUMMYFUNCTION("""COMPUTED_VALUE"""),"Notebook")</f>
        <v>Notebook</v>
      </c>
      <c r="E930" s="2">
        <f ca="1">IFERROR(__xludf.DUMMYFUNCTION("""COMPUTED_VALUE"""),15.6)</f>
        <v>15.6</v>
      </c>
      <c r="F930" s="2" t="str">
        <f ca="1">IFERROR(__xludf.DUMMYFUNCTION("""COMPUTED_VALUE"""),"1366x768")</f>
        <v>1366x768</v>
      </c>
      <c r="G930" s="2" t="str">
        <f ca="1">IFERROR(__xludf.DUMMYFUNCTION("""COMPUTED_VALUE"""),"Intel Core i5 7200U 2.5GHz")</f>
        <v>Intel Core i5 7200U 2.5GHz</v>
      </c>
      <c r="H930" s="2" t="str">
        <f ca="1">IFERROR(__xludf.DUMMYFUNCTION("""COMPUTED_VALUE"""),"4GB")</f>
        <v>4GB</v>
      </c>
      <c r="I930" s="2" t="str">
        <f ca="1">IFERROR(__xludf.DUMMYFUNCTION("""COMPUTED_VALUE"""),"1TB HDD")</f>
        <v>1TB HDD</v>
      </c>
      <c r="J930" s="2" t="str">
        <f ca="1">IFERROR(__xludf.DUMMYFUNCTION("""COMPUTED_VALUE"""),"Intel HD Graphics 620")</f>
        <v>Intel HD Graphics 620</v>
      </c>
      <c r="K930" s="2" t="str">
        <f ca="1">IFERROR(__xludf.DUMMYFUNCTION("""COMPUTED_VALUE"""),"Windows 10")</f>
        <v>Windows 10</v>
      </c>
      <c r="L930" s="2" t="str">
        <f ca="1">IFERROR(__xludf.DUMMYFUNCTION("""COMPUTED_VALUE"""),"2.18kg")</f>
        <v>2.18kg</v>
      </c>
      <c r="M930" s="2">
        <f ca="1">IFERROR(__xludf.DUMMYFUNCTION("""COMPUTED_VALUE"""),708.06)</f>
        <v>708.06</v>
      </c>
    </row>
    <row r="931" spans="1:13">
      <c r="A931" s="2">
        <f ca="1">IFERROR(__xludf.DUMMYFUNCTION("""COMPUTED_VALUE"""),943)</f>
        <v>943</v>
      </c>
      <c r="B931" s="2" t="str">
        <f ca="1">IFERROR(__xludf.DUMMYFUNCTION("""COMPUTED_VALUE"""),"HP")</f>
        <v>HP</v>
      </c>
      <c r="C931" s="2" t="str">
        <f ca="1">IFERROR(__xludf.DUMMYFUNCTION("""COMPUTED_VALUE"""),"ProBook 640")</f>
        <v>ProBook 640</v>
      </c>
      <c r="D931" s="2" t="str">
        <f ca="1">IFERROR(__xludf.DUMMYFUNCTION("""COMPUTED_VALUE"""),"Notebook")</f>
        <v>Notebook</v>
      </c>
      <c r="E931" s="2">
        <f ca="1">IFERROR(__xludf.DUMMYFUNCTION("""COMPUTED_VALUE"""),14)</f>
        <v>14</v>
      </c>
      <c r="F931" s="2" t="str">
        <f ca="1">IFERROR(__xludf.DUMMYFUNCTION("""COMPUTED_VALUE"""),"1366x768")</f>
        <v>1366x768</v>
      </c>
      <c r="G931" s="2" t="str">
        <f ca="1">IFERROR(__xludf.DUMMYFUNCTION("""COMPUTED_VALUE"""),"Intel Core i5 6200U 2.3GHz")</f>
        <v>Intel Core i5 6200U 2.3GHz</v>
      </c>
      <c r="H931" s="2" t="str">
        <f ca="1">IFERROR(__xludf.DUMMYFUNCTION("""COMPUTED_VALUE"""),"4GB")</f>
        <v>4GB</v>
      </c>
      <c r="I931" s="2" t="str">
        <f ca="1">IFERROR(__xludf.DUMMYFUNCTION("""COMPUTED_VALUE"""),"500GB HDD")</f>
        <v>500GB HDD</v>
      </c>
      <c r="J931" s="2" t="str">
        <f ca="1">IFERROR(__xludf.DUMMYFUNCTION("""COMPUTED_VALUE"""),"Intel HD Graphics 520")</f>
        <v>Intel HD Graphics 520</v>
      </c>
      <c r="K931" s="2" t="str">
        <f ca="1">IFERROR(__xludf.DUMMYFUNCTION("""COMPUTED_VALUE"""),"Windows 10")</f>
        <v>Windows 10</v>
      </c>
      <c r="L931" s="2" t="str">
        <f ca="1">IFERROR(__xludf.DUMMYFUNCTION("""COMPUTED_VALUE"""),"1.95kg")</f>
        <v>1.95kg</v>
      </c>
      <c r="M931" s="2">
        <f ca="1">IFERROR(__xludf.DUMMYFUNCTION("""COMPUTED_VALUE"""),1149)</f>
        <v>1149</v>
      </c>
    </row>
    <row r="932" spans="1:13">
      <c r="A932" s="2">
        <f ca="1">IFERROR(__xludf.DUMMYFUNCTION("""COMPUTED_VALUE"""),944)</f>
        <v>944</v>
      </c>
      <c r="B932" s="2" t="str">
        <f ca="1">IFERROR(__xludf.DUMMYFUNCTION("""COMPUTED_VALUE"""),"Lenovo")</f>
        <v>Lenovo</v>
      </c>
      <c r="C932" s="2" t="str">
        <f ca="1">IFERROR(__xludf.DUMMYFUNCTION("""COMPUTED_VALUE"""),"IdeaPad 320-15IAP")</f>
        <v>IdeaPad 320-15IAP</v>
      </c>
      <c r="D932" s="2" t="str">
        <f ca="1">IFERROR(__xludf.DUMMYFUNCTION("""COMPUTED_VALUE"""),"Notebook")</f>
        <v>Notebook</v>
      </c>
      <c r="E932" s="2">
        <f ca="1">IFERROR(__xludf.DUMMYFUNCTION("""COMPUTED_VALUE"""),15.6)</f>
        <v>15.6</v>
      </c>
      <c r="F932" s="2" t="str">
        <f ca="1">IFERROR(__xludf.DUMMYFUNCTION("""COMPUTED_VALUE"""),"1366x768")</f>
        <v>1366x768</v>
      </c>
      <c r="G932" s="2" t="str">
        <f ca="1">IFERROR(__xludf.DUMMYFUNCTION("""COMPUTED_VALUE"""),"Intel Pentium Quad Core N4200 1.1GHz")</f>
        <v>Intel Pentium Quad Core N4200 1.1GHz</v>
      </c>
      <c r="H932" s="2" t="str">
        <f ca="1">IFERROR(__xludf.DUMMYFUNCTION("""COMPUTED_VALUE"""),"4GB")</f>
        <v>4GB</v>
      </c>
      <c r="I932" s="2" t="str">
        <f ca="1">IFERROR(__xludf.DUMMYFUNCTION("""COMPUTED_VALUE"""),"1TB HDD")</f>
        <v>1TB HDD</v>
      </c>
      <c r="J932" s="2" t="str">
        <f ca="1">IFERROR(__xludf.DUMMYFUNCTION("""COMPUTED_VALUE"""),"Intel HD Graphics 505")</f>
        <v>Intel HD Graphics 505</v>
      </c>
      <c r="K932" s="2" t="str">
        <f ca="1">IFERROR(__xludf.DUMMYFUNCTION("""COMPUTED_VALUE"""),"Windows 10")</f>
        <v>Windows 10</v>
      </c>
      <c r="L932" s="2" t="str">
        <f ca="1">IFERROR(__xludf.DUMMYFUNCTION("""COMPUTED_VALUE"""),"2.2kg")</f>
        <v>2.2kg</v>
      </c>
      <c r="M932" s="2">
        <f ca="1">IFERROR(__xludf.DUMMYFUNCTION("""COMPUTED_VALUE"""),309)</f>
        <v>309</v>
      </c>
    </row>
    <row r="933" spans="1:13">
      <c r="A933" s="2">
        <f ca="1">IFERROR(__xludf.DUMMYFUNCTION("""COMPUTED_VALUE"""),945)</f>
        <v>945</v>
      </c>
      <c r="B933" s="2" t="str">
        <f ca="1">IFERROR(__xludf.DUMMYFUNCTION("""COMPUTED_VALUE"""),"HP")</f>
        <v>HP</v>
      </c>
      <c r="C933" s="2" t="str">
        <f ca="1">IFERROR(__xludf.DUMMYFUNCTION("""COMPUTED_VALUE"""),"EliteBook 820")</f>
        <v>EliteBook 820</v>
      </c>
      <c r="D933" s="2" t="str">
        <f ca="1">IFERROR(__xludf.DUMMYFUNCTION("""COMPUTED_VALUE"""),"Ultrabook")</f>
        <v>Ultrabook</v>
      </c>
      <c r="E933" s="2">
        <f ca="1">IFERROR(__xludf.DUMMYFUNCTION("""COMPUTED_VALUE"""),12.5)</f>
        <v>12.5</v>
      </c>
      <c r="F933" s="2" t="str">
        <f ca="1">IFERROR(__xludf.DUMMYFUNCTION("""COMPUTED_VALUE"""),"Full HD 1920x1080")</f>
        <v>Full HD 1920x1080</v>
      </c>
      <c r="G933" s="2" t="str">
        <f ca="1">IFERROR(__xludf.DUMMYFUNCTION("""COMPUTED_VALUE"""),"Intel Core i5 6200U 2.3GHz")</f>
        <v>Intel Core i5 6200U 2.3GHz</v>
      </c>
      <c r="H933" s="2" t="str">
        <f ca="1">IFERROR(__xludf.DUMMYFUNCTION("""COMPUTED_VALUE"""),"4GB")</f>
        <v>4GB</v>
      </c>
      <c r="I933" s="2" t="str">
        <f ca="1">IFERROR(__xludf.DUMMYFUNCTION("""COMPUTED_VALUE"""),"500GB HDD")</f>
        <v>500GB HDD</v>
      </c>
      <c r="J933" s="2" t="str">
        <f ca="1">IFERROR(__xludf.DUMMYFUNCTION("""COMPUTED_VALUE"""),"Intel HD Graphics 520")</f>
        <v>Intel HD Graphics 520</v>
      </c>
      <c r="K933" s="2" t="str">
        <f ca="1">IFERROR(__xludf.DUMMYFUNCTION("""COMPUTED_VALUE"""),"Windows 10")</f>
        <v>Windows 10</v>
      </c>
      <c r="L933" s="2" t="str">
        <f ca="1">IFERROR(__xludf.DUMMYFUNCTION("""COMPUTED_VALUE"""),"1.26kg")</f>
        <v>1.26kg</v>
      </c>
      <c r="M933" s="2">
        <f ca="1">IFERROR(__xludf.DUMMYFUNCTION("""COMPUTED_VALUE"""),1579)</f>
        <v>1579</v>
      </c>
    </row>
    <row r="934" spans="1:13">
      <c r="A934" s="2">
        <f ca="1">IFERROR(__xludf.DUMMYFUNCTION("""COMPUTED_VALUE"""),946)</f>
        <v>946</v>
      </c>
      <c r="B934" s="2" t="str">
        <f ca="1">IFERROR(__xludf.DUMMYFUNCTION("""COMPUTED_VALUE"""),"HP")</f>
        <v>HP</v>
      </c>
      <c r="C934" s="2" t="str">
        <f ca="1">IFERROR(__xludf.DUMMYFUNCTION("""COMPUTED_VALUE"""),"250 G6")</f>
        <v>250 G6</v>
      </c>
      <c r="D934" s="2" t="str">
        <f ca="1">IFERROR(__xludf.DUMMYFUNCTION("""COMPUTED_VALUE"""),"Notebook")</f>
        <v>Notebook</v>
      </c>
      <c r="E934" s="2">
        <f ca="1">IFERROR(__xludf.DUMMYFUNCTION("""COMPUTED_VALUE"""),15.6)</f>
        <v>15.6</v>
      </c>
      <c r="F934" s="2" t="str">
        <f ca="1">IFERROR(__xludf.DUMMYFUNCTION("""COMPUTED_VALUE"""),"1366x768")</f>
        <v>1366x768</v>
      </c>
      <c r="G934" s="2" t="str">
        <f ca="1">IFERROR(__xludf.DUMMYFUNCTION("""COMPUTED_VALUE"""),"Intel Celeron Dual Core N3060 1.6GHz")</f>
        <v>Intel Celeron Dual Core N3060 1.6GHz</v>
      </c>
      <c r="H934" s="2" t="str">
        <f ca="1">IFERROR(__xludf.DUMMYFUNCTION("""COMPUTED_VALUE"""),"4GB")</f>
        <v>4GB</v>
      </c>
      <c r="I934" s="2" t="str">
        <f ca="1">IFERROR(__xludf.DUMMYFUNCTION("""COMPUTED_VALUE"""),"1TB HDD")</f>
        <v>1TB HDD</v>
      </c>
      <c r="J934" s="2" t="str">
        <f ca="1">IFERROR(__xludf.DUMMYFUNCTION("""COMPUTED_VALUE"""),"Intel HD Graphics 400")</f>
        <v>Intel HD Graphics 400</v>
      </c>
      <c r="K934" s="2" t="str">
        <f ca="1">IFERROR(__xludf.DUMMYFUNCTION("""COMPUTED_VALUE"""),"No OS")</f>
        <v>No OS</v>
      </c>
      <c r="L934" s="2" t="str">
        <f ca="1">IFERROR(__xludf.DUMMYFUNCTION("""COMPUTED_VALUE"""),"1.86kg")</f>
        <v>1.86kg</v>
      </c>
      <c r="M934" s="2">
        <f ca="1">IFERROR(__xludf.DUMMYFUNCTION("""COMPUTED_VALUE"""),288.9)</f>
        <v>288.89999999999998</v>
      </c>
    </row>
    <row r="935" spans="1:13">
      <c r="A935" s="2">
        <f ca="1">IFERROR(__xludf.DUMMYFUNCTION("""COMPUTED_VALUE"""),947)</f>
        <v>947</v>
      </c>
      <c r="B935" s="2" t="str">
        <f ca="1">IFERROR(__xludf.DUMMYFUNCTION("""COMPUTED_VALUE"""),"Lenovo")</f>
        <v>Lenovo</v>
      </c>
      <c r="C935" s="2" t="str">
        <f ca="1">IFERROR(__xludf.DUMMYFUNCTION("""COMPUTED_VALUE"""),"Yoga 900-13ISK")</f>
        <v>Yoga 900-13ISK</v>
      </c>
      <c r="D935" s="2" t="str">
        <f ca="1">IFERROR(__xludf.DUMMYFUNCTION("""COMPUTED_VALUE"""),"2 in 1 Convertible")</f>
        <v>2 in 1 Convertible</v>
      </c>
      <c r="E935" s="2">
        <f ca="1">IFERROR(__xludf.DUMMYFUNCTION("""COMPUTED_VALUE"""),13.3)</f>
        <v>13.3</v>
      </c>
      <c r="F935" s="2" t="str">
        <f ca="1">IFERROR(__xludf.DUMMYFUNCTION("""COMPUTED_VALUE"""),"IPS Panel Quad HD+ / Touchscreen 3200x1800")</f>
        <v>IPS Panel Quad HD+ / Touchscreen 3200x1800</v>
      </c>
      <c r="G935" s="2" t="str">
        <f ca="1">IFERROR(__xludf.DUMMYFUNCTION("""COMPUTED_VALUE"""),"Intel Core i7 6560U 2.2GHz")</f>
        <v>Intel Core i7 6560U 2.2GHz</v>
      </c>
      <c r="H935" s="2" t="str">
        <f ca="1">IFERROR(__xludf.DUMMYFUNCTION("""COMPUTED_VALUE"""),"16GB")</f>
        <v>16GB</v>
      </c>
      <c r="I935" s="2" t="str">
        <f ca="1">IFERROR(__xludf.DUMMYFUNCTION("""COMPUTED_VALUE"""),"1TB SSD")</f>
        <v>1TB SSD</v>
      </c>
      <c r="J935" s="2" t="str">
        <f ca="1">IFERROR(__xludf.DUMMYFUNCTION("""COMPUTED_VALUE"""),"Intel Iris Graphics 540")</f>
        <v>Intel Iris Graphics 540</v>
      </c>
      <c r="K935" s="2" t="str">
        <f ca="1">IFERROR(__xludf.DUMMYFUNCTION("""COMPUTED_VALUE"""),"Windows 10")</f>
        <v>Windows 10</v>
      </c>
      <c r="L935" s="2" t="str">
        <f ca="1">IFERROR(__xludf.DUMMYFUNCTION("""COMPUTED_VALUE"""),"1.3kg")</f>
        <v>1.3kg</v>
      </c>
      <c r="M935" s="2">
        <f ca="1">IFERROR(__xludf.DUMMYFUNCTION("""COMPUTED_VALUE"""),1799)</f>
        <v>1799</v>
      </c>
    </row>
    <row r="936" spans="1:13">
      <c r="A936" s="2">
        <f ca="1">IFERROR(__xludf.DUMMYFUNCTION("""COMPUTED_VALUE"""),948)</f>
        <v>948</v>
      </c>
      <c r="B936" s="2" t="str">
        <f ca="1">IFERROR(__xludf.DUMMYFUNCTION("""COMPUTED_VALUE"""),"Toshiba")</f>
        <v>Toshiba</v>
      </c>
      <c r="C936" s="2" t="str">
        <f ca="1">IFERROR(__xludf.DUMMYFUNCTION("""COMPUTED_VALUE"""),"Tecra Z40-C-12X")</f>
        <v>Tecra Z40-C-12X</v>
      </c>
      <c r="D936" s="2" t="str">
        <f ca="1">IFERROR(__xludf.DUMMYFUNCTION("""COMPUTED_VALUE"""),"Notebook")</f>
        <v>Notebook</v>
      </c>
      <c r="E936" s="2">
        <f ca="1">IFERROR(__xludf.DUMMYFUNCTION("""COMPUTED_VALUE"""),14)</f>
        <v>14</v>
      </c>
      <c r="F936" s="2" t="str">
        <f ca="1">IFERROR(__xludf.DUMMYFUNCTION("""COMPUTED_VALUE"""),"IPS Panel Full HD 1920x1080")</f>
        <v>IPS Panel Full HD 1920x1080</v>
      </c>
      <c r="G936" s="2" t="str">
        <f ca="1">IFERROR(__xludf.DUMMYFUNCTION("""COMPUTED_VALUE"""),"Intel Core i5 6200U 2.3GHz")</f>
        <v>Intel Core i5 6200U 2.3GHz</v>
      </c>
      <c r="H936" s="2" t="str">
        <f ca="1">IFERROR(__xludf.DUMMYFUNCTION("""COMPUTED_VALUE"""),"4GB")</f>
        <v>4GB</v>
      </c>
      <c r="I936" s="2" t="str">
        <f ca="1">IFERROR(__xludf.DUMMYFUNCTION("""COMPUTED_VALUE"""),"128GB SSD")</f>
        <v>128GB SSD</v>
      </c>
      <c r="J936" s="2" t="str">
        <f ca="1">IFERROR(__xludf.DUMMYFUNCTION("""COMPUTED_VALUE"""),"Intel HD Graphics 520")</f>
        <v>Intel HD Graphics 520</v>
      </c>
      <c r="K936" s="2" t="str">
        <f ca="1">IFERROR(__xludf.DUMMYFUNCTION("""COMPUTED_VALUE"""),"Windows 10")</f>
        <v>Windows 10</v>
      </c>
      <c r="L936" s="2" t="str">
        <f ca="1">IFERROR(__xludf.DUMMYFUNCTION("""COMPUTED_VALUE"""),"1.47kg")</f>
        <v>1.47kg</v>
      </c>
      <c r="M936" s="2">
        <f ca="1">IFERROR(__xludf.DUMMYFUNCTION("""COMPUTED_VALUE"""),1105)</f>
        <v>1105</v>
      </c>
    </row>
    <row r="937" spans="1:13">
      <c r="A937" s="2">
        <f ca="1">IFERROR(__xludf.DUMMYFUNCTION("""COMPUTED_VALUE"""),949)</f>
        <v>949</v>
      </c>
      <c r="B937" s="2" t="str">
        <f ca="1">IFERROR(__xludf.DUMMYFUNCTION("""COMPUTED_VALUE"""),"HP")</f>
        <v>HP</v>
      </c>
      <c r="C937" s="2" t="str">
        <f ca="1">IFERROR(__xludf.DUMMYFUNCTION("""COMPUTED_VALUE"""),"EliteBook 820")</f>
        <v>EliteBook 820</v>
      </c>
      <c r="D937" s="2" t="str">
        <f ca="1">IFERROR(__xludf.DUMMYFUNCTION("""COMPUTED_VALUE"""),"Netbook")</f>
        <v>Netbook</v>
      </c>
      <c r="E937" s="2">
        <f ca="1">IFERROR(__xludf.DUMMYFUNCTION("""COMPUTED_VALUE"""),12.5)</f>
        <v>12.5</v>
      </c>
      <c r="F937" s="2" t="str">
        <f ca="1">IFERROR(__xludf.DUMMYFUNCTION("""COMPUTED_VALUE"""),"Full HD 1920x1080")</f>
        <v>Full HD 1920x1080</v>
      </c>
      <c r="G937" s="2" t="str">
        <f ca="1">IFERROR(__xludf.DUMMYFUNCTION("""COMPUTED_VALUE"""),"Intel Core i5 6200U 2.3GHz")</f>
        <v>Intel Core i5 6200U 2.3GHz</v>
      </c>
      <c r="H937" s="2" t="str">
        <f ca="1">IFERROR(__xludf.DUMMYFUNCTION("""COMPUTED_VALUE"""),"8GB")</f>
        <v>8GB</v>
      </c>
      <c r="I937" s="2" t="str">
        <f ca="1">IFERROR(__xludf.DUMMYFUNCTION("""COMPUTED_VALUE"""),"256GB SSD")</f>
        <v>256GB SSD</v>
      </c>
      <c r="J937" s="2" t="str">
        <f ca="1">IFERROR(__xludf.DUMMYFUNCTION("""COMPUTED_VALUE"""),"Intel HD Graphics 520")</f>
        <v>Intel HD Graphics 520</v>
      </c>
      <c r="K937" s="2" t="str">
        <f ca="1">IFERROR(__xludf.DUMMYFUNCTION("""COMPUTED_VALUE"""),"Windows 10")</f>
        <v>Windows 10</v>
      </c>
      <c r="L937" s="2" t="str">
        <f ca="1">IFERROR(__xludf.DUMMYFUNCTION("""COMPUTED_VALUE"""),"1.26kg")</f>
        <v>1.26kg</v>
      </c>
      <c r="M937" s="2">
        <f ca="1">IFERROR(__xludf.DUMMYFUNCTION("""COMPUTED_VALUE"""),1669)</f>
        <v>1669</v>
      </c>
    </row>
    <row r="938" spans="1:13">
      <c r="A938" s="2">
        <f ca="1">IFERROR(__xludf.DUMMYFUNCTION("""COMPUTED_VALUE"""),950)</f>
        <v>950</v>
      </c>
      <c r="B938" s="2" t="str">
        <f ca="1">IFERROR(__xludf.DUMMYFUNCTION("""COMPUTED_VALUE"""),"Dell")</f>
        <v>Dell</v>
      </c>
      <c r="C938" s="2" t="str">
        <f ca="1">IFERROR(__xludf.DUMMYFUNCTION("""COMPUTED_VALUE"""),"Vostro 3568")</f>
        <v>Vostro 3568</v>
      </c>
      <c r="D938" s="2" t="str">
        <f ca="1">IFERROR(__xludf.DUMMYFUNCTION("""COMPUTED_VALUE"""),"Notebook")</f>
        <v>Notebook</v>
      </c>
      <c r="E938" s="2">
        <f ca="1">IFERROR(__xludf.DUMMYFUNCTION("""COMPUTED_VALUE"""),15.6)</f>
        <v>15.6</v>
      </c>
      <c r="F938" s="2" t="str">
        <f ca="1">IFERROR(__xludf.DUMMYFUNCTION("""COMPUTED_VALUE"""),"1366x768")</f>
        <v>1366x768</v>
      </c>
      <c r="G938" s="2" t="str">
        <f ca="1">IFERROR(__xludf.DUMMYFUNCTION("""COMPUTED_VALUE"""),"Intel Core i3 6006U 2.0GHz")</f>
        <v>Intel Core i3 6006U 2.0GHz</v>
      </c>
      <c r="H938" s="2" t="str">
        <f ca="1">IFERROR(__xludf.DUMMYFUNCTION("""COMPUTED_VALUE"""),"4GB")</f>
        <v>4GB</v>
      </c>
      <c r="I938" s="2" t="str">
        <f ca="1">IFERROR(__xludf.DUMMYFUNCTION("""COMPUTED_VALUE"""),"1TB HDD")</f>
        <v>1TB HDD</v>
      </c>
      <c r="J938" s="2" t="str">
        <f ca="1">IFERROR(__xludf.DUMMYFUNCTION("""COMPUTED_VALUE"""),"Intel HD Graphics 520")</f>
        <v>Intel HD Graphics 520</v>
      </c>
      <c r="K938" s="2" t="str">
        <f ca="1">IFERROR(__xludf.DUMMYFUNCTION("""COMPUTED_VALUE"""),"Windows 10")</f>
        <v>Windows 10</v>
      </c>
      <c r="L938" s="2" t="str">
        <f ca="1">IFERROR(__xludf.DUMMYFUNCTION("""COMPUTED_VALUE"""),"2.18kg")</f>
        <v>2.18kg</v>
      </c>
      <c r="M938" s="2">
        <f ca="1">IFERROR(__xludf.DUMMYFUNCTION("""COMPUTED_VALUE"""),558.6)</f>
        <v>558.6</v>
      </c>
    </row>
    <row r="939" spans="1:13">
      <c r="A939" s="2">
        <f ca="1">IFERROR(__xludf.DUMMYFUNCTION("""COMPUTED_VALUE"""),951)</f>
        <v>951</v>
      </c>
      <c r="B939" s="2" t="str">
        <f ca="1">IFERROR(__xludf.DUMMYFUNCTION("""COMPUTED_VALUE"""),"MSI")</f>
        <v>MSI</v>
      </c>
      <c r="C939" s="2" t="str">
        <f ca="1">IFERROR(__xludf.DUMMYFUNCTION("""COMPUTED_VALUE"""),"GP62M Leopard")</f>
        <v>GP62M Leopard</v>
      </c>
      <c r="D939" s="2" t="str">
        <f ca="1">IFERROR(__xludf.DUMMYFUNCTION("""COMPUTED_VALUE"""),"Gaming")</f>
        <v>Gaming</v>
      </c>
      <c r="E939" s="2">
        <f ca="1">IFERROR(__xludf.DUMMYFUNCTION("""COMPUTED_VALUE"""),15.6)</f>
        <v>15.6</v>
      </c>
      <c r="F939" s="2" t="str">
        <f ca="1">IFERROR(__xludf.DUMMYFUNCTION("""COMPUTED_VALUE"""),"Full HD 1920x1080")</f>
        <v>Full HD 1920x1080</v>
      </c>
      <c r="G939" s="2" t="str">
        <f ca="1">IFERROR(__xludf.DUMMYFUNCTION("""COMPUTED_VALUE"""),"Intel Core i7 7700HQ 2.8GHz")</f>
        <v>Intel Core i7 7700HQ 2.8GHz</v>
      </c>
      <c r="H939" s="2" t="str">
        <f ca="1">IFERROR(__xludf.DUMMYFUNCTION("""COMPUTED_VALUE"""),"8GB")</f>
        <v>8GB</v>
      </c>
      <c r="I939" s="2" t="str">
        <f ca="1">IFERROR(__xludf.DUMMYFUNCTION("""COMPUTED_VALUE"""),"128GB SSD +  1TB HDD")</f>
        <v>128GB SSD +  1TB HDD</v>
      </c>
      <c r="J939" s="2" t="str">
        <f ca="1">IFERROR(__xludf.DUMMYFUNCTION("""COMPUTED_VALUE"""),"Nvidia GeForce GTX 1050")</f>
        <v>Nvidia GeForce GTX 1050</v>
      </c>
      <c r="K939" s="2" t="str">
        <f ca="1">IFERROR(__xludf.DUMMYFUNCTION("""COMPUTED_VALUE"""),"Windows 10")</f>
        <v>Windows 10</v>
      </c>
      <c r="L939" s="2" t="str">
        <f ca="1">IFERROR(__xludf.DUMMYFUNCTION("""COMPUTED_VALUE"""),"2.2kg")</f>
        <v>2.2kg</v>
      </c>
      <c r="M939" s="2">
        <f ca="1">IFERROR(__xludf.DUMMYFUNCTION("""COMPUTED_VALUE"""),1199)</f>
        <v>1199</v>
      </c>
    </row>
    <row r="940" spans="1:13">
      <c r="A940" s="2">
        <f ca="1">IFERROR(__xludf.DUMMYFUNCTION("""COMPUTED_VALUE"""),952)</f>
        <v>952</v>
      </c>
      <c r="B940" s="2" t="str">
        <f ca="1">IFERROR(__xludf.DUMMYFUNCTION("""COMPUTED_VALUE"""),"Dell")</f>
        <v>Dell</v>
      </c>
      <c r="C940" s="2" t="str">
        <f ca="1">IFERROR(__xludf.DUMMYFUNCTION("""COMPUTED_VALUE"""),"Latitude 7480")</f>
        <v>Latitude 7480</v>
      </c>
      <c r="D940" s="2" t="str">
        <f ca="1">IFERROR(__xludf.DUMMYFUNCTION("""COMPUTED_VALUE"""),"Ultrabook")</f>
        <v>Ultrabook</v>
      </c>
      <c r="E940" s="2">
        <f ca="1">IFERROR(__xludf.DUMMYFUNCTION("""COMPUTED_VALUE"""),14)</f>
        <v>14</v>
      </c>
      <c r="F940" s="2" t="str">
        <f ca="1">IFERROR(__xludf.DUMMYFUNCTION("""COMPUTED_VALUE"""),"Full HD 1920x1080")</f>
        <v>Full HD 1920x1080</v>
      </c>
      <c r="G940" s="2" t="str">
        <f ca="1">IFERROR(__xludf.DUMMYFUNCTION("""COMPUTED_VALUE"""),"Intel Core i5 7200U 2.5GHz")</f>
        <v>Intel Core i5 7200U 2.5GHz</v>
      </c>
      <c r="H940" s="2" t="str">
        <f ca="1">IFERROR(__xludf.DUMMYFUNCTION("""COMPUTED_VALUE"""),"8GB")</f>
        <v>8GB</v>
      </c>
      <c r="I940" s="2" t="str">
        <f ca="1">IFERROR(__xludf.DUMMYFUNCTION("""COMPUTED_VALUE"""),"256GB SSD")</f>
        <v>256GB SSD</v>
      </c>
      <c r="J940" s="2" t="str">
        <f ca="1">IFERROR(__xludf.DUMMYFUNCTION("""COMPUTED_VALUE"""),"Intel HD Graphics 620")</f>
        <v>Intel HD Graphics 620</v>
      </c>
      <c r="K940" s="2" t="str">
        <f ca="1">IFERROR(__xludf.DUMMYFUNCTION("""COMPUTED_VALUE"""),"Windows 10")</f>
        <v>Windows 10</v>
      </c>
      <c r="L940" s="2" t="str">
        <f ca="1">IFERROR(__xludf.DUMMYFUNCTION("""COMPUTED_VALUE"""),"1.36kg")</f>
        <v>1.36kg</v>
      </c>
      <c r="M940" s="2">
        <f ca="1">IFERROR(__xludf.DUMMYFUNCTION("""COMPUTED_VALUE"""),1639)</f>
        <v>1639</v>
      </c>
    </row>
    <row r="941" spans="1:13">
      <c r="A941" s="2">
        <f ca="1">IFERROR(__xludf.DUMMYFUNCTION("""COMPUTED_VALUE"""),953)</f>
        <v>953</v>
      </c>
      <c r="B941" s="2" t="str">
        <f ca="1">IFERROR(__xludf.DUMMYFUNCTION("""COMPUTED_VALUE"""),"Dell")</f>
        <v>Dell</v>
      </c>
      <c r="C941" s="2" t="str">
        <f ca="1">IFERROR(__xludf.DUMMYFUNCTION("""COMPUTED_VALUE"""),"Alienware 17")</f>
        <v>Alienware 17</v>
      </c>
      <c r="D941" s="2" t="str">
        <f ca="1">IFERROR(__xludf.DUMMYFUNCTION("""COMPUTED_VALUE"""),"Gaming")</f>
        <v>Gaming</v>
      </c>
      <c r="E941" s="2">
        <f ca="1">IFERROR(__xludf.DUMMYFUNCTION("""COMPUTED_VALUE"""),17.3)</f>
        <v>17.3</v>
      </c>
      <c r="F941" s="2" t="str">
        <f ca="1">IFERROR(__xludf.DUMMYFUNCTION("""COMPUTED_VALUE"""),"2560x1440")</f>
        <v>2560x1440</v>
      </c>
      <c r="G941" s="2" t="str">
        <f ca="1">IFERROR(__xludf.DUMMYFUNCTION("""COMPUTED_VALUE"""),"Intel Core i7 6820HK 2.7GHz")</f>
        <v>Intel Core i7 6820HK 2.7GHz</v>
      </c>
      <c r="H941" s="2" t="str">
        <f ca="1">IFERROR(__xludf.DUMMYFUNCTION("""COMPUTED_VALUE"""),"16GB")</f>
        <v>16GB</v>
      </c>
      <c r="I941" s="2" t="str">
        <f ca="1">IFERROR(__xludf.DUMMYFUNCTION("""COMPUTED_VALUE"""),"512GB SSD +  1TB HDD")</f>
        <v>512GB SSD +  1TB HDD</v>
      </c>
      <c r="J941" s="2" t="str">
        <f ca="1">IFERROR(__xludf.DUMMYFUNCTION("""COMPUTED_VALUE"""),"Nvidia GeForce GTX 1080")</f>
        <v>Nvidia GeForce GTX 1080</v>
      </c>
      <c r="K941" s="2" t="str">
        <f ca="1">IFERROR(__xludf.DUMMYFUNCTION("""COMPUTED_VALUE"""),"Windows 10")</f>
        <v>Windows 10</v>
      </c>
      <c r="L941" s="2" t="str">
        <f ca="1">IFERROR(__xludf.DUMMYFUNCTION("""COMPUTED_VALUE"""),"4.36kg")</f>
        <v>4.36kg</v>
      </c>
      <c r="M941" s="2">
        <f ca="1">IFERROR(__xludf.DUMMYFUNCTION("""COMPUTED_VALUE"""),2758)</f>
        <v>2758</v>
      </c>
    </row>
    <row r="942" spans="1:13">
      <c r="A942" s="2">
        <f ca="1">IFERROR(__xludf.DUMMYFUNCTION("""COMPUTED_VALUE"""),954)</f>
        <v>954</v>
      </c>
      <c r="B942" s="2" t="str">
        <f ca="1">IFERROR(__xludf.DUMMYFUNCTION("""COMPUTED_VALUE"""),"HP")</f>
        <v>HP</v>
      </c>
      <c r="C942" s="2" t="str">
        <f ca="1">IFERROR(__xludf.DUMMYFUNCTION("""COMPUTED_VALUE"""),"Omen 17-W006na")</f>
        <v>Omen 17-W006na</v>
      </c>
      <c r="D942" s="2" t="str">
        <f ca="1">IFERROR(__xludf.DUMMYFUNCTION("""COMPUTED_VALUE"""),"Gaming")</f>
        <v>Gaming</v>
      </c>
      <c r="E942" s="2">
        <f ca="1">IFERROR(__xludf.DUMMYFUNCTION("""COMPUTED_VALUE"""),17.3)</f>
        <v>17.3</v>
      </c>
      <c r="F942" s="2" t="str">
        <f ca="1">IFERROR(__xludf.DUMMYFUNCTION("""COMPUTED_VALUE"""),"IPS Panel Full HD 1920x1080")</f>
        <v>IPS Panel Full HD 1920x1080</v>
      </c>
      <c r="G942" s="2" t="str">
        <f ca="1">IFERROR(__xludf.DUMMYFUNCTION("""COMPUTED_VALUE"""),"Intel Core i5 6300HQ 2.3GHz")</f>
        <v>Intel Core i5 6300HQ 2.3GHz</v>
      </c>
      <c r="H942" s="2" t="str">
        <f ca="1">IFERROR(__xludf.DUMMYFUNCTION("""COMPUTED_VALUE"""),"8GB")</f>
        <v>8GB</v>
      </c>
      <c r="I942" s="2" t="str">
        <f ca="1">IFERROR(__xludf.DUMMYFUNCTION("""COMPUTED_VALUE"""),"128GB SSD +  1TB HDD")</f>
        <v>128GB SSD +  1TB HDD</v>
      </c>
      <c r="J942" s="2" t="str">
        <f ca="1">IFERROR(__xludf.DUMMYFUNCTION("""COMPUTED_VALUE"""),"Nvidia GeForce GTX 965M")</f>
        <v>Nvidia GeForce GTX 965M</v>
      </c>
      <c r="K942" s="2" t="str">
        <f ca="1">IFERROR(__xludf.DUMMYFUNCTION("""COMPUTED_VALUE"""),"Windows 10")</f>
        <v>Windows 10</v>
      </c>
      <c r="L942" s="2" t="str">
        <f ca="1">IFERROR(__xludf.DUMMYFUNCTION("""COMPUTED_VALUE"""),"2.75kg")</f>
        <v>2.75kg</v>
      </c>
      <c r="M942" s="2">
        <f ca="1">IFERROR(__xludf.DUMMYFUNCTION("""COMPUTED_VALUE"""),1399)</f>
        <v>1399</v>
      </c>
    </row>
    <row r="943" spans="1:13">
      <c r="A943" s="2">
        <f ca="1">IFERROR(__xludf.DUMMYFUNCTION("""COMPUTED_VALUE"""),955)</f>
        <v>955</v>
      </c>
      <c r="B943" s="2" t="str">
        <f ca="1">IFERROR(__xludf.DUMMYFUNCTION("""COMPUTED_VALUE"""),"Asus")</f>
        <v>Asus</v>
      </c>
      <c r="C943" s="2" t="str">
        <f ca="1">IFERROR(__xludf.DUMMYFUNCTION("""COMPUTED_VALUE"""),"X751SV-TY001T (N3710/4GB/1TB/GeForce")</f>
        <v>X751SV-TY001T (N3710/4GB/1TB/GeForce</v>
      </c>
      <c r="D943" s="2" t="str">
        <f ca="1">IFERROR(__xludf.DUMMYFUNCTION("""COMPUTED_VALUE"""),"Notebook")</f>
        <v>Notebook</v>
      </c>
      <c r="E943" s="2">
        <f ca="1">IFERROR(__xludf.DUMMYFUNCTION("""COMPUTED_VALUE"""),17.3)</f>
        <v>17.3</v>
      </c>
      <c r="F943" s="2" t="str">
        <f ca="1">IFERROR(__xludf.DUMMYFUNCTION("""COMPUTED_VALUE"""),"1600x900")</f>
        <v>1600x900</v>
      </c>
      <c r="G943" s="2" t="str">
        <f ca="1">IFERROR(__xludf.DUMMYFUNCTION("""COMPUTED_VALUE"""),"Intel Pentium Quad Core N3710 1.6GHz")</f>
        <v>Intel Pentium Quad Core N3710 1.6GHz</v>
      </c>
      <c r="H943" s="2" t="str">
        <f ca="1">IFERROR(__xludf.DUMMYFUNCTION("""COMPUTED_VALUE"""),"4GB")</f>
        <v>4GB</v>
      </c>
      <c r="I943" s="2" t="str">
        <f ca="1">IFERROR(__xludf.DUMMYFUNCTION("""COMPUTED_VALUE"""),"1TB HDD")</f>
        <v>1TB HDD</v>
      </c>
      <c r="J943" s="2" t="str">
        <f ca="1">IFERROR(__xludf.DUMMYFUNCTION("""COMPUTED_VALUE"""),"Nvidia GeForce 920MX")</f>
        <v>Nvidia GeForce 920MX</v>
      </c>
      <c r="K943" s="2" t="str">
        <f ca="1">IFERROR(__xludf.DUMMYFUNCTION("""COMPUTED_VALUE"""),"Windows 10")</f>
        <v>Windows 10</v>
      </c>
      <c r="L943" s="2" t="str">
        <f ca="1">IFERROR(__xludf.DUMMYFUNCTION("""COMPUTED_VALUE"""),"2.8kg")</f>
        <v>2.8kg</v>
      </c>
      <c r="M943" s="2">
        <f ca="1">IFERROR(__xludf.DUMMYFUNCTION("""COMPUTED_VALUE"""),530)</f>
        <v>530</v>
      </c>
    </row>
    <row r="944" spans="1:13">
      <c r="A944" s="2">
        <f ca="1">IFERROR(__xludf.DUMMYFUNCTION("""COMPUTED_VALUE"""),956)</f>
        <v>956</v>
      </c>
      <c r="B944" s="2" t="str">
        <f ca="1">IFERROR(__xludf.DUMMYFUNCTION("""COMPUTED_VALUE"""),"Acer")</f>
        <v>Acer</v>
      </c>
      <c r="C944" s="2" t="str">
        <f ca="1">IFERROR(__xludf.DUMMYFUNCTION("""COMPUTED_VALUE"""),"TravelMate P259-G2")</f>
        <v>TravelMate P259-G2</v>
      </c>
      <c r="D944" s="2" t="str">
        <f ca="1">IFERROR(__xludf.DUMMYFUNCTION("""COMPUTED_VALUE"""),"Notebook")</f>
        <v>Notebook</v>
      </c>
      <c r="E944" s="2">
        <f ca="1">IFERROR(__xludf.DUMMYFUNCTION("""COMPUTED_VALUE"""),15.6)</f>
        <v>15.6</v>
      </c>
      <c r="F944" s="2" t="str">
        <f ca="1">IFERROR(__xludf.DUMMYFUNCTION("""COMPUTED_VALUE"""),"1366x768")</f>
        <v>1366x768</v>
      </c>
      <c r="G944" s="2" t="str">
        <f ca="1">IFERROR(__xludf.DUMMYFUNCTION("""COMPUTED_VALUE"""),"Intel Core i5 7200U 2.5GHz")</f>
        <v>Intel Core i5 7200U 2.5GHz</v>
      </c>
      <c r="H944" s="2" t="str">
        <f ca="1">IFERROR(__xludf.DUMMYFUNCTION("""COMPUTED_VALUE"""),"4GB")</f>
        <v>4GB</v>
      </c>
      <c r="I944" s="2" t="str">
        <f ca="1">IFERROR(__xludf.DUMMYFUNCTION("""COMPUTED_VALUE"""),"500GB HDD")</f>
        <v>500GB HDD</v>
      </c>
      <c r="J944" s="2" t="str">
        <f ca="1">IFERROR(__xludf.DUMMYFUNCTION("""COMPUTED_VALUE"""),"Intel HD Graphics 620")</f>
        <v>Intel HD Graphics 620</v>
      </c>
      <c r="K944" s="2" t="str">
        <f ca="1">IFERROR(__xludf.DUMMYFUNCTION("""COMPUTED_VALUE"""),"Windows 10")</f>
        <v>Windows 10</v>
      </c>
      <c r="L944" s="2" t="str">
        <f ca="1">IFERROR(__xludf.DUMMYFUNCTION("""COMPUTED_VALUE"""),"2.23kg")</f>
        <v>2.23kg</v>
      </c>
      <c r="M944" s="2">
        <f ca="1">IFERROR(__xludf.DUMMYFUNCTION("""COMPUTED_VALUE"""),619)</f>
        <v>619</v>
      </c>
    </row>
    <row r="945" spans="1:13">
      <c r="A945" s="2">
        <f ca="1">IFERROR(__xludf.DUMMYFUNCTION("""COMPUTED_VALUE"""),957)</f>
        <v>957</v>
      </c>
      <c r="B945" s="2" t="str">
        <f ca="1">IFERROR(__xludf.DUMMYFUNCTION("""COMPUTED_VALUE"""),"Toshiba")</f>
        <v>Toshiba</v>
      </c>
      <c r="C945" s="2" t="str">
        <f ca="1">IFERROR(__xludf.DUMMYFUNCTION("""COMPUTED_VALUE"""),"Tecra A50-C-1ZV")</f>
        <v>Tecra A50-C-1ZV</v>
      </c>
      <c r="D945" s="2" t="str">
        <f ca="1">IFERROR(__xludf.DUMMYFUNCTION("""COMPUTED_VALUE"""),"Notebook")</f>
        <v>Notebook</v>
      </c>
      <c r="E945" s="2">
        <f ca="1">IFERROR(__xludf.DUMMYFUNCTION("""COMPUTED_VALUE"""),15.6)</f>
        <v>15.6</v>
      </c>
      <c r="F945" s="2" t="str">
        <f ca="1">IFERROR(__xludf.DUMMYFUNCTION("""COMPUTED_VALUE"""),"1366x768")</f>
        <v>1366x768</v>
      </c>
      <c r="G945" s="2" t="str">
        <f ca="1">IFERROR(__xludf.DUMMYFUNCTION("""COMPUTED_VALUE"""),"Intel Core i5 6200U 2.3GHz")</f>
        <v>Intel Core i5 6200U 2.3GHz</v>
      </c>
      <c r="H945" s="2" t="str">
        <f ca="1">IFERROR(__xludf.DUMMYFUNCTION("""COMPUTED_VALUE"""),"8GB")</f>
        <v>8GB</v>
      </c>
      <c r="I945" s="2" t="str">
        <f ca="1">IFERROR(__xludf.DUMMYFUNCTION("""COMPUTED_VALUE"""),"256GB SSD")</f>
        <v>256GB SSD</v>
      </c>
      <c r="J945" s="2" t="str">
        <f ca="1">IFERROR(__xludf.DUMMYFUNCTION("""COMPUTED_VALUE"""),"Intel HD Graphics 520")</f>
        <v>Intel HD Graphics 520</v>
      </c>
      <c r="K945" s="2" t="str">
        <f ca="1">IFERROR(__xludf.DUMMYFUNCTION("""COMPUTED_VALUE"""),"Windows 10")</f>
        <v>Windows 10</v>
      </c>
      <c r="L945" s="2" t="str">
        <f ca="1">IFERROR(__xludf.DUMMYFUNCTION("""COMPUTED_VALUE"""),"2.2kg")</f>
        <v>2.2kg</v>
      </c>
      <c r="M945" s="2">
        <f ca="1">IFERROR(__xludf.DUMMYFUNCTION("""COMPUTED_VALUE"""),1119)</f>
        <v>1119</v>
      </c>
    </row>
    <row r="946" spans="1:13">
      <c r="A946" s="2">
        <f ca="1">IFERROR(__xludf.DUMMYFUNCTION("""COMPUTED_VALUE"""),958)</f>
        <v>958</v>
      </c>
      <c r="B946" s="2" t="str">
        <f ca="1">IFERROR(__xludf.DUMMYFUNCTION("""COMPUTED_VALUE"""),"Lenovo")</f>
        <v>Lenovo</v>
      </c>
      <c r="C946" s="2" t="str">
        <f ca="1">IFERROR(__xludf.DUMMYFUNCTION("""COMPUTED_VALUE"""),"Yoga 700-11ISK")</f>
        <v>Yoga 700-11ISK</v>
      </c>
      <c r="D946" s="2" t="str">
        <f ca="1">IFERROR(__xludf.DUMMYFUNCTION("""COMPUTED_VALUE"""),"2 in 1 Convertible")</f>
        <v>2 in 1 Convertible</v>
      </c>
      <c r="E946" s="2">
        <f ca="1">IFERROR(__xludf.DUMMYFUNCTION("""COMPUTED_VALUE"""),11.3)</f>
        <v>11.3</v>
      </c>
      <c r="F946" s="2" t="str">
        <f ca="1">IFERROR(__xludf.DUMMYFUNCTION("""COMPUTED_VALUE"""),"IPS Panel Full HD / Touchscreen 1920x1080")</f>
        <v>IPS Panel Full HD / Touchscreen 1920x1080</v>
      </c>
      <c r="G946" s="2" t="str">
        <f ca="1">IFERROR(__xludf.DUMMYFUNCTION("""COMPUTED_VALUE"""),"Intel Core M m7-6Y75 1.2GHz")</f>
        <v>Intel Core M m7-6Y75 1.2GHz</v>
      </c>
      <c r="H946" s="2" t="str">
        <f ca="1">IFERROR(__xludf.DUMMYFUNCTION("""COMPUTED_VALUE"""),"8GB")</f>
        <v>8GB</v>
      </c>
      <c r="I946" s="2" t="str">
        <f ca="1">IFERROR(__xludf.DUMMYFUNCTION("""COMPUTED_VALUE"""),"256GB SSD")</f>
        <v>256GB SSD</v>
      </c>
      <c r="J946" s="2" t="str">
        <f ca="1">IFERROR(__xludf.DUMMYFUNCTION("""COMPUTED_VALUE"""),"Intel HD Graphics 515")</f>
        <v>Intel HD Graphics 515</v>
      </c>
      <c r="K946" s="2" t="str">
        <f ca="1">IFERROR(__xludf.DUMMYFUNCTION("""COMPUTED_VALUE"""),"Windows 10")</f>
        <v>Windows 10</v>
      </c>
      <c r="L946" s="2" t="str">
        <f ca="1">IFERROR(__xludf.DUMMYFUNCTION("""COMPUTED_VALUE"""),"1.1kg")</f>
        <v>1.1kg</v>
      </c>
      <c r="M946" s="2">
        <f ca="1">IFERROR(__xludf.DUMMYFUNCTION("""COMPUTED_VALUE"""),1299)</f>
        <v>1299</v>
      </c>
    </row>
    <row r="947" spans="1:13">
      <c r="A947" s="2">
        <f ca="1">IFERROR(__xludf.DUMMYFUNCTION("""COMPUTED_VALUE"""),959)</f>
        <v>959</v>
      </c>
      <c r="B947" s="2" t="str">
        <f ca="1">IFERROR(__xludf.DUMMYFUNCTION("""COMPUTED_VALUE"""),"Lenovo")</f>
        <v>Lenovo</v>
      </c>
      <c r="C947" s="2" t="str">
        <f ca="1">IFERROR(__xludf.DUMMYFUNCTION("""COMPUTED_VALUE"""),"IdeaPad Y700-15ACZ")</f>
        <v>IdeaPad Y700-15ACZ</v>
      </c>
      <c r="D947" s="2" t="str">
        <f ca="1">IFERROR(__xludf.DUMMYFUNCTION("""COMPUTED_VALUE"""),"Gaming")</f>
        <v>Gaming</v>
      </c>
      <c r="E947" s="2">
        <f ca="1">IFERROR(__xludf.DUMMYFUNCTION("""COMPUTED_VALUE"""),15.6)</f>
        <v>15.6</v>
      </c>
      <c r="F947" s="2" t="str">
        <f ca="1">IFERROR(__xludf.DUMMYFUNCTION("""COMPUTED_VALUE"""),"IPS Panel Full HD 1920x1080")</f>
        <v>IPS Panel Full HD 1920x1080</v>
      </c>
      <c r="G947" s="2" t="str">
        <f ca="1">IFERROR(__xludf.DUMMYFUNCTION("""COMPUTED_VALUE"""),"AMD FX 8800P 2.1GHz")</f>
        <v>AMD FX 8800P 2.1GHz</v>
      </c>
      <c r="H947" s="2" t="str">
        <f ca="1">IFERROR(__xludf.DUMMYFUNCTION("""COMPUTED_VALUE"""),"16GB")</f>
        <v>16GB</v>
      </c>
      <c r="I947" s="2" t="str">
        <f ca="1">IFERROR(__xludf.DUMMYFUNCTION("""COMPUTED_VALUE"""),"512GB SSD +  1TB HDD")</f>
        <v>512GB SSD +  1TB HDD</v>
      </c>
      <c r="J947" s="2" t="str">
        <f ca="1">IFERROR(__xludf.DUMMYFUNCTION("""COMPUTED_VALUE"""),"AMD Radeon R9 M385")</f>
        <v>AMD Radeon R9 M385</v>
      </c>
      <c r="K947" s="2" t="str">
        <f ca="1">IFERROR(__xludf.DUMMYFUNCTION("""COMPUTED_VALUE"""),"Windows 10")</f>
        <v>Windows 10</v>
      </c>
      <c r="L947" s="2" t="str">
        <f ca="1">IFERROR(__xludf.DUMMYFUNCTION("""COMPUTED_VALUE"""),"2.5kg")</f>
        <v>2.5kg</v>
      </c>
      <c r="M947" s="2">
        <f ca="1">IFERROR(__xludf.DUMMYFUNCTION("""COMPUTED_VALUE"""),999)</f>
        <v>999</v>
      </c>
    </row>
    <row r="948" spans="1:13">
      <c r="A948" s="2">
        <f ca="1">IFERROR(__xludf.DUMMYFUNCTION("""COMPUTED_VALUE"""),960)</f>
        <v>960</v>
      </c>
      <c r="B948" s="2" t="str">
        <f ca="1">IFERROR(__xludf.DUMMYFUNCTION("""COMPUTED_VALUE"""),"Dell")</f>
        <v>Dell</v>
      </c>
      <c r="C948" s="2" t="str">
        <f ca="1">IFERROR(__xludf.DUMMYFUNCTION("""COMPUTED_VALUE"""),"Latitude 7280")</f>
        <v>Latitude 7280</v>
      </c>
      <c r="D948" s="2" t="str">
        <f ca="1">IFERROR(__xludf.DUMMYFUNCTION("""COMPUTED_VALUE"""),"Ultrabook")</f>
        <v>Ultrabook</v>
      </c>
      <c r="E948" s="2">
        <f ca="1">IFERROR(__xludf.DUMMYFUNCTION("""COMPUTED_VALUE"""),12.5)</f>
        <v>12.5</v>
      </c>
      <c r="F948" s="2" t="str">
        <f ca="1">IFERROR(__xludf.DUMMYFUNCTION("""COMPUTED_VALUE"""),"Full HD / Touchscreen 1920x1080")</f>
        <v>Full HD / Touchscreen 1920x1080</v>
      </c>
      <c r="G948" s="2" t="str">
        <f ca="1">IFERROR(__xludf.DUMMYFUNCTION("""COMPUTED_VALUE"""),"Intel Core i5 7200U 2.5GHz")</f>
        <v>Intel Core i5 7200U 2.5GHz</v>
      </c>
      <c r="H948" s="2" t="str">
        <f ca="1">IFERROR(__xludf.DUMMYFUNCTION("""COMPUTED_VALUE"""),"8GB")</f>
        <v>8GB</v>
      </c>
      <c r="I948" s="2" t="str">
        <f ca="1">IFERROR(__xludf.DUMMYFUNCTION("""COMPUTED_VALUE"""),"256GB SSD")</f>
        <v>256GB SSD</v>
      </c>
      <c r="J948" s="2" t="str">
        <f ca="1">IFERROR(__xludf.DUMMYFUNCTION("""COMPUTED_VALUE"""),"Intel HD Graphics")</f>
        <v>Intel HD Graphics</v>
      </c>
      <c r="K948" s="2" t="str">
        <f ca="1">IFERROR(__xludf.DUMMYFUNCTION("""COMPUTED_VALUE"""),"Windows 10")</f>
        <v>Windows 10</v>
      </c>
      <c r="L948" s="2" t="str">
        <f ca="1">IFERROR(__xludf.DUMMYFUNCTION("""COMPUTED_VALUE"""),"1.36kg")</f>
        <v>1.36kg</v>
      </c>
      <c r="M948" s="2">
        <f ca="1">IFERROR(__xludf.DUMMYFUNCTION("""COMPUTED_VALUE"""),1472.2)</f>
        <v>1472.2</v>
      </c>
    </row>
    <row r="949" spans="1:13">
      <c r="A949" s="2">
        <f ca="1">IFERROR(__xludf.DUMMYFUNCTION("""COMPUTED_VALUE"""),961)</f>
        <v>961</v>
      </c>
      <c r="B949" s="2" t="str">
        <f ca="1">IFERROR(__xludf.DUMMYFUNCTION("""COMPUTED_VALUE"""),"Lenovo")</f>
        <v>Lenovo</v>
      </c>
      <c r="C949" s="2" t="str">
        <f ca="1">IFERROR(__xludf.DUMMYFUNCTION("""COMPUTED_VALUE"""),"IdeaPad 310-15IKB")</f>
        <v>IdeaPad 310-15IKB</v>
      </c>
      <c r="D949" s="2" t="str">
        <f ca="1">IFERROR(__xludf.DUMMYFUNCTION("""COMPUTED_VALUE"""),"Notebook")</f>
        <v>Notebook</v>
      </c>
      <c r="E949" s="2">
        <f ca="1">IFERROR(__xludf.DUMMYFUNCTION("""COMPUTED_VALUE"""),15.6)</f>
        <v>15.6</v>
      </c>
      <c r="F949" s="2" t="str">
        <f ca="1">IFERROR(__xludf.DUMMYFUNCTION("""COMPUTED_VALUE"""),"Full HD 1920x1080")</f>
        <v>Full HD 1920x1080</v>
      </c>
      <c r="G949" s="2" t="str">
        <f ca="1">IFERROR(__xludf.DUMMYFUNCTION("""COMPUTED_VALUE"""),"Intel Core i7 7500U 2.7GHz")</f>
        <v>Intel Core i7 7500U 2.7GHz</v>
      </c>
      <c r="H949" s="2" t="str">
        <f ca="1">IFERROR(__xludf.DUMMYFUNCTION("""COMPUTED_VALUE"""),"8GB")</f>
        <v>8GB</v>
      </c>
      <c r="I949" s="2" t="str">
        <f ca="1">IFERROR(__xludf.DUMMYFUNCTION("""COMPUTED_VALUE"""),"1TB HDD")</f>
        <v>1TB HDD</v>
      </c>
      <c r="J949" s="2" t="str">
        <f ca="1">IFERROR(__xludf.DUMMYFUNCTION("""COMPUTED_VALUE"""),"Nvidia GeForce 920MX")</f>
        <v>Nvidia GeForce 920MX</v>
      </c>
      <c r="K949" s="2" t="str">
        <f ca="1">IFERROR(__xludf.DUMMYFUNCTION("""COMPUTED_VALUE"""),"No OS")</f>
        <v>No OS</v>
      </c>
      <c r="L949" s="2" t="str">
        <f ca="1">IFERROR(__xludf.DUMMYFUNCTION("""COMPUTED_VALUE"""),"2.2kg")</f>
        <v>2.2kg</v>
      </c>
      <c r="M949" s="2">
        <f ca="1">IFERROR(__xludf.DUMMYFUNCTION("""COMPUTED_VALUE"""),685)</f>
        <v>685</v>
      </c>
    </row>
    <row r="950" spans="1:13">
      <c r="A950" s="2">
        <f ca="1">IFERROR(__xludf.DUMMYFUNCTION("""COMPUTED_VALUE"""),962)</f>
        <v>962</v>
      </c>
      <c r="B950" s="2" t="str">
        <f ca="1">IFERROR(__xludf.DUMMYFUNCTION("""COMPUTED_VALUE"""),"Dell")</f>
        <v>Dell</v>
      </c>
      <c r="C950" s="2" t="str">
        <f ca="1">IFERROR(__xludf.DUMMYFUNCTION("""COMPUTED_VALUE"""),"Insprion 5767")</f>
        <v>Insprion 5767</v>
      </c>
      <c r="D950" s="2" t="str">
        <f ca="1">IFERROR(__xludf.DUMMYFUNCTION("""COMPUTED_VALUE"""),"Notebook")</f>
        <v>Notebook</v>
      </c>
      <c r="E950" s="2">
        <f ca="1">IFERROR(__xludf.DUMMYFUNCTION("""COMPUTED_VALUE"""),17.3)</f>
        <v>17.3</v>
      </c>
      <c r="F950" s="2" t="str">
        <f ca="1">IFERROR(__xludf.DUMMYFUNCTION("""COMPUTED_VALUE"""),"1600x900")</f>
        <v>1600x900</v>
      </c>
      <c r="G950" s="2" t="str">
        <f ca="1">IFERROR(__xludf.DUMMYFUNCTION("""COMPUTED_VALUE"""),"Intel Core i3 6006U 2.0GHz")</f>
        <v>Intel Core i3 6006U 2.0GHz</v>
      </c>
      <c r="H950" s="2" t="str">
        <f ca="1">IFERROR(__xludf.DUMMYFUNCTION("""COMPUTED_VALUE"""),"4GB")</f>
        <v>4GB</v>
      </c>
      <c r="I950" s="2" t="str">
        <f ca="1">IFERROR(__xludf.DUMMYFUNCTION("""COMPUTED_VALUE"""),"1TB HDD")</f>
        <v>1TB HDD</v>
      </c>
      <c r="J950" s="2" t="str">
        <f ca="1">IFERROR(__xludf.DUMMYFUNCTION("""COMPUTED_VALUE"""),"AMD Radeon R7 M445")</f>
        <v>AMD Radeon R7 M445</v>
      </c>
      <c r="K950" s="2" t="str">
        <f ca="1">IFERROR(__xludf.DUMMYFUNCTION("""COMPUTED_VALUE"""),"Windows 10")</f>
        <v>Windows 10</v>
      </c>
      <c r="L950" s="2" t="str">
        <f ca="1">IFERROR(__xludf.DUMMYFUNCTION("""COMPUTED_VALUE"""),"2.36kg")</f>
        <v>2.36kg</v>
      </c>
      <c r="M950" s="2">
        <f ca="1">IFERROR(__xludf.DUMMYFUNCTION("""COMPUTED_VALUE"""),659)</f>
        <v>659</v>
      </c>
    </row>
    <row r="951" spans="1:13">
      <c r="A951" s="2">
        <f ca="1">IFERROR(__xludf.DUMMYFUNCTION("""COMPUTED_VALUE"""),963)</f>
        <v>963</v>
      </c>
      <c r="B951" s="2" t="str">
        <f ca="1">IFERROR(__xludf.DUMMYFUNCTION("""COMPUTED_VALUE"""),"Acer")</f>
        <v>Acer</v>
      </c>
      <c r="C951" s="2" t="str">
        <f ca="1">IFERROR(__xludf.DUMMYFUNCTION("""COMPUTED_VALUE"""),"Chromebook 14")</f>
        <v>Chromebook 14</v>
      </c>
      <c r="D951" s="2" t="str">
        <f ca="1">IFERROR(__xludf.DUMMYFUNCTION("""COMPUTED_VALUE"""),"Notebook")</f>
        <v>Notebook</v>
      </c>
      <c r="E951" s="2">
        <f ca="1">IFERROR(__xludf.DUMMYFUNCTION("""COMPUTED_VALUE"""),14)</f>
        <v>14</v>
      </c>
      <c r="F951" s="2" t="str">
        <f ca="1">IFERROR(__xludf.DUMMYFUNCTION("""COMPUTED_VALUE"""),"1366x768")</f>
        <v>1366x768</v>
      </c>
      <c r="G951" s="2" t="str">
        <f ca="1">IFERROR(__xludf.DUMMYFUNCTION("""COMPUTED_VALUE"""),"Intel Celeron Dual Core N3060 1.6GHz")</f>
        <v>Intel Celeron Dual Core N3060 1.6GHz</v>
      </c>
      <c r="H951" s="2" t="str">
        <f ca="1">IFERROR(__xludf.DUMMYFUNCTION("""COMPUTED_VALUE"""),"4GB")</f>
        <v>4GB</v>
      </c>
      <c r="I951" s="2" t="str">
        <f ca="1">IFERROR(__xludf.DUMMYFUNCTION("""COMPUTED_VALUE"""),"32GB Flash Storage")</f>
        <v>32GB Flash Storage</v>
      </c>
      <c r="J951" s="2" t="str">
        <f ca="1">IFERROR(__xludf.DUMMYFUNCTION("""COMPUTED_VALUE"""),"Intel HD Graphics 400")</f>
        <v>Intel HD Graphics 400</v>
      </c>
      <c r="K951" s="2" t="str">
        <f ca="1">IFERROR(__xludf.DUMMYFUNCTION("""COMPUTED_VALUE"""),"Chrome OS")</f>
        <v>Chrome OS</v>
      </c>
      <c r="L951" s="2" t="str">
        <f ca="1">IFERROR(__xludf.DUMMYFUNCTION("""COMPUTED_VALUE"""),"1.68kg")</f>
        <v>1.68kg</v>
      </c>
      <c r="M951" s="2">
        <f ca="1">IFERROR(__xludf.DUMMYFUNCTION("""COMPUTED_VALUE"""),349)</f>
        <v>349</v>
      </c>
    </row>
    <row r="952" spans="1:13">
      <c r="A952" s="2">
        <f ca="1">IFERROR(__xludf.DUMMYFUNCTION("""COMPUTED_VALUE"""),964)</f>
        <v>964</v>
      </c>
      <c r="B952" s="2" t="str">
        <f ca="1">IFERROR(__xludf.DUMMYFUNCTION("""COMPUTED_VALUE"""),"HP")</f>
        <v>HP</v>
      </c>
      <c r="C952" s="2" t="str">
        <f ca="1">IFERROR(__xludf.DUMMYFUNCTION("""COMPUTED_VALUE"""),"ZBook Studio")</f>
        <v>ZBook Studio</v>
      </c>
      <c r="D952" s="2" t="str">
        <f ca="1">IFERROR(__xludf.DUMMYFUNCTION("""COMPUTED_VALUE"""),"Workstation")</f>
        <v>Workstation</v>
      </c>
      <c r="E952" s="2">
        <f ca="1">IFERROR(__xludf.DUMMYFUNCTION("""COMPUTED_VALUE"""),15.6)</f>
        <v>15.6</v>
      </c>
      <c r="F952" s="2" t="str">
        <f ca="1">IFERROR(__xludf.DUMMYFUNCTION("""COMPUTED_VALUE"""),"IPS Panel Full HD 1920x1080")</f>
        <v>IPS Panel Full HD 1920x1080</v>
      </c>
      <c r="G952" s="2" t="str">
        <f ca="1">IFERROR(__xludf.DUMMYFUNCTION("""COMPUTED_VALUE"""),"Intel Core i7 6820HQ 2.7GHz")</f>
        <v>Intel Core i7 6820HQ 2.7GHz</v>
      </c>
      <c r="H952" s="2" t="str">
        <f ca="1">IFERROR(__xludf.DUMMYFUNCTION("""COMPUTED_VALUE"""),"8GB")</f>
        <v>8GB</v>
      </c>
      <c r="I952" s="2" t="str">
        <f ca="1">IFERROR(__xludf.DUMMYFUNCTION("""COMPUTED_VALUE"""),"8GB SSD")</f>
        <v>8GB SSD</v>
      </c>
      <c r="J952" s="2" t="str">
        <f ca="1">IFERROR(__xludf.DUMMYFUNCTION("""COMPUTED_VALUE"""),"Nvidia Quadro M1000M")</f>
        <v>Nvidia Quadro M1000M</v>
      </c>
      <c r="K952" s="2" t="str">
        <f ca="1">IFERROR(__xludf.DUMMYFUNCTION("""COMPUTED_VALUE"""),"Windows 10")</f>
        <v>Windows 10</v>
      </c>
      <c r="L952" s="2" t="str">
        <f ca="1">IFERROR(__xludf.DUMMYFUNCTION("""COMPUTED_VALUE"""),"2.0kg")</f>
        <v>2.0kg</v>
      </c>
      <c r="M952" s="2">
        <f ca="1">IFERROR(__xludf.DUMMYFUNCTION("""COMPUTED_VALUE"""),2249)</f>
        <v>2249</v>
      </c>
    </row>
    <row r="953" spans="1:13">
      <c r="A953" s="2">
        <f ca="1">IFERROR(__xludf.DUMMYFUNCTION("""COMPUTED_VALUE"""),965)</f>
        <v>965</v>
      </c>
      <c r="B953" s="2" t="str">
        <f ca="1">IFERROR(__xludf.DUMMYFUNCTION("""COMPUTED_VALUE"""),"Dell")</f>
        <v>Dell</v>
      </c>
      <c r="C953" s="2" t="str">
        <f ca="1">IFERROR(__xludf.DUMMYFUNCTION("""COMPUTED_VALUE"""),"Latitude 7480")</f>
        <v>Latitude 7480</v>
      </c>
      <c r="D953" s="2" t="str">
        <f ca="1">IFERROR(__xludf.DUMMYFUNCTION("""COMPUTED_VALUE"""),"Ultrabook")</f>
        <v>Ultrabook</v>
      </c>
      <c r="E953" s="2">
        <f ca="1">IFERROR(__xludf.DUMMYFUNCTION("""COMPUTED_VALUE"""),14)</f>
        <v>14</v>
      </c>
      <c r="F953" s="2" t="str">
        <f ca="1">IFERROR(__xludf.DUMMYFUNCTION("""COMPUTED_VALUE"""),"Full HD 1920x1080")</f>
        <v>Full HD 1920x1080</v>
      </c>
      <c r="G953" s="2" t="str">
        <f ca="1">IFERROR(__xludf.DUMMYFUNCTION("""COMPUTED_VALUE"""),"Intel Core i7 7600U 2.8GHz")</f>
        <v>Intel Core i7 7600U 2.8GHz</v>
      </c>
      <c r="H953" s="2" t="str">
        <f ca="1">IFERROR(__xludf.DUMMYFUNCTION("""COMPUTED_VALUE"""),"8GB")</f>
        <v>8GB</v>
      </c>
      <c r="I953" s="2" t="str">
        <f ca="1">IFERROR(__xludf.DUMMYFUNCTION("""COMPUTED_VALUE"""),"256GB SSD")</f>
        <v>256GB SSD</v>
      </c>
      <c r="J953" s="2" t="str">
        <f ca="1">IFERROR(__xludf.DUMMYFUNCTION("""COMPUTED_VALUE"""),"Intel HD Graphics 620")</f>
        <v>Intel HD Graphics 620</v>
      </c>
      <c r="K953" s="2" t="str">
        <f ca="1">IFERROR(__xludf.DUMMYFUNCTION("""COMPUTED_VALUE"""),"Windows 10")</f>
        <v>Windows 10</v>
      </c>
      <c r="L953" s="2" t="str">
        <f ca="1">IFERROR(__xludf.DUMMYFUNCTION("""COMPUTED_VALUE"""),"1.36kg")</f>
        <v>1.36kg</v>
      </c>
      <c r="M953" s="2">
        <f ca="1">IFERROR(__xludf.DUMMYFUNCTION("""COMPUTED_VALUE"""),1775)</f>
        <v>1775</v>
      </c>
    </row>
    <row r="954" spans="1:13">
      <c r="A954" s="2">
        <f ca="1">IFERROR(__xludf.DUMMYFUNCTION("""COMPUTED_VALUE"""),966)</f>
        <v>966</v>
      </c>
      <c r="B954" s="2" t="str">
        <f ca="1">IFERROR(__xludf.DUMMYFUNCTION("""COMPUTED_VALUE"""),"Toshiba")</f>
        <v>Toshiba</v>
      </c>
      <c r="C954" s="2" t="str">
        <f ca="1">IFERROR(__xludf.DUMMYFUNCTION("""COMPUTED_VALUE"""),"Portege Z30-C-1CW")</f>
        <v>Portege Z30-C-1CW</v>
      </c>
      <c r="D954" s="2" t="str">
        <f ca="1">IFERROR(__xludf.DUMMYFUNCTION("""COMPUTED_VALUE"""),"Notebook")</f>
        <v>Notebook</v>
      </c>
      <c r="E954" s="2">
        <f ca="1">IFERROR(__xludf.DUMMYFUNCTION("""COMPUTED_VALUE"""),13.3)</f>
        <v>13.3</v>
      </c>
      <c r="F954" s="2" t="str">
        <f ca="1">IFERROR(__xludf.DUMMYFUNCTION("""COMPUTED_VALUE"""),"Full HD 1920x1080")</f>
        <v>Full HD 1920x1080</v>
      </c>
      <c r="G954" s="2" t="str">
        <f ca="1">IFERROR(__xludf.DUMMYFUNCTION("""COMPUTED_VALUE"""),"Intel Core i5 6200U 2.3GHz")</f>
        <v>Intel Core i5 6200U 2.3GHz</v>
      </c>
      <c r="H954" s="2" t="str">
        <f ca="1">IFERROR(__xludf.DUMMYFUNCTION("""COMPUTED_VALUE"""),"8GB")</f>
        <v>8GB</v>
      </c>
      <c r="I954" s="2" t="str">
        <f ca="1">IFERROR(__xludf.DUMMYFUNCTION("""COMPUTED_VALUE"""),"256GB SSD")</f>
        <v>256GB SSD</v>
      </c>
      <c r="J954" s="2" t="str">
        <f ca="1">IFERROR(__xludf.DUMMYFUNCTION("""COMPUTED_VALUE"""),"Intel HD Graphics 520")</f>
        <v>Intel HD Graphics 520</v>
      </c>
      <c r="K954" s="2" t="str">
        <f ca="1">IFERROR(__xludf.DUMMYFUNCTION("""COMPUTED_VALUE"""),"Windows 7")</f>
        <v>Windows 7</v>
      </c>
      <c r="L954" s="2" t="str">
        <f ca="1">IFERROR(__xludf.DUMMYFUNCTION("""COMPUTED_VALUE"""),"1.2kg")</f>
        <v>1.2kg</v>
      </c>
      <c r="M954" s="2">
        <f ca="1">IFERROR(__xludf.DUMMYFUNCTION("""COMPUTED_VALUE"""),1460)</f>
        <v>1460</v>
      </c>
    </row>
    <row r="955" spans="1:13">
      <c r="A955" s="2">
        <f ca="1">IFERROR(__xludf.DUMMYFUNCTION("""COMPUTED_VALUE"""),967)</f>
        <v>967</v>
      </c>
      <c r="B955" s="2" t="str">
        <f ca="1">IFERROR(__xludf.DUMMYFUNCTION("""COMPUTED_VALUE"""),"Asus")</f>
        <v>Asus</v>
      </c>
      <c r="C955" s="2" t="str">
        <f ca="1">IFERROR(__xludf.DUMMYFUNCTION("""COMPUTED_VALUE"""),"Chromebook Flip")</f>
        <v>Chromebook Flip</v>
      </c>
      <c r="D955" s="2" t="str">
        <f ca="1">IFERROR(__xludf.DUMMYFUNCTION("""COMPUTED_VALUE"""),"2 in 1 Convertible")</f>
        <v>2 in 1 Convertible</v>
      </c>
      <c r="E955" s="2">
        <f ca="1">IFERROR(__xludf.DUMMYFUNCTION("""COMPUTED_VALUE"""),12.5)</f>
        <v>12.5</v>
      </c>
      <c r="F955" s="2" t="str">
        <f ca="1">IFERROR(__xludf.DUMMYFUNCTION("""COMPUTED_VALUE"""),"Full HD 1920x1080")</f>
        <v>Full HD 1920x1080</v>
      </c>
      <c r="G955" s="2" t="str">
        <f ca="1">IFERROR(__xludf.DUMMYFUNCTION("""COMPUTED_VALUE"""),"Intel Core M M7-6Y75 1.2GHz")</f>
        <v>Intel Core M M7-6Y75 1.2GHz</v>
      </c>
      <c r="H955" s="2" t="str">
        <f ca="1">IFERROR(__xludf.DUMMYFUNCTION("""COMPUTED_VALUE"""),"8GB")</f>
        <v>8GB</v>
      </c>
      <c r="I955" s="2" t="str">
        <f ca="1">IFERROR(__xludf.DUMMYFUNCTION("""COMPUTED_VALUE"""),"64GB Flash Storage")</f>
        <v>64GB Flash Storage</v>
      </c>
      <c r="J955" s="2" t="str">
        <f ca="1">IFERROR(__xludf.DUMMYFUNCTION("""COMPUTED_VALUE"""),"Intel HD Graphics 515")</f>
        <v>Intel HD Graphics 515</v>
      </c>
      <c r="K955" s="2" t="str">
        <f ca="1">IFERROR(__xludf.DUMMYFUNCTION("""COMPUTED_VALUE"""),"Chrome OS")</f>
        <v>Chrome OS</v>
      </c>
      <c r="L955" s="2" t="str">
        <f ca="1">IFERROR(__xludf.DUMMYFUNCTION("""COMPUTED_VALUE"""),"1.2kg")</f>
        <v>1.2kg</v>
      </c>
      <c r="M955" s="2">
        <f ca="1">IFERROR(__xludf.DUMMYFUNCTION("""COMPUTED_VALUE"""),1159)</f>
        <v>1159</v>
      </c>
    </row>
    <row r="956" spans="1:13">
      <c r="A956" s="2">
        <f ca="1">IFERROR(__xludf.DUMMYFUNCTION("""COMPUTED_VALUE"""),968)</f>
        <v>968</v>
      </c>
      <c r="B956" s="2" t="str">
        <f ca="1">IFERROR(__xludf.DUMMYFUNCTION("""COMPUTED_VALUE"""),"Lenovo")</f>
        <v>Lenovo</v>
      </c>
      <c r="C956" s="2" t="str">
        <f ca="1">IFERROR(__xludf.DUMMYFUNCTION("""COMPUTED_VALUE"""),"Thinkpad T460")</f>
        <v>Thinkpad T460</v>
      </c>
      <c r="D956" s="2" t="str">
        <f ca="1">IFERROR(__xludf.DUMMYFUNCTION("""COMPUTED_VALUE"""),"Ultrabook")</f>
        <v>Ultrabook</v>
      </c>
      <c r="E956" s="2">
        <f ca="1">IFERROR(__xludf.DUMMYFUNCTION("""COMPUTED_VALUE"""),14)</f>
        <v>14</v>
      </c>
      <c r="F956" s="2" t="str">
        <f ca="1">IFERROR(__xludf.DUMMYFUNCTION("""COMPUTED_VALUE"""),"IPS Panel Full HD 1920x1080")</f>
        <v>IPS Panel Full HD 1920x1080</v>
      </c>
      <c r="G956" s="2" t="str">
        <f ca="1">IFERROR(__xludf.DUMMYFUNCTION("""COMPUTED_VALUE"""),"Intel Core i7 6600U 2.6GHz")</f>
        <v>Intel Core i7 6600U 2.6GHz</v>
      </c>
      <c r="H956" s="2" t="str">
        <f ca="1">IFERROR(__xludf.DUMMYFUNCTION("""COMPUTED_VALUE"""),"8GB")</f>
        <v>8GB</v>
      </c>
      <c r="I956" s="2" t="str">
        <f ca="1">IFERROR(__xludf.DUMMYFUNCTION("""COMPUTED_VALUE"""),"256GB SSD")</f>
        <v>256GB SSD</v>
      </c>
      <c r="J956" s="2" t="str">
        <f ca="1">IFERROR(__xludf.DUMMYFUNCTION("""COMPUTED_VALUE"""),"Intel HD Graphics 520")</f>
        <v>Intel HD Graphics 520</v>
      </c>
      <c r="K956" s="2" t="str">
        <f ca="1">IFERROR(__xludf.DUMMYFUNCTION("""COMPUTED_VALUE"""),"Windows 10")</f>
        <v>Windows 10</v>
      </c>
      <c r="L956" s="2" t="str">
        <f ca="1">IFERROR(__xludf.DUMMYFUNCTION("""COMPUTED_VALUE"""),"1.7kg")</f>
        <v>1.7kg</v>
      </c>
      <c r="M956" s="2">
        <f ca="1">IFERROR(__xludf.DUMMYFUNCTION("""COMPUTED_VALUE"""),1488.99)</f>
        <v>1488.99</v>
      </c>
    </row>
    <row r="957" spans="1:13">
      <c r="A957" s="2">
        <f ca="1">IFERROR(__xludf.DUMMYFUNCTION("""COMPUTED_VALUE"""),969)</f>
        <v>969</v>
      </c>
      <c r="B957" s="2" t="str">
        <f ca="1">IFERROR(__xludf.DUMMYFUNCTION("""COMPUTED_VALUE"""),"Dell")</f>
        <v>Dell</v>
      </c>
      <c r="C957" s="2" t="str">
        <f ca="1">IFERROR(__xludf.DUMMYFUNCTION("""COMPUTED_VALUE"""),"Alienware 17")</f>
        <v>Alienware 17</v>
      </c>
      <c r="D957" s="2" t="str">
        <f ca="1">IFERROR(__xludf.DUMMYFUNCTION("""COMPUTED_VALUE"""),"Gaming")</f>
        <v>Gaming</v>
      </c>
      <c r="E957" s="2">
        <f ca="1">IFERROR(__xludf.DUMMYFUNCTION("""COMPUTED_VALUE"""),17.3)</f>
        <v>17.3</v>
      </c>
      <c r="F957" s="2" t="str">
        <f ca="1">IFERROR(__xludf.DUMMYFUNCTION("""COMPUTED_VALUE"""),"IPS Panel 4K Ultra HD 3840x2160")</f>
        <v>IPS Panel 4K Ultra HD 3840x2160</v>
      </c>
      <c r="G957" s="2" t="str">
        <f ca="1">IFERROR(__xludf.DUMMYFUNCTION("""COMPUTED_VALUE"""),"Intel Core i7 7700HQ 2.8GHz")</f>
        <v>Intel Core i7 7700HQ 2.8GHz</v>
      </c>
      <c r="H957" s="2" t="str">
        <f ca="1">IFERROR(__xludf.DUMMYFUNCTION("""COMPUTED_VALUE"""),"16GB")</f>
        <v>16GB</v>
      </c>
      <c r="I957" s="2" t="str">
        <f ca="1">IFERROR(__xludf.DUMMYFUNCTION("""COMPUTED_VALUE"""),"512GB SSD +  1TB HDD")</f>
        <v>512GB SSD +  1TB HDD</v>
      </c>
      <c r="J957" s="2" t="str">
        <f ca="1">IFERROR(__xludf.DUMMYFUNCTION("""COMPUTED_VALUE"""),"Nvidia GeForce GTX 1070")</f>
        <v>Nvidia GeForce GTX 1070</v>
      </c>
      <c r="K957" s="2" t="str">
        <f ca="1">IFERROR(__xludf.DUMMYFUNCTION("""COMPUTED_VALUE"""),"Windows 10")</f>
        <v>Windows 10</v>
      </c>
      <c r="L957" s="2" t="str">
        <f ca="1">IFERROR(__xludf.DUMMYFUNCTION("""COMPUTED_VALUE"""),"4.36kg")</f>
        <v>4.36kg</v>
      </c>
      <c r="M957" s="2">
        <f ca="1">IFERROR(__xludf.DUMMYFUNCTION("""COMPUTED_VALUE"""),3154)</f>
        <v>3154</v>
      </c>
    </row>
    <row r="958" spans="1:13">
      <c r="A958" s="2">
        <f ca="1">IFERROR(__xludf.DUMMYFUNCTION("""COMPUTED_VALUE"""),970)</f>
        <v>970</v>
      </c>
      <c r="B958" s="2" t="str">
        <f ca="1">IFERROR(__xludf.DUMMYFUNCTION("""COMPUTED_VALUE"""),"Dell")</f>
        <v>Dell</v>
      </c>
      <c r="C958" s="2" t="str">
        <f ca="1">IFERROR(__xludf.DUMMYFUNCTION("""COMPUTED_VALUE"""),"XPS 13")</f>
        <v>XPS 13</v>
      </c>
      <c r="D958" s="2" t="str">
        <f ca="1">IFERROR(__xludf.DUMMYFUNCTION("""COMPUTED_VALUE"""),"2 in 1 Convertible")</f>
        <v>2 in 1 Convertible</v>
      </c>
      <c r="E958" s="2">
        <f ca="1">IFERROR(__xludf.DUMMYFUNCTION("""COMPUTED_VALUE"""),13.3)</f>
        <v>13.3</v>
      </c>
      <c r="F958" s="2" t="str">
        <f ca="1">IFERROR(__xludf.DUMMYFUNCTION("""COMPUTED_VALUE"""),"Full HD / Touchscreen 1920x1080")</f>
        <v>Full HD / Touchscreen 1920x1080</v>
      </c>
      <c r="G958" s="2" t="str">
        <f ca="1">IFERROR(__xludf.DUMMYFUNCTION("""COMPUTED_VALUE"""),"Intel Core i5 7Y54 1.2GHz")</f>
        <v>Intel Core i5 7Y54 1.2GHz</v>
      </c>
      <c r="H958" s="2" t="str">
        <f ca="1">IFERROR(__xludf.DUMMYFUNCTION("""COMPUTED_VALUE"""),"8GB")</f>
        <v>8GB</v>
      </c>
      <c r="I958" s="2" t="str">
        <f ca="1">IFERROR(__xludf.DUMMYFUNCTION("""COMPUTED_VALUE"""),"256GB SSD")</f>
        <v>256GB SSD</v>
      </c>
      <c r="J958" s="2" t="str">
        <f ca="1">IFERROR(__xludf.DUMMYFUNCTION("""COMPUTED_VALUE"""),"Intel HD Graphics 615")</f>
        <v>Intel HD Graphics 615</v>
      </c>
      <c r="K958" s="2" t="str">
        <f ca="1">IFERROR(__xludf.DUMMYFUNCTION("""COMPUTED_VALUE"""),"Windows 10")</f>
        <v>Windows 10</v>
      </c>
      <c r="L958" s="2" t="str">
        <f ca="1">IFERROR(__xludf.DUMMYFUNCTION("""COMPUTED_VALUE"""),"1.24kg")</f>
        <v>1.24kg</v>
      </c>
      <c r="M958" s="2">
        <f ca="1">IFERROR(__xludf.DUMMYFUNCTION("""COMPUTED_VALUE"""),1899)</f>
        <v>1899</v>
      </c>
    </row>
    <row r="959" spans="1:13">
      <c r="A959" s="2">
        <f ca="1">IFERROR(__xludf.DUMMYFUNCTION("""COMPUTED_VALUE"""),971)</f>
        <v>971</v>
      </c>
      <c r="B959" s="2" t="str">
        <f ca="1">IFERROR(__xludf.DUMMYFUNCTION("""COMPUTED_VALUE"""),"HP")</f>
        <v>HP</v>
      </c>
      <c r="C959" s="2" t="str">
        <f ca="1">IFERROR(__xludf.DUMMYFUNCTION("""COMPUTED_VALUE"""),"ProBook x360")</f>
        <v>ProBook x360</v>
      </c>
      <c r="D959" s="2" t="str">
        <f ca="1">IFERROR(__xludf.DUMMYFUNCTION("""COMPUTED_VALUE"""),"2 in 1 Convertible")</f>
        <v>2 in 1 Convertible</v>
      </c>
      <c r="E959" s="2">
        <f ca="1">IFERROR(__xludf.DUMMYFUNCTION("""COMPUTED_VALUE"""),11.6)</f>
        <v>11.6</v>
      </c>
      <c r="F959" s="2" t="str">
        <f ca="1">IFERROR(__xludf.DUMMYFUNCTION("""COMPUTED_VALUE"""),"Touchscreen 1366x768")</f>
        <v>Touchscreen 1366x768</v>
      </c>
      <c r="G959" s="2" t="str">
        <f ca="1">IFERROR(__xludf.DUMMYFUNCTION("""COMPUTED_VALUE"""),"Intel Pentium Quad Core N4200 1.1GHz")</f>
        <v>Intel Pentium Quad Core N4200 1.1GHz</v>
      </c>
      <c r="H959" s="2" t="str">
        <f ca="1">IFERROR(__xludf.DUMMYFUNCTION("""COMPUTED_VALUE"""),"4GB")</f>
        <v>4GB</v>
      </c>
      <c r="I959" s="2" t="str">
        <f ca="1">IFERROR(__xludf.DUMMYFUNCTION("""COMPUTED_VALUE"""),"256GB SSD")</f>
        <v>256GB SSD</v>
      </c>
      <c r="J959" s="2" t="str">
        <f ca="1">IFERROR(__xludf.DUMMYFUNCTION("""COMPUTED_VALUE"""),"Intel HD Graphics 505")</f>
        <v>Intel HD Graphics 505</v>
      </c>
      <c r="K959" s="2" t="str">
        <f ca="1">IFERROR(__xludf.DUMMYFUNCTION("""COMPUTED_VALUE"""),"Windows 10")</f>
        <v>Windows 10</v>
      </c>
      <c r="L959" s="2" t="str">
        <f ca="1">IFERROR(__xludf.DUMMYFUNCTION("""COMPUTED_VALUE"""),"1.45kg")</f>
        <v>1.45kg</v>
      </c>
      <c r="M959" s="2">
        <f ca="1">IFERROR(__xludf.DUMMYFUNCTION("""COMPUTED_VALUE"""),775)</f>
        <v>775</v>
      </c>
    </row>
    <row r="960" spans="1:13">
      <c r="A960" s="2">
        <f ca="1">IFERROR(__xludf.DUMMYFUNCTION("""COMPUTED_VALUE"""),972)</f>
        <v>972</v>
      </c>
      <c r="B960" s="2" t="str">
        <f ca="1">IFERROR(__xludf.DUMMYFUNCTION("""COMPUTED_VALUE"""),"Dell")</f>
        <v>Dell</v>
      </c>
      <c r="C960" s="2" t="str">
        <f ca="1">IFERROR(__xludf.DUMMYFUNCTION("""COMPUTED_VALUE"""),"XPS 13")</f>
        <v>XPS 13</v>
      </c>
      <c r="D960" s="2" t="str">
        <f ca="1">IFERROR(__xludf.DUMMYFUNCTION("""COMPUTED_VALUE"""),"Ultrabook")</f>
        <v>Ultrabook</v>
      </c>
      <c r="E960" s="2">
        <f ca="1">IFERROR(__xludf.DUMMYFUNCTION("""COMPUTED_VALUE"""),13.3)</f>
        <v>13.3</v>
      </c>
      <c r="F960" s="2" t="str">
        <f ca="1">IFERROR(__xludf.DUMMYFUNCTION("""COMPUTED_VALUE"""),"Quad HD+ 3200x1800")</f>
        <v>Quad HD+ 3200x1800</v>
      </c>
      <c r="G960" s="2" t="str">
        <f ca="1">IFERROR(__xludf.DUMMYFUNCTION("""COMPUTED_VALUE"""),"Intel Core i7 6500U 2.5GHz")</f>
        <v>Intel Core i7 6500U 2.5GHz</v>
      </c>
      <c r="H960" s="2" t="str">
        <f ca="1">IFERROR(__xludf.DUMMYFUNCTION("""COMPUTED_VALUE"""),"8GB")</f>
        <v>8GB</v>
      </c>
      <c r="I960" s="2" t="str">
        <f ca="1">IFERROR(__xludf.DUMMYFUNCTION("""COMPUTED_VALUE"""),"256GB SSD")</f>
        <v>256GB SSD</v>
      </c>
      <c r="J960" s="2" t="str">
        <f ca="1">IFERROR(__xludf.DUMMYFUNCTION("""COMPUTED_VALUE"""),"Intel HD Graphics 520")</f>
        <v>Intel HD Graphics 520</v>
      </c>
      <c r="K960" s="2" t="str">
        <f ca="1">IFERROR(__xludf.DUMMYFUNCTION("""COMPUTED_VALUE"""),"Windows 10")</f>
        <v>Windows 10</v>
      </c>
      <c r="L960" s="2" t="str">
        <f ca="1">IFERROR(__xludf.DUMMYFUNCTION("""COMPUTED_VALUE"""),"1.3kg")</f>
        <v>1.3kg</v>
      </c>
      <c r="M960" s="2">
        <f ca="1">IFERROR(__xludf.DUMMYFUNCTION("""COMPUTED_VALUE"""),1268)</f>
        <v>1268</v>
      </c>
    </row>
    <row r="961" spans="1:13">
      <c r="A961" s="2">
        <f ca="1">IFERROR(__xludf.DUMMYFUNCTION("""COMPUTED_VALUE"""),973)</f>
        <v>973</v>
      </c>
      <c r="B961" s="2" t="str">
        <f ca="1">IFERROR(__xludf.DUMMYFUNCTION("""COMPUTED_VALUE"""),"Acer")</f>
        <v>Acer</v>
      </c>
      <c r="C961" s="2" t="str">
        <f ca="1">IFERROR(__xludf.DUMMYFUNCTION("""COMPUTED_VALUE"""),"Chromebook C738T-C2EJ")</f>
        <v>Chromebook C738T-C2EJ</v>
      </c>
      <c r="D961" s="2" t="str">
        <f ca="1">IFERROR(__xludf.DUMMYFUNCTION("""COMPUTED_VALUE"""),"2 in 1 Convertible")</f>
        <v>2 in 1 Convertible</v>
      </c>
      <c r="E961" s="2">
        <f ca="1">IFERROR(__xludf.DUMMYFUNCTION("""COMPUTED_VALUE"""),11.6)</f>
        <v>11.6</v>
      </c>
      <c r="F961" s="2" t="str">
        <f ca="1">IFERROR(__xludf.DUMMYFUNCTION("""COMPUTED_VALUE"""),"IPS Panel Touchscreen 1366x768")</f>
        <v>IPS Panel Touchscreen 1366x768</v>
      </c>
      <c r="G961" s="2" t="str">
        <f ca="1">IFERROR(__xludf.DUMMYFUNCTION("""COMPUTED_VALUE"""),"Intel Celeron Dual Core N3060 1.6GHz")</f>
        <v>Intel Celeron Dual Core N3060 1.6GHz</v>
      </c>
      <c r="H961" s="2" t="str">
        <f ca="1">IFERROR(__xludf.DUMMYFUNCTION("""COMPUTED_VALUE"""),"4GB")</f>
        <v>4GB</v>
      </c>
      <c r="I961" s="2" t="str">
        <f ca="1">IFERROR(__xludf.DUMMYFUNCTION("""COMPUTED_VALUE"""),"32GB Flash Storage")</f>
        <v>32GB Flash Storage</v>
      </c>
      <c r="J961" s="2" t="str">
        <f ca="1">IFERROR(__xludf.DUMMYFUNCTION("""COMPUTED_VALUE"""),"Intel HD Graphics 400")</f>
        <v>Intel HD Graphics 400</v>
      </c>
      <c r="K961" s="2" t="str">
        <f ca="1">IFERROR(__xludf.DUMMYFUNCTION("""COMPUTED_VALUE"""),"Chrome OS")</f>
        <v>Chrome OS</v>
      </c>
      <c r="L961" s="2" t="str">
        <f ca="1">IFERROR(__xludf.DUMMYFUNCTION("""COMPUTED_VALUE"""),"1.25kg")</f>
        <v>1.25kg</v>
      </c>
      <c r="M961" s="2">
        <f ca="1">IFERROR(__xludf.DUMMYFUNCTION("""COMPUTED_VALUE"""),389)</f>
        <v>389</v>
      </c>
    </row>
    <row r="962" spans="1:13">
      <c r="A962" s="2">
        <f ca="1">IFERROR(__xludf.DUMMYFUNCTION("""COMPUTED_VALUE"""),974)</f>
        <v>974</v>
      </c>
      <c r="B962" s="2" t="str">
        <f ca="1">IFERROR(__xludf.DUMMYFUNCTION("""COMPUTED_VALUE"""),"Toshiba")</f>
        <v>Toshiba</v>
      </c>
      <c r="C962" s="2" t="str">
        <f ca="1">IFERROR(__xludf.DUMMYFUNCTION("""COMPUTED_VALUE"""),"Portege Z30-C-16Z")</f>
        <v>Portege Z30-C-16Z</v>
      </c>
      <c r="D962" s="2" t="str">
        <f ca="1">IFERROR(__xludf.DUMMYFUNCTION("""COMPUTED_VALUE"""),"Notebook")</f>
        <v>Notebook</v>
      </c>
      <c r="E962" s="2">
        <f ca="1">IFERROR(__xludf.DUMMYFUNCTION("""COMPUTED_VALUE"""),13.3)</f>
        <v>13.3</v>
      </c>
      <c r="F962" s="2" t="str">
        <f ca="1">IFERROR(__xludf.DUMMYFUNCTION("""COMPUTED_VALUE"""),"Full HD 1920x1080")</f>
        <v>Full HD 1920x1080</v>
      </c>
      <c r="G962" s="2" t="str">
        <f ca="1">IFERROR(__xludf.DUMMYFUNCTION("""COMPUTED_VALUE"""),"Intel Core i5 6300U 2.4GHz")</f>
        <v>Intel Core i5 6300U 2.4GHz</v>
      </c>
      <c r="H962" s="2" t="str">
        <f ca="1">IFERROR(__xludf.DUMMYFUNCTION("""COMPUTED_VALUE"""),"8GB")</f>
        <v>8GB</v>
      </c>
      <c r="I962" s="2" t="str">
        <f ca="1">IFERROR(__xludf.DUMMYFUNCTION("""COMPUTED_VALUE"""),"256GB SSD")</f>
        <v>256GB SSD</v>
      </c>
      <c r="J962" s="2" t="str">
        <f ca="1">IFERROR(__xludf.DUMMYFUNCTION("""COMPUTED_VALUE"""),"Intel HD Graphics 520")</f>
        <v>Intel HD Graphics 520</v>
      </c>
      <c r="K962" s="2" t="str">
        <f ca="1">IFERROR(__xludf.DUMMYFUNCTION("""COMPUTED_VALUE"""),"Windows 10")</f>
        <v>Windows 10</v>
      </c>
      <c r="L962" s="2" t="str">
        <f ca="1">IFERROR(__xludf.DUMMYFUNCTION("""COMPUTED_VALUE"""),"1.2kg")</f>
        <v>1.2kg</v>
      </c>
      <c r="M962" s="2">
        <f ca="1">IFERROR(__xludf.DUMMYFUNCTION("""COMPUTED_VALUE"""),1535)</f>
        <v>1535</v>
      </c>
    </row>
    <row r="963" spans="1:13">
      <c r="A963" s="2">
        <f ca="1">IFERROR(__xludf.DUMMYFUNCTION("""COMPUTED_VALUE"""),975)</f>
        <v>975</v>
      </c>
      <c r="B963" s="2" t="str">
        <f ca="1">IFERROR(__xludf.DUMMYFUNCTION("""COMPUTED_VALUE"""),"Lenovo")</f>
        <v>Lenovo</v>
      </c>
      <c r="C963" s="2" t="str">
        <f ca="1">IFERROR(__xludf.DUMMYFUNCTION("""COMPUTED_VALUE"""),"ThinkPad X270")</f>
        <v>ThinkPad X270</v>
      </c>
      <c r="D963" s="2" t="str">
        <f ca="1">IFERROR(__xludf.DUMMYFUNCTION("""COMPUTED_VALUE"""),"Ultrabook")</f>
        <v>Ultrabook</v>
      </c>
      <c r="E963" s="2">
        <f ca="1">IFERROR(__xludf.DUMMYFUNCTION("""COMPUTED_VALUE"""),12.5)</f>
        <v>12.5</v>
      </c>
      <c r="F963" s="2" t="str">
        <f ca="1">IFERROR(__xludf.DUMMYFUNCTION("""COMPUTED_VALUE"""),"IPS Panel Full HD 1920x1080")</f>
        <v>IPS Panel Full HD 1920x1080</v>
      </c>
      <c r="G963" s="2" t="str">
        <f ca="1">IFERROR(__xludf.DUMMYFUNCTION("""COMPUTED_VALUE"""),"Intel Core i5 7300U 2.6GHz")</f>
        <v>Intel Core i5 7300U 2.6GHz</v>
      </c>
      <c r="H963" s="2" t="str">
        <f ca="1">IFERROR(__xludf.DUMMYFUNCTION("""COMPUTED_VALUE"""),"8GB")</f>
        <v>8GB</v>
      </c>
      <c r="I963" s="2" t="str">
        <f ca="1">IFERROR(__xludf.DUMMYFUNCTION("""COMPUTED_VALUE"""),"256GB SSD")</f>
        <v>256GB SSD</v>
      </c>
      <c r="J963" s="2" t="str">
        <f ca="1">IFERROR(__xludf.DUMMYFUNCTION("""COMPUTED_VALUE"""),"Intel HD Graphics 620")</f>
        <v>Intel HD Graphics 620</v>
      </c>
      <c r="K963" s="2" t="str">
        <f ca="1">IFERROR(__xludf.DUMMYFUNCTION("""COMPUTED_VALUE"""),"Windows 10")</f>
        <v>Windows 10</v>
      </c>
      <c r="L963" s="2" t="str">
        <f ca="1">IFERROR(__xludf.DUMMYFUNCTION("""COMPUTED_VALUE"""),"1.36kg")</f>
        <v>1.36kg</v>
      </c>
      <c r="M963" s="2">
        <f ca="1">IFERROR(__xludf.DUMMYFUNCTION("""COMPUTED_VALUE"""),1760)</f>
        <v>1760</v>
      </c>
    </row>
    <row r="964" spans="1:13">
      <c r="A964" s="2">
        <f ca="1">IFERROR(__xludf.DUMMYFUNCTION("""COMPUTED_VALUE"""),976)</f>
        <v>976</v>
      </c>
      <c r="B964" s="2" t="str">
        <f ca="1">IFERROR(__xludf.DUMMYFUNCTION("""COMPUTED_VALUE"""),"Acer")</f>
        <v>Acer</v>
      </c>
      <c r="C964" s="2" t="str">
        <f ca="1">IFERROR(__xludf.DUMMYFUNCTION("""COMPUTED_VALUE"""),"Aspire F5-573G-510L")</f>
        <v>Aspire F5-573G-510L</v>
      </c>
      <c r="D964" s="2" t="str">
        <f ca="1">IFERROR(__xludf.DUMMYFUNCTION("""COMPUTED_VALUE"""),"Notebook")</f>
        <v>Notebook</v>
      </c>
      <c r="E964" s="2">
        <f ca="1">IFERROR(__xludf.DUMMYFUNCTION("""COMPUTED_VALUE"""),15.6)</f>
        <v>15.6</v>
      </c>
      <c r="F964" s="2" t="str">
        <f ca="1">IFERROR(__xludf.DUMMYFUNCTION("""COMPUTED_VALUE"""),"Full HD 1920x1080")</f>
        <v>Full HD 1920x1080</v>
      </c>
      <c r="G964" s="2" t="str">
        <f ca="1">IFERROR(__xludf.DUMMYFUNCTION("""COMPUTED_VALUE"""),"Intel Core i5 7200U 2.5GHz")</f>
        <v>Intel Core i5 7200U 2.5GHz</v>
      </c>
      <c r="H964" s="2" t="str">
        <f ca="1">IFERROR(__xludf.DUMMYFUNCTION("""COMPUTED_VALUE"""),"12GB")</f>
        <v>12GB</v>
      </c>
      <c r="I964" s="2" t="str">
        <f ca="1">IFERROR(__xludf.DUMMYFUNCTION("""COMPUTED_VALUE"""),"128GB SSD +  1TB HDD")</f>
        <v>128GB SSD +  1TB HDD</v>
      </c>
      <c r="J964" s="2" t="str">
        <f ca="1">IFERROR(__xludf.DUMMYFUNCTION("""COMPUTED_VALUE"""),"Nvidia GeForce GTX 950M")</f>
        <v>Nvidia GeForce GTX 950M</v>
      </c>
      <c r="K964" s="2" t="str">
        <f ca="1">IFERROR(__xludf.DUMMYFUNCTION("""COMPUTED_VALUE"""),"Windows 10")</f>
        <v>Windows 10</v>
      </c>
      <c r="L964" s="2" t="str">
        <f ca="1">IFERROR(__xludf.DUMMYFUNCTION("""COMPUTED_VALUE"""),"2.4kg")</f>
        <v>2.4kg</v>
      </c>
      <c r="M964" s="2">
        <f ca="1">IFERROR(__xludf.DUMMYFUNCTION("""COMPUTED_VALUE"""),1009)</f>
        <v>1009</v>
      </c>
    </row>
    <row r="965" spans="1:13">
      <c r="A965" s="2">
        <f ca="1">IFERROR(__xludf.DUMMYFUNCTION("""COMPUTED_VALUE"""),977)</f>
        <v>977</v>
      </c>
      <c r="B965" s="2" t="str">
        <f ca="1">IFERROR(__xludf.DUMMYFUNCTION("""COMPUTED_VALUE"""),"Toshiba")</f>
        <v>Toshiba</v>
      </c>
      <c r="C965" s="2" t="str">
        <f ca="1">IFERROR(__xludf.DUMMYFUNCTION("""COMPUTED_VALUE"""),"Portege X20W-D-10V")</f>
        <v>Portege X20W-D-10V</v>
      </c>
      <c r="D965" s="2" t="str">
        <f ca="1">IFERROR(__xludf.DUMMYFUNCTION("""COMPUTED_VALUE"""),"Ultrabook")</f>
        <v>Ultrabook</v>
      </c>
      <c r="E965" s="2">
        <f ca="1">IFERROR(__xludf.DUMMYFUNCTION("""COMPUTED_VALUE"""),12.5)</f>
        <v>12.5</v>
      </c>
      <c r="F965" s="2" t="str">
        <f ca="1">IFERROR(__xludf.DUMMYFUNCTION("""COMPUTED_VALUE"""),"Full HD / Touchscreen 1920x1080")</f>
        <v>Full HD / Touchscreen 1920x1080</v>
      </c>
      <c r="G965" s="2" t="str">
        <f ca="1">IFERROR(__xludf.DUMMYFUNCTION("""COMPUTED_VALUE"""),"Intel Core i7 7500U 2.7GHz")</f>
        <v>Intel Core i7 7500U 2.7GHz</v>
      </c>
      <c r="H965" s="2" t="str">
        <f ca="1">IFERROR(__xludf.DUMMYFUNCTION("""COMPUTED_VALUE"""),"8GB")</f>
        <v>8GB</v>
      </c>
      <c r="I965" s="2" t="str">
        <f ca="1">IFERROR(__xludf.DUMMYFUNCTION("""COMPUTED_VALUE"""),"512GB SSD")</f>
        <v>512GB SSD</v>
      </c>
      <c r="J965" s="2" t="str">
        <f ca="1">IFERROR(__xludf.DUMMYFUNCTION("""COMPUTED_VALUE"""),"Intel HD Graphics 620")</f>
        <v>Intel HD Graphics 620</v>
      </c>
      <c r="K965" s="2" t="str">
        <f ca="1">IFERROR(__xludf.DUMMYFUNCTION("""COMPUTED_VALUE"""),"Windows 10")</f>
        <v>Windows 10</v>
      </c>
      <c r="L965" s="2" t="str">
        <f ca="1">IFERROR(__xludf.DUMMYFUNCTION("""COMPUTED_VALUE"""),"1.1kg")</f>
        <v>1.1kg</v>
      </c>
      <c r="M965" s="2">
        <f ca="1">IFERROR(__xludf.DUMMYFUNCTION("""COMPUTED_VALUE"""),1790)</f>
        <v>1790</v>
      </c>
    </row>
    <row r="966" spans="1:13">
      <c r="A966" s="2">
        <f ca="1">IFERROR(__xludf.DUMMYFUNCTION("""COMPUTED_VALUE"""),978)</f>
        <v>978</v>
      </c>
      <c r="B966" s="2" t="str">
        <f ca="1">IFERROR(__xludf.DUMMYFUNCTION("""COMPUTED_VALUE"""),"HP")</f>
        <v>HP</v>
      </c>
      <c r="C966" s="2" t="str">
        <f ca="1">IFERROR(__xludf.DUMMYFUNCTION("""COMPUTED_VALUE"""),"ProBook 450")</f>
        <v>ProBook 450</v>
      </c>
      <c r="D966" s="2" t="str">
        <f ca="1">IFERROR(__xludf.DUMMYFUNCTION("""COMPUTED_VALUE"""),"Notebook")</f>
        <v>Notebook</v>
      </c>
      <c r="E966" s="2">
        <f ca="1">IFERROR(__xludf.DUMMYFUNCTION("""COMPUTED_VALUE"""),15.6)</f>
        <v>15.6</v>
      </c>
      <c r="F966" s="2" t="str">
        <f ca="1">IFERROR(__xludf.DUMMYFUNCTION("""COMPUTED_VALUE"""),"1366x768")</f>
        <v>1366x768</v>
      </c>
      <c r="G966" s="2" t="str">
        <f ca="1">IFERROR(__xludf.DUMMYFUNCTION("""COMPUTED_VALUE"""),"Intel Core i5 7200U 2.50GHz")</f>
        <v>Intel Core i5 7200U 2.50GHz</v>
      </c>
      <c r="H966" s="2" t="str">
        <f ca="1">IFERROR(__xludf.DUMMYFUNCTION("""COMPUTED_VALUE"""),"8GB")</f>
        <v>8GB</v>
      </c>
      <c r="I966" s="2" t="str">
        <f ca="1">IFERROR(__xludf.DUMMYFUNCTION("""COMPUTED_VALUE"""),"1TB HDD")</f>
        <v>1TB HDD</v>
      </c>
      <c r="J966" s="2" t="str">
        <f ca="1">IFERROR(__xludf.DUMMYFUNCTION("""COMPUTED_VALUE"""),"Nvidia GeForce 930MX")</f>
        <v>Nvidia GeForce 930MX</v>
      </c>
      <c r="K966" s="2" t="str">
        <f ca="1">IFERROR(__xludf.DUMMYFUNCTION("""COMPUTED_VALUE"""),"Windows 10")</f>
        <v>Windows 10</v>
      </c>
      <c r="L966" s="2" t="str">
        <f ca="1">IFERROR(__xludf.DUMMYFUNCTION("""COMPUTED_VALUE"""),"2.04kg")</f>
        <v>2.04kg</v>
      </c>
      <c r="M966" s="2">
        <f ca="1">IFERROR(__xludf.DUMMYFUNCTION("""COMPUTED_VALUE"""),846.5)</f>
        <v>846.5</v>
      </c>
    </row>
    <row r="967" spans="1:13">
      <c r="A967" s="2">
        <f ca="1">IFERROR(__xludf.DUMMYFUNCTION("""COMPUTED_VALUE"""),979)</f>
        <v>979</v>
      </c>
      <c r="B967" s="2" t="str">
        <f ca="1">IFERROR(__xludf.DUMMYFUNCTION("""COMPUTED_VALUE"""),"Dell")</f>
        <v>Dell</v>
      </c>
      <c r="C967" s="2" t="str">
        <f ca="1">IFERROR(__xludf.DUMMYFUNCTION("""COMPUTED_VALUE"""),"Inspiron 3567")</f>
        <v>Inspiron 3567</v>
      </c>
      <c r="D967" s="2" t="str">
        <f ca="1">IFERROR(__xludf.DUMMYFUNCTION("""COMPUTED_VALUE"""),"Notebook")</f>
        <v>Notebook</v>
      </c>
      <c r="E967" s="2">
        <f ca="1">IFERROR(__xludf.DUMMYFUNCTION("""COMPUTED_VALUE"""),15.6)</f>
        <v>15.6</v>
      </c>
      <c r="F967" s="2" t="str">
        <f ca="1">IFERROR(__xludf.DUMMYFUNCTION("""COMPUTED_VALUE"""),"1366x768")</f>
        <v>1366x768</v>
      </c>
      <c r="G967" s="2" t="str">
        <f ca="1">IFERROR(__xludf.DUMMYFUNCTION("""COMPUTED_VALUE"""),"Intel Core i3 6006U 2.0GHz")</f>
        <v>Intel Core i3 6006U 2.0GHz</v>
      </c>
      <c r="H967" s="2" t="str">
        <f ca="1">IFERROR(__xludf.DUMMYFUNCTION("""COMPUTED_VALUE"""),"4GB")</f>
        <v>4GB</v>
      </c>
      <c r="I967" s="2" t="str">
        <f ca="1">IFERROR(__xludf.DUMMYFUNCTION("""COMPUTED_VALUE"""),"1TB HDD")</f>
        <v>1TB HDD</v>
      </c>
      <c r="J967" s="2" t="str">
        <f ca="1">IFERROR(__xludf.DUMMYFUNCTION("""COMPUTED_VALUE"""),"AMD Radeon R5 M430")</f>
        <v>AMD Radeon R5 M430</v>
      </c>
      <c r="K967" s="2" t="str">
        <f ca="1">IFERROR(__xludf.DUMMYFUNCTION("""COMPUTED_VALUE"""),"Linux")</f>
        <v>Linux</v>
      </c>
      <c r="L967" s="2" t="str">
        <f ca="1">IFERROR(__xludf.DUMMYFUNCTION("""COMPUTED_VALUE"""),"2.25kg")</f>
        <v>2.25kg</v>
      </c>
      <c r="M967" s="2">
        <f ca="1">IFERROR(__xludf.DUMMYFUNCTION("""COMPUTED_VALUE"""),465.62)</f>
        <v>465.62</v>
      </c>
    </row>
    <row r="968" spans="1:13">
      <c r="A968" s="2">
        <f ca="1">IFERROR(__xludf.DUMMYFUNCTION("""COMPUTED_VALUE"""),980)</f>
        <v>980</v>
      </c>
      <c r="B968" s="2" t="str">
        <f ca="1">IFERROR(__xludf.DUMMYFUNCTION("""COMPUTED_VALUE"""),"Dell")</f>
        <v>Dell</v>
      </c>
      <c r="C968" s="2" t="str">
        <f ca="1">IFERROR(__xludf.DUMMYFUNCTION("""COMPUTED_VALUE"""),"Latitude 5580")</f>
        <v>Latitude 5580</v>
      </c>
      <c r="D968" s="2" t="str">
        <f ca="1">IFERROR(__xludf.DUMMYFUNCTION("""COMPUTED_VALUE"""),"Notebook")</f>
        <v>Notebook</v>
      </c>
      <c r="E968" s="2">
        <f ca="1">IFERROR(__xludf.DUMMYFUNCTION("""COMPUTED_VALUE"""),15.6)</f>
        <v>15.6</v>
      </c>
      <c r="F968" s="2" t="str">
        <f ca="1">IFERROR(__xludf.DUMMYFUNCTION("""COMPUTED_VALUE"""),"1366x768")</f>
        <v>1366x768</v>
      </c>
      <c r="G968" s="2" t="str">
        <f ca="1">IFERROR(__xludf.DUMMYFUNCTION("""COMPUTED_VALUE"""),"Intel Core i5 7200U 2.5GHz")</f>
        <v>Intel Core i5 7200U 2.5GHz</v>
      </c>
      <c r="H968" s="2" t="str">
        <f ca="1">IFERROR(__xludf.DUMMYFUNCTION("""COMPUTED_VALUE"""),"4GB")</f>
        <v>4GB</v>
      </c>
      <c r="I968" s="2" t="str">
        <f ca="1">IFERROR(__xludf.DUMMYFUNCTION("""COMPUTED_VALUE"""),"500GB HDD")</f>
        <v>500GB HDD</v>
      </c>
      <c r="J968" s="2" t="str">
        <f ca="1">IFERROR(__xludf.DUMMYFUNCTION("""COMPUTED_VALUE"""),"Intel HD Graphics 620")</f>
        <v>Intel HD Graphics 620</v>
      </c>
      <c r="K968" s="2" t="str">
        <f ca="1">IFERROR(__xludf.DUMMYFUNCTION("""COMPUTED_VALUE"""),"Windows 10")</f>
        <v>Windows 10</v>
      </c>
      <c r="L968" s="2" t="str">
        <f ca="1">IFERROR(__xludf.DUMMYFUNCTION("""COMPUTED_VALUE"""),"1.9kg")</f>
        <v>1.9kg</v>
      </c>
      <c r="M968" s="2">
        <f ca="1">IFERROR(__xludf.DUMMYFUNCTION("""COMPUTED_VALUE"""),825)</f>
        <v>825</v>
      </c>
    </row>
    <row r="969" spans="1:13">
      <c r="A969" s="2">
        <f ca="1">IFERROR(__xludf.DUMMYFUNCTION("""COMPUTED_VALUE"""),981)</f>
        <v>981</v>
      </c>
      <c r="B969" s="2" t="str">
        <f ca="1">IFERROR(__xludf.DUMMYFUNCTION("""COMPUTED_VALUE"""),"HP")</f>
        <v>HP</v>
      </c>
      <c r="C969" s="2" t="str">
        <f ca="1">IFERROR(__xludf.DUMMYFUNCTION("""COMPUTED_VALUE"""),"ProBook 450")</f>
        <v>ProBook 450</v>
      </c>
      <c r="D969" s="2" t="str">
        <f ca="1">IFERROR(__xludf.DUMMYFUNCTION("""COMPUTED_VALUE"""),"Notebook")</f>
        <v>Notebook</v>
      </c>
      <c r="E969" s="2">
        <f ca="1">IFERROR(__xludf.DUMMYFUNCTION("""COMPUTED_VALUE"""),15.6)</f>
        <v>15.6</v>
      </c>
      <c r="F969" s="2" t="str">
        <f ca="1">IFERROR(__xludf.DUMMYFUNCTION("""COMPUTED_VALUE"""),"Full HD 1920x1080")</f>
        <v>Full HD 1920x1080</v>
      </c>
      <c r="G969" s="2" t="str">
        <f ca="1">IFERROR(__xludf.DUMMYFUNCTION("""COMPUTED_VALUE"""),"Intel Core i3 7100U 2.4GHz")</f>
        <v>Intel Core i3 7100U 2.4GHz</v>
      </c>
      <c r="H969" s="2" t="str">
        <f ca="1">IFERROR(__xludf.DUMMYFUNCTION("""COMPUTED_VALUE"""),"4GB")</f>
        <v>4GB</v>
      </c>
      <c r="I969" s="2" t="str">
        <f ca="1">IFERROR(__xludf.DUMMYFUNCTION("""COMPUTED_VALUE"""),"500GB HDD")</f>
        <v>500GB HDD</v>
      </c>
      <c r="J969" s="2" t="str">
        <f ca="1">IFERROR(__xludf.DUMMYFUNCTION("""COMPUTED_VALUE"""),"Intel HD Graphics 620")</f>
        <v>Intel HD Graphics 620</v>
      </c>
      <c r="K969" s="2" t="str">
        <f ca="1">IFERROR(__xludf.DUMMYFUNCTION("""COMPUTED_VALUE"""),"Windows 10")</f>
        <v>Windows 10</v>
      </c>
      <c r="L969" s="2" t="str">
        <f ca="1">IFERROR(__xludf.DUMMYFUNCTION("""COMPUTED_VALUE"""),"2.04kg")</f>
        <v>2.04kg</v>
      </c>
      <c r="M969" s="2">
        <f ca="1">IFERROR(__xludf.DUMMYFUNCTION("""COMPUTED_VALUE"""),685)</f>
        <v>685</v>
      </c>
    </row>
    <row r="970" spans="1:13">
      <c r="A970" s="2">
        <f ca="1">IFERROR(__xludf.DUMMYFUNCTION("""COMPUTED_VALUE"""),982)</f>
        <v>982</v>
      </c>
      <c r="B970" s="2" t="str">
        <f ca="1">IFERROR(__xludf.DUMMYFUNCTION("""COMPUTED_VALUE"""),"Dell")</f>
        <v>Dell</v>
      </c>
      <c r="C970" s="2" t="str">
        <f ca="1">IFERROR(__xludf.DUMMYFUNCTION("""COMPUTED_VALUE"""),"Alienware 17")</f>
        <v>Alienware 17</v>
      </c>
      <c r="D970" s="2" t="str">
        <f ca="1">IFERROR(__xludf.DUMMYFUNCTION("""COMPUTED_VALUE"""),"Gaming")</f>
        <v>Gaming</v>
      </c>
      <c r="E970" s="2">
        <f ca="1">IFERROR(__xludf.DUMMYFUNCTION("""COMPUTED_VALUE"""),17.3)</f>
        <v>17.3</v>
      </c>
      <c r="F970" s="2" t="str">
        <f ca="1">IFERROR(__xludf.DUMMYFUNCTION("""COMPUTED_VALUE"""),"IPS Panel Full HD 1920x1080")</f>
        <v>IPS Panel Full HD 1920x1080</v>
      </c>
      <c r="G970" s="2" t="str">
        <f ca="1">IFERROR(__xludf.DUMMYFUNCTION("""COMPUTED_VALUE"""),"Intel Core i7 7700HQ 2.8GHz")</f>
        <v>Intel Core i7 7700HQ 2.8GHz</v>
      </c>
      <c r="H970" s="2" t="str">
        <f ca="1">IFERROR(__xludf.DUMMYFUNCTION("""COMPUTED_VALUE"""),"32GB")</f>
        <v>32GB</v>
      </c>
      <c r="I970" s="2" t="str">
        <f ca="1">IFERROR(__xludf.DUMMYFUNCTION("""COMPUTED_VALUE"""),"256GB SSD +  1TB HDD")</f>
        <v>256GB SSD +  1TB HDD</v>
      </c>
      <c r="J970" s="2" t="str">
        <f ca="1">IFERROR(__xludf.DUMMYFUNCTION("""COMPUTED_VALUE"""),"Nvidia GeForce GTX 1070")</f>
        <v>Nvidia GeForce GTX 1070</v>
      </c>
      <c r="K970" s="2" t="str">
        <f ca="1">IFERROR(__xludf.DUMMYFUNCTION("""COMPUTED_VALUE"""),"Windows 10")</f>
        <v>Windows 10</v>
      </c>
      <c r="L970" s="2" t="str">
        <f ca="1">IFERROR(__xludf.DUMMYFUNCTION("""COMPUTED_VALUE"""),"4.42kg")</f>
        <v>4.42kg</v>
      </c>
      <c r="M970" s="2">
        <f ca="1">IFERROR(__xludf.DUMMYFUNCTION("""COMPUTED_VALUE"""),3149)</f>
        <v>3149</v>
      </c>
    </row>
    <row r="971" spans="1:13">
      <c r="A971" s="2">
        <f ca="1">IFERROR(__xludf.DUMMYFUNCTION("""COMPUTED_VALUE"""),983)</f>
        <v>983</v>
      </c>
      <c r="B971" s="2" t="str">
        <f ca="1">IFERROR(__xludf.DUMMYFUNCTION("""COMPUTED_VALUE"""),"Lenovo")</f>
        <v>Lenovo</v>
      </c>
      <c r="C971" s="2" t="str">
        <f ca="1">IFERROR(__xludf.DUMMYFUNCTION("""COMPUTED_VALUE"""),"IdeaPad 310-15IKB")</f>
        <v>IdeaPad 310-15IKB</v>
      </c>
      <c r="D971" s="2" t="str">
        <f ca="1">IFERROR(__xludf.DUMMYFUNCTION("""COMPUTED_VALUE"""),"Notebook")</f>
        <v>Notebook</v>
      </c>
      <c r="E971" s="2">
        <f ca="1">IFERROR(__xludf.DUMMYFUNCTION("""COMPUTED_VALUE"""),15.6)</f>
        <v>15.6</v>
      </c>
      <c r="F971" s="2" t="str">
        <f ca="1">IFERROR(__xludf.DUMMYFUNCTION("""COMPUTED_VALUE"""),"Full HD 1920x1080")</f>
        <v>Full HD 1920x1080</v>
      </c>
      <c r="G971" s="2" t="str">
        <f ca="1">IFERROR(__xludf.DUMMYFUNCTION("""COMPUTED_VALUE"""),"Intel Core i5 7200U 2.5GHz")</f>
        <v>Intel Core i5 7200U 2.5GHz</v>
      </c>
      <c r="H971" s="2" t="str">
        <f ca="1">IFERROR(__xludf.DUMMYFUNCTION("""COMPUTED_VALUE"""),"6GB")</f>
        <v>6GB</v>
      </c>
      <c r="I971" s="2" t="str">
        <f ca="1">IFERROR(__xludf.DUMMYFUNCTION("""COMPUTED_VALUE"""),"256GB SSD")</f>
        <v>256GB SSD</v>
      </c>
      <c r="J971" s="2" t="str">
        <f ca="1">IFERROR(__xludf.DUMMYFUNCTION("""COMPUTED_VALUE"""),"Nvidia GeForce 920MX")</f>
        <v>Nvidia GeForce 920MX</v>
      </c>
      <c r="K971" s="2" t="str">
        <f ca="1">IFERROR(__xludf.DUMMYFUNCTION("""COMPUTED_VALUE"""),"Windows 10")</f>
        <v>Windows 10</v>
      </c>
      <c r="L971" s="2" t="str">
        <f ca="1">IFERROR(__xludf.DUMMYFUNCTION("""COMPUTED_VALUE"""),"2.4kg")</f>
        <v>2.4kg</v>
      </c>
      <c r="M971" s="2">
        <f ca="1">IFERROR(__xludf.DUMMYFUNCTION("""COMPUTED_VALUE"""),695)</f>
        <v>695</v>
      </c>
    </row>
    <row r="972" spans="1:13">
      <c r="A972" s="2">
        <f ca="1">IFERROR(__xludf.DUMMYFUNCTION("""COMPUTED_VALUE"""),984)</f>
        <v>984</v>
      </c>
      <c r="B972" s="2" t="str">
        <f ca="1">IFERROR(__xludf.DUMMYFUNCTION("""COMPUTED_VALUE"""),"Dell")</f>
        <v>Dell</v>
      </c>
      <c r="C972" s="2" t="str">
        <f ca="1">IFERROR(__xludf.DUMMYFUNCTION("""COMPUTED_VALUE"""),"XPS 13")</f>
        <v>XPS 13</v>
      </c>
      <c r="D972" s="2" t="str">
        <f ca="1">IFERROR(__xludf.DUMMYFUNCTION("""COMPUTED_VALUE"""),"2 in 1 Convertible")</f>
        <v>2 in 1 Convertible</v>
      </c>
      <c r="E972" s="2">
        <f ca="1">IFERROR(__xludf.DUMMYFUNCTION("""COMPUTED_VALUE"""),13.3)</f>
        <v>13.3</v>
      </c>
      <c r="F972" s="2" t="str">
        <f ca="1">IFERROR(__xludf.DUMMYFUNCTION("""COMPUTED_VALUE"""),"Quad HD+ / Touchscreen 3200x1800")</f>
        <v>Quad HD+ / Touchscreen 3200x1800</v>
      </c>
      <c r="G972" s="2" t="str">
        <f ca="1">IFERROR(__xludf.DUMMYFUNCTION("""COMPUTED_VALUE"""),"Intel Core i7 7Y75 1.3GHz")</f>
        <v>Intel Core i7 7Y75 1.3GHz</v>
      </c>
      <c r="H972" s="2" t="str">
        <f ca="1">IFERROR(__xludf.DUMMYFUNCTION("""COMPUTED_VALUE"""),"16GB")</f>
        <v>16GB</v>
      </c>
      <c r="I972" s="2" t="str">
        <f ca="1">IFERROR(__xludf.DUMMYFUNCTION("""COMPUTED_VALUE"""),"512GB SSD")</f>
        <v>512GB SSD</v>
      </c>
      <c r="J972" s="2" t="str">
        <f ca="1">IFERROR(__xludf.DUMMYFUNCTION("""COMPUTED_VALUE"""),"Intel HD Graphics 615")</f>
        <v>Intel HD Graphics 615</v>
      </c>
      <c r="K972" s="2" t="str">
        <f ca="1">IFERROR(__xludf.DUMMYFUNCTION("""COMPUTED_VALUE"""),"Windows 10")</f>
        <v>Windows 10</v>
      </c>
      <c r="L972" s="2" t="str">
        <f ca="1">IFERROR(__xludf.DUMMYFUNCTION("""COMPUTED_VALUE"""),"1.22kg")</f>
        <v>1.22kg</v>
      </c>
      <c r="M972" s="2">
        <f ca="1">IFERROR(__xludf.DUMMYFUNCTION("""COMPUTED_VALUE"""),1899)</f>
        <v>1899</v>
      </c>
    </row>
    <row r="973" spans="1:13">
      <c r="A973" s="2">
        <f ca="1">IFERROR(__xludf.DUMMYFUNCTION("""COMPUTED_VALUE"""),985)</f>
        <v>985</v>
      </c>
      <c r="B973" s="2" t="str">
        <f ca="1">IFERROR(__xludf.DUMMYFUNCTION("""COMPUTED_VALUE"""),"Dell")</f>
        <v>Dell</v>
      </c>
      <c r="C973" s="2" t="str">
        <f ca="1">IFERROR(__xludf.DUMMYFUNCTION("""COMPUTED_VALUE"""),"Latitude E7470")</f>
        <v>Latitude E7470</v>
      </c>
      <c r="D973" s="2" t="str">
        <f ca="1">IFERROR(__xludf.DUMMYFUNCTION("""COMPUTED_VALUE"""),"Ultrabook")</f>
        <v>Ultrabook</v>
      </c>
      <c r="E973" s="2">
        <f ca="1">IFERROR(__xludf.DUMMYFUNCTION("""COMPUTED_VALUE"""),14)</f>
        <v>14</v>
      </c>
      <c r="F973" s="2" t="str">
        <f ca="1">IFERROR(__xludf.DUMMYFUNCTION("""COMPUTED_VALUE"""),"Touchscreen 2560x1440")</f>
        <v>Touchscreen 2560x1440</v>
      </c>
      <c r="G973" s="2" t="str">
        <f ca="1">IFERROR(__xludf.DUMMYFUNCTION("""COMPUTED_VALUE"""),"Intel Core i7 6600U 2.6GHz")</f>
        <v>Intel Core i7 6600U 2.6GHz</v>
      </c>
      <c r="H973" s="2" t="str">
        <f ca="1">IFERROR(__xludf.DUMMYFUNCTION("""COMPUTED_VALUE"""),"8GB")</f>
        <v>8GB</v>
      </c>
      <c r="I973" s="2" t="str">
        <f ca="1">IFERROR(__xludf.DUMMYFUNCTION("""COMPUTED_VALUE"""),"256GB SSD")</f>
        <v>256GB SSD</v>
      </c>
      <c r="J973" s="2" t="str">
        <f ca="1">IFERROR(__xludf.DUMMYFUNCTION("""COMPUTED_VALUE"""),"Intel HD Graphics 520")</f>
        <v>Intel HD Graphics 520</v>
      </c>
      <c r="K973" s="2" t="str">
        <f ca="1">IFERROR(__xludf.DUMMYFUNCTION("""COMPUTED_VALUE"""),"Windows 10")</f>
        <v>Windows 10</v>
      </c>
      <c r="L973" s="2" t="str">
        <f ca="1">IFERROR(__xludf.DUMMYFUNCTION("""COMPUTED_VALUE"""),"1.5kg")</f>
        <v>1.5kg</v>
      </c>
      <c r="M973" s="2">
        <f ca="1">IFERROR(__xludf.DUMMYFUNCTION("""COMPUTED_VALUE"""),1962.98)</f>
        <v>1962.98</v>
      </c>
    </row>
    <row r="974" spans="1:13">
      <c r="A974" s="2">
        <f ca="1">IFERROR(__xludf.DUMMYFUNCTION("""COMPUTED_VALUE"""),986)</f>
        <v>986</v>
      </c>
      <c r="B974" s="2" t="str">
        <f ca="1">IFERROR(__xludf.DUMMYFUNCTION("""COMPUTED_VALUE"""),"Dell")</f>
        <v>Dell</v>
      </c>
      <c r="C974" s="2" t="str">
        <f ca="1">IFERROR(__xludf.DUMMYFUNCTION("""COMPUTED_VALUE"""),"Alienware 17")</f>
        <v>Alienware 17</v>
      </c>
      <c r="D974" s="2" t="str">
        <f ca="1">IFERROR(__xludf.DUMMYFUNCTION("""COMPUTED_VALUE"""),"Gaming")</f>
        <v>Gaming</v>
      </c>
      <c r="E974" s="2">
        <f ca="1">IFERROR(__xludf.DUMMYFUNCTION("""COMPUTED_VALUE"""),17.3)</f>
        <v>17.3</v>
      </c>
      <c r="F974" s="2" t="str">
        <f ca="1">IFERROR(__xludf.DUMMYFUNCTION("""COMPUTED_VALUE"""),"Full HD 1920x1080")</f>
        <v>Full HD 1920x1080</v>
      </c>
      <c r="G974" s="2" t="str">
        <f ca="1">IFERROR(__xludf.DUMMYFUNCTION("""COMPUTED_VALUE"""),"Intel Core i7 6700HQ 2.6GHz")</f>
        <v>Intel Core i7 6700HQ 2.6GHz</v>
      </c>
      <c r="H974" s="2" t="str">
        <f ca="1">IFERROR(__xludf.DUMMYFUNCTION("""COMPUTED_VALUE"""),"32GB")</f>
        <v>32GB</v>
      </c>
      <c r="I974" s="2" t="str">
        <f ca="1">IFERROR(__xludf.DUMMYFUNCTION("""COMPUTED_VALUE"""),"256GB SSD +  1TB HDD")</f>
        <v>256GB SSD +  1TB HDD</v>
      </c>
      <c r="J974" s="2" t="str">
        <f ca="1">IFERROR(__xludf.DUMMYFUNCTION("""COMPUTED_VALUE"""),"Nvidia GeForce GTX 1070")</f>
        <v>Nvidia GeForce GTX 1070</v>
      </c>
      <c r="K974" s="2" t="str">
        <f ca="1">IFERROR(__xludf.DUMMYFUNCTION("""COMPUTED_VALUE"""),"Windows 10")</f>
        <v>Windows 10</v>
      </c>
      <c r="L974" s="2" t="str">
        <f ca="1">IFERROR(__xludf.DUMMYFUNCTION("""COMPUTED_VALUE"""),"4.42kg")</f>
        <v>4.42kg</v>
      </c>
      <c r="M974" s="2">
        <f ca="1">IFERROR(__xludf.DUMMYFUNCTION("""COMPUTED_VALUE"""),2800)</f>
        <v>2800</v>
      </c>
    </row>
    <row r="975" spans="1:13">
      <c r="A975" s="2">
        <f ca="1">IFERROR(__xludf.DUMMYFUNCTION("""COMPUTED_VALUE"""),987)</f>
        <v>987</v>
      </c>
      <c r="B975" s="2" t="str">
        <f ca="1">IFERROR(__xludf.DUMMYFUNCTION("""COMPUTED_VALUE"""),"Toshiba")</f>
        <v>Toshiba</v>
      </c>
      <c r="C975" s="2" t="str">
        <f ca="1">IFERROR(__xludf.DUMMYFUNCTION("""COMPUTED_VALUE"""),"Tecra A40-C-1DF")</f>
        <v>Tecra A40-C-1DF</v>
      </c>
      <c r="D975" s="2" t="str">
        <f ca="1">IFERROR(__xludf.DUMMYFUNCTION("""COMPUTED_VALUE"""),"Notebook")</f>
        <v>Notebook</v>
      </c>
      <c r="E975" s="2">
        <f ca="1">IFERROR(__xludf.DUMMYFUNCTION("""COMPUTED_VALUE"""),14)</f>
        <v>14</v>
      </c>
      <c r="F975" s="2" t="str">
        <f ca="1">IFERROR(__xludf.DUMMYFUNCTION("""COMPUTED_VALUE"""),"Full HD 1920x1080")</f>
        <v>Full HD 1920x1080</v>
      </c>
      <c r="G975" s="2" t="str">
        <f ca="1">IFERROR(__xludf.DUMMYFUNCTION("""COMPUTED_VALUE"""),"Intel Core i5 6200U 2.3GHz")</f>
        <v>Intel Core i5 6200U 2.3GHz</v>
      </c>
      <c r="H975" s="2" t="str">
        <f ca="1">IFERROR(__xludf.DUMMYFUNCTION("""COMPUTED_VALUE"""),"8GB")</f>
        <v>8GB</v>
      </c>
      <c r="I975" s="2" t="str">
        <f ca="1">IFERROR(__xludf.DUMMYFUNCTION("""COMPUTED_VALUE"""),"256GB SSD")</f>
        <v>256GB SSD</v>
      </c>
      <c r="J975" s="2" t="str">
        <f ca="1">IFERROR(__xludf.DUMMYFUNCTION("""COMPUTED_VALUE"""),"Intel HD Graphics 520")</f>
        <v>Intel HD Graphics 520</v>
      </c>
      <c r="K975" s="2" t="str">
        <f ca="1">IFERROR(__xludf.DUMMYFUNCTION("""COMPUTED_VALUE"""),"Windows 10")</f>
        <v>Windows 10</v>
      </c>
      <c r="L975" s="2" t="str">
        <f ca="1">IFERROR(__xludf.DUMMYFUNCTION("""COMPUTED_VALUE"""),"1.95kg")</f>
        <v>1.95kg</v>
      </c>
      <c r="M975" s="2">
        <f ca="1">IFERROR(__xludf.DUMMYFUNCTION("""COMPUTED_VALUE"""),1180)</f>
        <v>1180</v>
      </c>
    </row>
    <row r="976" spans="1:13">
      <c r="A976" s="2">
        <f ca="1">IFERROR(__xludf.DUMMYFUNCTION("""COMPUTED_VALUE"""),988)</f>
        <v>988</v>
      </c>
      <c r="B976" s="2" t="str">
        <f ca="1">IFERROR(__xludf.DUMMYFUNCTION("""COMPUTED_VALUE"""),"Asus")</f>
        <v>Asus</v>
      </c>
      <c r="C976" s="2" t="str">
        <f ca="1">IFERROR(__xludf.DUMMYFUNCTION("""COMPUTED_VALUE"""),"Rog Strix")</f>
        <v>Rog Strix</v>
      </c>
      <c r="D976" s="2" t="str">
        <f ca="1">IFERROR(__xludf.DUMMYFUNCTION("""COMPUTED_VALUE"""),"Gaming")</f>
        <v>Gaming</v>
      </c>
      <c r="E976" s="2">
        <f ca="1">IFERROR(__xludf.DUMMYFUNCTION("""COMPUTED_VALUE"""),17.3)</f>
        <v>17.3</v>
      </c>
      <c r="F976" s="2" t="str">
        <f ca="1">IFERROR(__xludf.DUMMYFUNCTION("""COMPUTED_VALUE"""),"Full HD 1920x1080")</f>
        <v>Full HD 1920x1080</v>
      </c>
      <c r="G976" s="2" t="str">
        <f ca="1">IFERROR(__xludf.DUMMYFUNCTION("""COMPUTED_VALUE"""),"Intel Core i7 7700HQ 2.8GHz")</f>
        <v>Intel Core i7 7700HQ 2.8GHz</v>
      </c>
      <c r="H976" s="2" t="str">
        <f ca="1">IFERROR(__xludf.DUMMYFUNCTION("""COMPUTED_VALUE"""),"16GB")</f>
        <v>16GB</v>
      </c>
      <c r="I976" s="2" t="str">
        <f ca="1">IFERROR(__xludf.DUMMYFUNCTION("""COMPUTED_VALUE"""),"256GB SSD +  1TB HDD")</f>
        <v>256GB SSD +  1TB HDD</v>
      </c>
      <c r="J976" s="2" t="str">
        <f ca="1">IFERROR(__xludf.DUMMYFUNCTION("""COMPUTED_VALUE"""),"Nvidia GeForce GTX 1060")</f>
        <v>Nvidia GeForce GTX 1060</v>
      </c>
      <c r="K976" s="2" t="str">
        <f ca="1">IFERROR(__xludf.DUMMYFUNCTION("""COMPUTED_VALUE"""),"Windows 10")</f>
        <v>Windows 10</v>
      </c>
      <c r="L976" s="2" t="str">
        <f ca="1">IFERROR(__xludf.DUMMYFUNCTION("""COMPUTED_VALUE"""),"2.73kg")</f>
        <v>2.73kg</v>
      </c>
      <c r="M976" s="2">
        <f ca="1">IFERROR(__xludf.DUMMYFUNCTION("""COMPUTED_VALUE"""),2049.9)</f>
        <v>2049.9</v>
      </c>
    </row>
    <row r="977" spans="1:13">
      <c r="A977" s="2">
        <f ca="1">IFERROR(__xludf.DUMMYFUNCTION("""COMPUTED_VALUE"""),989)</f>
        <v>989</v>
      </c>
      <c r="B977" s="2" t="str">
        <f ca="1">IFERROR(__xludf.DUMMYFUNCTION("""COMPUTED_VALUE"""),"HP")</f>
        <v>HP</v>
      </c>
      <c r="C977" s="2" t="str">
        <f ca="1">IFERROR(__xludf.DUMMYFUNCTION("""COMPUTED_VALUE"""),"Probook 450")</f>
        <v>Probook 450</v>
      </c>
      <c r="D977" s="2" t="str">
        <f ca="1">IFERROR(__xludf.DUMMYFUNCTION("""COMPUTED_VALUE"""),"Notebook")</f>
        <v>Notebook</v>
      </c>
      <c r="E977" s="2">
        <f ca="1">IFERROR(__xludf.DUMMYFUNCTION("""COMPUTED_VALUE"""),15.6)</f>
        <v>15.6</v>
      </c>
      <c r="F977" s="2" t="str">
        <f ca="1">IFERROR(__xludf.DUMMYFUNCTION("""COMPUTED_VALUE"""),"IPS Panel Full HD 1920x1080")</f>
        <v>IPS Panel Full HD 1920x1080</v>
      </c>
      <c r="G977" s="2" t="str">
        <f ca="1">IFERROR(__xludf.DUMMYFUNCTION("""COMPUTED_VALUE"""),"Intel Core i5 7200U 2.70GHz")</f>
        <v>Intel Core i5 7200U 2.70GHz</v>
      </c>
      <c r="H977" s="2" t="str">
        <f ca="1">IFERROR(__xludf.DUMMYFUNCTION("""COMPUTED_VALUE"""),"8GB")</f>
        <v>8GB</v>
      </c>
      <c r="I977" s="2" t="str">
        <f ca="1">IFERROR(__xludf.DUMMYFUNCTION("""COMPUTED_VALUE"""),"128GB SSD +  1TB HDD")</f>
        <v>128GB SSD +  1TB HDD</v>
      </c>
      <c r="J977" s="2" t="str">
        <f ca="1">IFERROR(__xludf.DUMMYFUNCTION("""COMPUTED_VALUE"""),"Nvidia GeForce 930MX")</f>
        <v>Nvidia GeForce 930MX</v>
      </c>
      <c r="K977" s="2" t="str">
        <f ca="1">IFERROR(__xludf.DUMMYFUNCTION("""COMPUTED_VALUE"""),"Windows 10")</f>
        <v>Windows 10</v>
      </c>
      <c r="L977" s="2" t="str">
        <f ca="1">IFERROR(__xludf.DUMMYFUNCTION("""COMPUTED_VALUE"""),"2.04kg")</f>
        <v>2.04kg</v>
      </c>
      <c r="M977" s="2">
        <f ca="1">IFERROR(__xludf.DUMMYFUNCTION("""COMPUTED_VALUE"""),979)</f>
        <v>979</v>
      </c>
    </row>
    <row r="978" spans="1:13">
      <c r="A978" s="2">
        <f ca="1">IFERROR(__xludf.DUMMYFUNCTION("""COMPUTED_VALUE"""),990)</f>
        <v>990</v>
      </c>
      <c r="B978" s="2" t="str">
        <f ca="1">IFERROR(__xludf.DUMMYFUNCTION("""COMPUTED_VALUE"""),"Lenovo")</f>
        <v>Lenovo</v>
      </c>
      <c r="C978" s="2" t="str">
        <f ca="1">IFERROR(__xludf.DUMMYFUNCTION("""COMPUTED_VALUE"""),"ThinkPad T460")</f>
        <v>ThinkPad T460</v>
      </c>
      <c r="D978" s="2" t="str">
        <f ca="1">IFERROR(__xludf.DUMMYFUNCTION("""COMPUTED_VALUE"""),"Notebook")</f>
        <v>Notebook</v>
      </c>
      <c r="E978" s="2">
        <f ca="1">IFERROR(__xludf.DUMMYFUNCTION("""COMPUTED_VALUE"""),14)</f>
        <v>14</v>
      </c>
      <c r="F978" s="2" t="str">
        <f ca="1">IFERROR(__xludf.DUMMYFUNCTION("""COMPUTED_VALUE"""),"1366x768")</f>
        <v>1366x768</v>
      </c>
      <c r="G978" s="2" t="str">
        <f ca="1">IFERROR(__xludf.DUMMYFUNCTION("""COMPUTED_VALUE"""),"Intel Core i5 6200U 2.3GHz")</f>
        <v>Intel Core i5 6200U 2.3GHz</v>
      </c>
      <c r="H978" s="2" t="str">
        <f ca="1">IFERROR(__xludf.DUMMYFUNCTION("""COMPUTED_VALUE"""),"4GB")</f>
        <v>4GB</v>
      </c>
      <c r="I978" s="2" t="str">
        <f ca="1">IFERROR(__xludf.DUMMYFUNCTION("""COMPUTED_VALUE"""),"508GB Hybrid")</f>
        <v>508GB Hybrid</v>
      </c>
      <c r="J978" s="2" t="str">
        <f ca="1">IFERROR(__xludf.DUMMYFUNCTION("""COMPUTED_VALUE"""),"Intel HD Graphics 520")</f>
        <v>Intel HD Graphics 520</v>
      </c>
      <c r="K978" s="2" t="str">
        <f ca="1">IFERROR(__xludf.DUMMYFUNCTION("""COMPUTED_VALUE"""),"Windows 7")</f>
        <v>Windows 7</v>
      </c>
      <c r="L978" s="2" t="str">
        <f ca="1">IFERROR(__xludf.DUMMYFUNCTION("""COMPUTED_VALUE"""),"1.70kg")</f>
        <v>1.70kg</v>
      </c>
      <c r="M978" s="2">
        <f ca="1">IFERROR(__xludf.DUMMYFUNCTION("""COMPUTED_VALUE"""),1002)</f>
        <v>1002</v>
      </c>
    </row>
    <row r="979" spans="1:13">
      <c r="A979" s="2">
        <f ca="1">IFERROR(__xludf.DUMMYFUNCTION("""COMPUTED_VALUE"""),991)</f>
        <v>991</v>
      </c>
      <c r="B979" s="2" t="str">
        <f ca="1">IFERROR(__xludf.DUMMYFUNCTION("""COMPUTED_VALUE"""),"Asus")</f>
        <v>Asus</v>
      </c>
      <c r="C979" s="2" t="str">
        <f ca="1">IFERROR(__xludf.DUMMYFUNCTION("""COMPUTED_VALUE"""),"Q534UX-BHI7T19 (i7-7500U/16GB/2TB")</f>
        <v>Q534UX-BHI7T19 (i7-7500U/16GB/2TB</v>
      </c>
      <c r="D979" s="2" t="str">
        <f ca="1">IFERROR(__xludf.DUMMYFUNCTION("""COMPUTED_VALUE"""),"2 in 1 Convertible")</f>
        <v>2 in 1 Convertible</v>
      </c>
      <c r="E979" s="2">
        <f ca="1">IFERROR(__xludf.DUMMYFUNCTION("""COMPUTED_VALUE"""),15.6)</f>
        <v>15.6</v>
      </c>
      <c r="F979" s="2" t="str">
        <f ca="1">IFERROR(__xludf.DUMMYFUNCTION("""COMPUTED_VALUE"""),"4K Ultra HD / Touchscreen 3840x2160")</f>
        <v>4K Ultra HD / Touchscreen 3840x2160</v>
      </c>
      <c r="G979" s="2" t="str">
        <f ca="1">IFERROR(__xludf.DUMMYFUNCTION("""COMPUTED_VALUE"""),"Intel Core i7 7500U 2.7GHz")</f>
        <v>Intel Core i7 7500U 2.7GHz</v>
      </c>
      <c r="H979" s="2" t="str">
        <f ca="1">IFERROR(__xludf.DUMMYFUNCTION("""COMPUTED_VALUE"""),"16GB")</f>
        <v>16GB</v>
      </c>
      <c r="I979" s="2" t="str">
        <f ca="1">IFERROR(__xludf.DUMMYFUNCTION("""COMPUTED_VALUE"""),"512GB SSD +  2TB HDD")</f>
        <v>512GB SSD +  2TB HDD</v>
      </c>
      <c r="J979" s="2" t="str">
        <f ca="1">IFERROR(__xludf.DUMMYFUNCTION("""COMPUTED_VALUE"""),"Nvidia GeForce GTX 950M")</f>
        <v>Nvidia GeForce GTX 950M</v>
      </c>
      <c r="K979" s="2" t="str">
        <f ca="1">IFERROR(__xludf.DUMMYFUNCTION("""COMPUTED_VALUE"""),"Windows 10")</f>
        <v>Windows 10</v>
      </c>
      <c r="L979" s="2" t="str">
        <f ca="1">IFERROR(__xludf.DUMMYFUNCTION("""COMPUTED_VALUE"""),"2.3kg")</f>
        <v>2.3kg</v>
      </c>
      <c r="M979" s="2">
        <f ca="1">IFERROR(__xludf.DUMMYFUNCTION("""COMPUTED_VALUE"""),1799)</f>
        <v>1799</v>
      </c>
    </row>
    <row r="980" spans="1:13">
      <c r="A980" s="2">
        <f ca="1">IFERROR(__xludf.DUMMYFUNCTION("""COMPUTED_VALUE"""),992)</f>
        <v>992</v>
      </c>
      <c r="B980" s="2" t="str">
        <f ca="1">IFERROR(__xludf.DUMMYFUNCTION("""COMPUTED_VALUE"""),"HP")</f>
        <v>HP</v>
      </c>
      <c r="C980" s="2" t="str">
        <f ca="1">IFERROR(__xludf.DUMMYFUNCTION("""COMPUTED_VALUE"""),"15-bs053od (i7-7500U/6GB/1TB/W10)")</f>
        <v>15-bs053od (i7-7500U/6GB/1TB/W10)</v>
      </c>
      <c r="D980" s="2" t="str">
        <f ca="1">IFERROR(__xludf.DUMMYFUNCTION("""COMPUTED_VALUE"""),"Notebook")</f>
        <v>Notebook</v>
      </c>
      <c r="E980" s="2">
        <f ca="1">IFERROR(__xludf.DUMMYFUNCTION("""COMPUTED_VALUE"""),15.6)</f>
        <v>15.6</v>
      </c>
      <c r="F980" s="2" t="str">
        <f ca="1">IFERROR(__xludf.DUMMYFUNCTION("""COMPUTED_VALUE"""),"1366x768")</f>
        <v>1366x768</v>
      </c>
      <c r="G980" s="2" t="str">
        <f ca="1">IFERROR(__xludf.DUMMYFUNCTION("""COMPUTED_VALUE"""),"Intel Core i7 7500U 2.7GHz")</f>
        <v>Intel Core i7 7500U 2.7GHz</v>
      </c>
      <c r="H980" s="2" t="str">
        <f ca="1">IFERROR(__xludf.DUMMYFUNCTION("""COMPUTED_VALUE"""),"6GB")</f>
        <v>6GB</v>
      </c>
      <c r="I980" s="2" t="str">
        <f ca="1">IFERROR(__xludf.DUMMYFUNCTION("""COMPUTED_VALUE"""),"1TB HDD")</f>
        <v>1TB HDD</v>
      </c>
      <c r="J980" s="2" t="str">
        <f ca="1">IFERROR(__xludf.DUMMYFUNCTION("""COMPUTED_VALUE"""),"Intel HD Graphics 620")</f>
        <v>Intel HD Graphics 620</v>
      </c>
      <c r="K980" s="2" t="str">
        <f ca="1">IFERROR(__xludf.DUMMYFUNCTION("""COMPUTED_VALUE"""),"Windows 10")</f>
        <v>Windows 10</v>
      </c>
      <c r="L980" s="2" t="str">
        <f ca="1">IFERROR(__xludf.DUMMYFUNCTION("""COMPUTED_VALUE"""),"2.04kg")</f>
        <v>2.04kg</v>
      </c>
      <c r="M980" s="2">
        <f ca="1">IFERROR(__xludf.DUMMYFUNCTION("""COMPUTED_VALUE"""),579)</f>
        <v>579</v>
      </c>
    </row>
    <row r="981" spans="1:13">
      <c r="A981" s="2">
        <f ca="1">IFERROR(__xludf.DUMMYFUNCTION("""COMPUTED_VALUE"""),993)</f>
        <v>993</v>
      </c>
      <c r="B981" s="2" t="str">
        <f ca="1">IFERROR(__xludf.DUMMYFUNCTION("""COMPUTED_VALUE"""),"Asus")</f>
        <v>Asus</v>
      </c>
      <c r="C981" s="2" t="str">
        <f ca="1">IFERROR(__xludf.DUMMYFUNCTION("""COMPUTED_VALUE"""),"Rog GL753VE-DS74")</f>
        <v>Rog GL753VE-DS74</v>
      </c>
      <c r="D981" s="2" t="str">
        <f ca="1">IFERROR(__xludf.DUMMYFUNCTION("""COMPUTED_VALUE"""),"Gaming")</f>
        <v>Gaming</v>
      </c>
      <c r="E981" s="2">
        <f ca="1">IFERROR(__xludf.DUMMYFUNCTION("""COMPUTED_VALUE"""),17.3)</f>
        <v>17.3</v>
      </c>
      <c r="F981" s="2" t="str">
        <f ca="1">IFERROR(__xludf.DUMMYFUNCTION("""COMPUTED_VALUE"""),"Full HD 1920x1080")</f>
        <v>Full HD 1920x1080</v>
      </c>
      <c r="G981" s="2" t="str">
        <f ca="1">IFERROR(__xludf.DUMMYFUNCTION("""COMPUTED_VALUE"""),"Intel Core i7 7700HQ 2.8GHz")</f>
        <v>Intel Core i7 7700HQ 2.8GHz</v>
      </c>
      <c r="H981" s="2" t="str">
        <f ca="1">IFERROR(__xludf.DUMMYFUNCTION("""COMPUTED_VALUE"""),"16GB")</f>
        <v>16GB</v>
      </c>
      <c r="I981" s="2" t="str">
        <f ca="1">IFERROR(__xludf.DUMMYFUNCTION("""COMPUTED_VALUE"""),"256GB SSD +  1TB HDD")</f>
        <v>256GB SSD +  1TB HDD</v>
      </c>
      <c r="J981" s="2" t="str">
        <f ca="1">IFERROR(__xludf.DUMMYFUNCTION("""COMPUTED_VALUE"""),"Nvidia GeForce GTX 1050 Ti")</f>
        <v>Nvidia GeForce GTX 1050 Ti</v>
      </c>
      <c r="K981" s="2" t="str">
        <f ca="1">IFERROR(__xludf.DUMMYFUNCTION("""COMPUTED_VALUE"""),"Windows 10")</f>
        <v>Windows 10</v>
      </c>
      <c r="L981" s="2" t="str">
        <f ca="1">IFERROR(__xludf.DUMMYFUNCTION("""COMPUTED_VALUE"""),"2.99kg")</f>
        <v>2.99kg</v>
      </c>
      <c r="M981" s="2">
        <f ca="1">IFERROR(__xludf.DUMMYFUNCTION("""COMPUTED_VALUE"""),1749)</f>
        <v>1749</v>
      </c>
    </row>
    <row r="982" spans="1:13">
      <c r="A982" s="2">
        <f ca="1">IFERROR(__xludf.DUMMYFUNCTION("""COMPUTED_VALUE"""),994)</f>
        <v>994</v>
      </c>
      <c r="B982" s="2" t="str">
        <f ca="1">IFERROR(__xludf.DUMMYFUNCTION("""COMPUTED_VALUE"""),"Dell")</f>
        <v>Dell</v>
      </c>
      <c r="C982" s="2" t="str">
        <f ca="1">IFERROR(__xludf.DUMMYFUNCTION("""COMPUTED_VALUE"""),"Inspiron 7579")</f>
        <v>Inspiron 7579</v>
      </c>
      <c r="D982" s="2" t="str">
        <f ca="1">IFERROR(__xludf.DUMMYFUNCTION("""COMPUTED_VALUE"""),"2 in 1 Convertible")</f>
        <v>2 in 1 Convertible</v>
      </c>
      <c r="E982" s="2">
        <f ca="1">IFERROR(__xludf.DUMMYFUNCTION("""COMPUTED_VALUE"""),15.6)</f>
        <v>15.6</v>
      </c>
      <c r="F982" s="2" t="str">
        <f ca="1">IFERROR(__xludf.DUMMYFUNCTION("""COMPUTED_VALUE"""),"IPS Panel Full HD / Touchscreen 1920x1080")</f>
        <v>IPS Panel Full HD / Touchscreen 1920x1080</v>
      </c>
      <c r="G982" s="2" t="str">
        <f ca="1">IFERROR(__xludf.DUMMYFUNCTION("""COMPUTED_VALUE"""),"Intel Core i7 7500U 2.7GHz")</f>
        <v>Intel Core i7 7500U 2.7GHz</v>
      </c>
      <c r="H982" s="2" t="str">
        <f ca="1">IFERROR(__xludf.DUMMYFUNCTION("""COMPUTED_VALUE"""),"12GB")</f>
        <v>12GB</v>
      </c>
      <c r="I982" s="2" t="str">
        <f ca="1">IFERROR(__xludf.DUMMYFUNCTION("""COMPUTED_VALUE"""),"512GB SSD")</f>
        <v>512GB SSD</v>
      </c>
      <c r="J982" s="2" t="str">
        <f ca="1">IFERROR(__xludf.DUMMYFUNCTION("""COMPUTED_VALUE"""),"Intel HD Graphics 620")</f>
        <v>Intel HD Graphics 620</v>
      </c>
      <c r="K982" s="2" t="str">
        <f ca="1">IFERROR(__xludf.DUMMYFUNCTION("""COMPUTED_VALUE"""),"Windows 10")</f>
        <v>Windows 10</v>
      </c>
      <c r="L982" s="2" t="str">
        <f ca="1">IFERROR(__xludf.DUMMYFUNCTION("""COMPUTED_VALUE"""),"2.19kg")</f>
        <v>2.19kg</v>
      </c>
      <c r="M982" s="2">
        <f ca="1">IFERROR(__xludf.DUMMYFUNCTION("""COMPUTED_VALUE"""),1299)</f>
        <v>1299</v>
      </c>
    </row>
    <row r="983" spans="1:13">
      <c r="A983" s="2">
        <f ca="1">IFERROR(__xludf.DUMMYFUNCTION("""COMPUTED_VALUE"""),995)</f>
        <v>995</v>
      </c>
      <c r="B983" s="2" t="str">
        <f ca="1">IFERROR(__xludf.DUMMYFUNCTION("""COMPUTED_VALUE"""),"Toshiba")</f>
        <v>Toshiba</v>
      </c>
      <c r="C983" s="2" t="str">
        <f ca="1">IFERROR(__xludf.DUMMYFUNCTION("""COMPUTED_VALUE"""),"Portege Z30-C-1CV")</f>
        <v>Portege Z30-C-1CV</v>
      </c>
      <c r="D983" s="2" t="str">
        <f ca="1">IFERROR(__xludf.DUMMYFUNCTION("""COMPUTED_VALUE"""),"Notebook")</f>
        <v>Notebook</v>
      </c>
      <c r="E983" s="2">
        <f ca="1">IFERROR(__xludf.DUMMYFUNCTION("""COMPUTED_VALUE"""),13.3)</f>
        <v>13.3</v>
      </c>
      <c r="F983" s="2" t="str">
        <f ca="1">IFERROR(__xludf.DUMMYFUNCTION("""COMPUTED_VALUE"""),"Full HD 1920x1080")</f>
        <v>Full HD 1920x1080</v>
      </c>
      <c r="G983" s="2" t="str">
        <f ca="1">IFERROR(__xludf.DUMMYFUNCTION("""COMPUTED_VALUE"""),"Intel Core i5 6200U 2.3GHz")</f>
        <v>Intel Core i5 6200U 2.3GHz</v>
      </c>
      <c r="H983" s="2" t="str">
        <f ca="1">IFERROR(__xludf.DUMMYFUNCTION("""COMPUTED_VALUE"""),"4GB")</f>
        <v>4GB</v>
      </c>
      <c r="I983" s="2" t="str">
        <f ca="1">IFERROR(__xludf.DUMMYFUNCTION("""COMPUTED_VALUE"""),"128GB SSD")</f>
        <v>128GB SSD</v>
      </c>
      <c r="J983" s="2" t="str">
        <f ca="1">IFERROR(__xludf.DUMMYFUNCTION("""COMPUTED_VALUE"""),"Intel HD Graphics 520")</f>
        <v>Intel HD Graphics 520</v>
      </c>
      <c r="K983" s="2" t="str">
        <f ca="1">IFERROR(__xludf.DUMMYFUNCTION("""COMPUTED_VALUE"""),"Windows 7")</f>
        <v>Windows 7</v>
      </c>
      <c r="L983" s="2" t="str">
        <f ca="1">IFERROR(__xludf.DUMMYFUNCTION("""COMPUTED_VALUE"""),"1.2kg")</f>
        <v>1.2kg</v>
      </c>
      <c r="M983" s="2">
        <f ca="1">IFERROR(__xludf.DUMMYFUNCTION("""COMPUTED_VALUE"""),1195)</f>
        <v>1195</v>
      </c>
    </row>
    <row r="984" spans="1:13">
      <c r="A984" s="2">
        <f ca="1">IFERROR(__xludf.DUMMYFUNCTION("""COMPUTED_VALUE"""),996)</f>
        <v>996</v>
      </c>
      <c r="B984" s="2" t="str">
        <f ca="1">IFERROR(__xludf.DUMMYFUNCTION("""COMPUTED_VALUE"""),"Lenovo")</f>
        <v>Lenovo</v>
      </c>
      <c r="C984" s="2" t="str">
        <f ca="1">IFERROR(__xludf.DUMMYFUNCTION("""COMPUTED_VALUE"""),"IdeaPad 320-15ABR")</f>
        <v>IdeaPad 320-15ABR</v>
      </c>
      <c r="D984" s="2" t="str">
        <f ca="1">IFERROR(__xludf.DUMMYFUNCTION("""COMPUTED_VALUE"""),"Notebook")</f>
        <v>Notebook</v>
      </c>
      <c r="E984" s="2">
        <f ca="1">IFERROR(__xludf.DUMMYFUNCTION("""COMPUTED_VALUE"""),15.6)</f>
        <v>15.6</v>
      </c>
      <c r="F984" s="2" t="str">
        <f ca="1">IFERROR(__xludf.DUMMYFUNCTION("""COMPUTED_VALUE"""),"Full HD 1920x1080")</f>
        <v>Full HD 1920x1080</v>
      </c>
      <c r="G984" s="2" t="str">
        <f ca="1">IFERROR(__xludf.DUMMYFUNCTION("""COMPUTED_VALUE"""),"AMD A12-Series 9720P 3.6GHz")</f>
        <v>AMD A12-Series 9720P 3.6GHz</v>
      </c>
      <c r="H984" s="2" t="str">
        <f ca="1">IFERROR(__xludf.DUMMYFUNCTION("""COMPUTED_VALUE"""),"6GB")</f>
        <v>6GB</v>
      </c>
      <c r="I984" s="2" t="str">
        <f ca="1">IFERROR(__xludf.DUMMYFUNCTION("""COMPUTED_VALUE"""),"256GB SSD")</f>
        <v>256GB SSD</v>
      </c>
      <c r="J984" s="2" t="str">
        <f ca="1">IFERROR(__xludf.DUMMYFUNCTION("""COMPUTED_VALUE"""),"AMD Radeon 530")</f>
        <v>AMD Radeon 530</v>
      </c>
      <c r="K984" s="2" t="str">
        <f ca="1">IFERROR(__xludf.DUMMYFUNCTION("""COMPUTED_VALUE"""),"Windows 10")</f>
        <v>Windows 10</v>
      </c>
      <c r="L984" s="2" t="str">
        <f ca="1">IFERROR(__xludf.DUMMYFUNCTION("""COMPUTED_VALUE"""),"2.2kg")</f>
        <v>2.2kg</v>
      </c>
      <c r="M984" s="2">
        <f ca="1">IFERROR(__xludf.DUMMYFUNCTION("""COMPUTED_VALUE"""),549)</f>
        <v>549</v>
      </c>
    </row>
    <row r="985" spans="1:13">
      <c r="A985" s="2">
        <f ca="1">IFERROR(__xludf.DUMMYFUNCTION("""COMPUTED_VALUE"""),997)</f>
        <v>997</v>
      </c>
      <c r="B985" s="2" t="str">
        <f ca="1">IFERROR(__xludf.DUMMYFUNCTION("""COMPUTED_VALUE"""),"Fujitsu")</f>
        <v>Fujitsu</v>
      </c>
      <c r="C985" s="2" t="str">
        <f ca="1">IFERROR(__xludf.DUMMYFUNCTION("""COMPUTED_VALUE"""),"LifeBook A556")</f>
        <v>LifeBook A556</v>
      </c>
      <c r="D985" s="2" t="str">
        <f ca="1">IFERROR(__xludf.DUMMYFUNCTION("""COMPUTED_VALUE"""),"Notebook")</f>
        <v>Notebook</v>
      </c>
      <c r="E985" s="2">
        <f ca="1">IFERROR(__xludf.DUMMYFUNCTION("""COMPUTED_VALUE"""),15.6)</f>
        <v>15.6</v>
      </c>
      <c r="F985" s="2" t="str">
        <f ca="1">IFERROR(__xludf.DUMMYFUNCTION("""COMPUTED_VALUE"""),"1366x768")</f>
        <v>1366x768</v>
      </c>
      <c r="G985" s="2" t="str">
        <f ca="1">IFERROR(__xludf.DUMMYFUNCTION("""COMPUTED_VALUE"""),"Intel Core i5 6200U 2.3GHz")</f>
        <v>Intel Core i5 6200U 2.3GHz</v>
      </c>
      <c r="H985" s="2" t="str">
        <f ca="1">IFERROR(__xludf.DUMMYFUNCTION("""COMPUTED_VALUE"""),"4GB")</f>
        <v>4GB</v>
      </c>
      <c r="I985" s="2" t="str">
        <f ca="1">IFERROR(__xludf.DUMMYFUNCTION("""COMPUTED_VALUE"""),"256GB SSD")</f>
        <v>256GB SSD</v>
      </c>
      <c r="J985" s="2" t="str">
        <f ca="1">IFERROR(__xludf.DUMMYFUNCTION("""COMPUTED_VALUE"""),"Intel HD Graphics 520")</f>
        <v>Intel HD Graphics 520</v>
      </c>
      <c r="K985" s="2" t="str">
        <f ca="1">IFERROR(__xludf.DUMMYFUNCTION("""COMPUTED_VALUE"""),"Windows 10")</f>
        <v>Windows 10</v>
      </c>
      <c r="L985" s="2" t="str">
        <f ca="1">IFERROR(__xludf.DUMMYFUNCTION("""COMPUTED_VALUE"""),"2.3kg")</f>
        <v>2.3kg</v>
      </c>
      <c r="M985" s="2">
        <f ca="1">IFERROR(__xludf.DUMMYFUNCTION("""COMPUTED_VALUE"""),649)</f>
        <v>649</v>
      </c>
    </row>
    <row r="986" spans="1:13">
      <c r="A986" s="2">
        <f ca="1">IFERROR(__xludf.DUMMYFUNCTION("""COMPUTED_VALUE"""),998)</f>
        <v>998</v>
      </c>
      <c r="B986" s="2" t="str">
        <f ca="1">IFERROR(__xludf.DUMMYFUNCTION("""COMPUTED_VALUE"""),"Toshiba")</f>
        <v>Toshiba</v>
      </c>
      <c r="C986" s="2" t="str">
        <f ca="1">IFERROR(__xludf.DUMMYFUNCTION("""COMPUTED_VALUE"""),"Tecra A40-C-1KF")</f>
        <v>Tecra A40-C-1KF</v>
      </c>
      <c r="D986" s="2" t="str">
        <f ca="1">IFERROR(__xludf.DUMMYFUNCTION("""COMPUTED_VALUE"""),"Notebook")</f>
        <v>Notebook</v>
      </c>
      <c r="E986" s="2">
        <f ca="1">IFERROR(__xludf.DUMMYFUNCTION("""COMPUTED_VALUE"""),14)</f>
        <v>14</v>
      </c>
      <c r="F986" s="2" t="str">
        <f ca="1">IFERROR(__xludf.DUMMYFUNCTION("""COMPUTED_VALUE"""),"1366x768")</f>
        <v>1366x768</v>
      </c>
      <c r="G986" s="2" t="str">
        <f ca="1">IFERROR(__xludf.DUMMYFUNCTION("""COMPUTED_VALUE"""),"Intel Core i5 6200U 2.3GHz")</f>
        <v>Intel Core i5 6200U 2.3GHz</v>
      </c>
      <c r="H986" s="2" t="str">
        <f ca="1">IFERROR(__xludf.DUMMYFUNCTION("""COMPUTED_VALUE"""),"4GB")</f>
        <v>4GB</v>
      </c>
      <c r="I986" s="2" t="str">
        <f ca="1">IFERROR(__xludf.DUMMYFUNCTION("""COMPUTED_VALUE"""),"500GB HDD")</f>
        <v>500GB HDD</v>
      </c>
      <c r="J986" s="2" t="str">
        <f ca="1">IFERROR(__xludf.DUMMYFUNCTION("""COMPUTED_VALUE"""),"Intel HD Graphics 520")</f>
        <v>Intel HD Graphics 520</v>
      </c>
      <c r="K986" s="2" t="str">
        <f ca="1">IFERROR(__xludf.DUMMYFUNCTION("""COMPUTED_VALUE"""),"Windows 10")</f>
        <v>Windows 10</v>
      </c>
      <c r="L986" s="2" t="str">
        <f ca="1">IFERROR(__xludf.DUMMYFUNCTION("""COMPUTED_VALUE"""),"1.75kg")</f>
        <v>1.75kg</v>
      </c>
      <c r="M986" s="2">
        <f ca="1">IFERROR(__xludf.DUMMYFUNCTION("""COMPUTED_VALUE"""),915)</f>
        <v>915</v>
      </c>
    </row>
    <row r="987" spans="1:13">
      <c r="A987" s="2">
        <f ca="1">IFERROR(__xludf.DUMMYFUNCTION("""COMPUTED_VALUE"""),999)</f>
        <v>999</v>
      </c>
      <c r="B987" s="2" t="str">
        <f ca="1">IFERROR(__xludf.DUMMYFUNCTION("""COMPUTED_VALUE"""),"Dell")</f>
        <v>Dell</v>
      </c>
      <c r="C987" s="2" t="str">
        <f ca="1">IFERROR(__xludf.DUMMYFUNCTION("""COMPUTED_VALUE"""),"Inspiron 3567")</f>
        <v>Inspiron 3567</v>
      </c>
      <c r="D987" s="2" t="str">
        <f ca="1">IFERROR(__xludf.DUMMYFUNCTION("""COMPUTED_VALUE"""),"Notebook")</f>
        <v>Notebook</v>
      </c>
      <c r="E987" s="2">
        <f ca="1">IFERROR(__xludf.DUMMYFUNCTION("""COMPUTED_VALUE"""),15.6)</f>
        <v>15.6</v>
      </c>
      <c r="F987" s="2" t="str">
        <f ca="1">IFERROR(__xludf.DUMMYFUNCTION("""COMPUTED_VALUE"""),"1366x768")</f>
        <v>1366x768</v>
      </c>
      <c r="G987" s="2" t="str">
        <f ca="1">IFERROR(__xludf.DUMMYFUNCTION("""COMPUTED_VALUE"""),"Intel Core i5 7200U 2.5GHz")</f>
        <v>Intel Core i5 7200U 2.5GHz</v>
      </c>
      <c r="H987" s="2" t="str">
        <f ca="1">IFERROR(__xludf.DUMMYFUNCTION("""COMPUTED_VALUE"""),"4GB")</f>
        <v>4GB</v>
      </c>
      <c r="I987" s="2" t="str">
        <f ca="1">IFERROR(__xludf.DUMMYFUNCTION("""COMPUTED_VALUE"""),"500GB HDD")</f>
        <v>500GB HDD</v>
      </c>
      <c r="J987" s="2" t="str">
        <f ca="1">IFERROR(__xludf.DUMMYFUNCTION("""COMPUTED_VALUE"""),"AMD Radeon R5 M430")</f>
        <v>AMD Radeon R5 M430</v>
      </c>
      <c r="K987" s="2" t="str">
        <f ca="1">IFERROR(__xludf.DUMMYFUNCTION("""COMPUTED_VALUE"""),"Windows 10")</f>
        <v>Windows 10</v>
      </c>
      <c r="L987" s="2" t="str">
        <f ca="1">IFERROR(__xludf.DUMMYFUNCTION("""COMPUTED_VALUE"""),"2.25kg")</f>
        <v>2.25kg</v>
      </c>
      <c r="M987" s="2">
        <f ca="1">IFERROR(__xludf.DUMMYFUNCTION("""COMPUTED_VALUE"""),599)</f>
        <v>599</v>
      </c>
    </row>
    <row r="988" spans="1:13">
      <c r="A988" s="2">
        <f ca="1">IFERROR(__xludf.DUMMYFUNCTION("""COMPUTED_VALUE"""),1000)</f>
        <v>1000</v>
      </c>
      <c r="B988" s="2" t="str">
        <f ca="1">IFERROR(__xludf.DUMMYFUNCTION("""COMPUTED_VALUE"""),"HP")</f>
        <v>HP</v>
      </c>
      <c r="C988" s="2" t="str">
        <f ca="1">IFERROR(__xludf.DUMMYFUNCTION("""COMPUTED_VALUE"""),"Probook 450")</f>
        <v>Probook 450</v>
      </c>
      <c r="D988" s="2" t="str">
        <f ca="1">IFERROR(__xludf.DUMMYFUNCTION("""COMPUTED_VALUE"""),"Notebook")</f>
        <v>Notebook</v>
      </c>
      <c r="E988" s="2">
        <f ca="1">IFERROR(__xludf.DUMMYFUNCTION("""COMPUTED_VALUE"""),15.6)</f>
        <v>15.6</v>
      </c>
      <c r="F988" s="2" t="str">
        <f ca="1">IFERROR(__xludf.DUMMYFUNCTION("""COMPUTED_VALUE"""),"Full HD 1920x1080")</f>
        <v>Full HD 1920x1080</v>
      </c>
      <c r="G988" s="2" t="str">
        <f ca="1">IFERROR(__xludf.DUMMYFUNCTION("""COMPUTED_VALUE"""),"Intel Core i5 7200U 2.5GHz")</f>
        <v>Intel Core i5 7200U 2.5GHz</v>
      </c>
      <c r="H988" s="2" t="str">
        <f ca="1">IFERROR(__xludf.DUMMYFUNCTION("""COMPUTED_VALUE"""),"8GB")</f>
        <v>8GB</v>
      </c>
      <c r="I988" s="2" t="str">
        <f ca="1">IFERROR(__xludf.DUMMYFUNCTION("""COMPUTED_VALUE"""),"1TB HDD")</f>
        <v>1TB HDD</v>
      </c>
      <c r="J988" s="2" t="str">
        <f ca="1">IFERROR(__xludf.DUMMYFUNCTION("""COMPUTED_VALUE"""),"Intel HD Graphics 620")</f>
        <v>Intel HD Graphics 620</v>
      </c>
      <c r="K988" s="2" t="str">
        <f ca="1">IFERROR(__xludf.DUMMYFUNCTION("""COMPUTED_VALUE"""),"Windows 10")</f>
        <v>Windows 10</v>
      </c>
      <c r="L988" s="2" t="str">
        <f ca="1">IFERROR(__xludf.DUMMYFUNCTION("""COMPUTED_VALUE"""),"2.04kg")</f>
        <v>2.04kg</v>
      </c>
      <c r="M988" s="2">
        <f ca="1">IFERROR(__xludf.DUMMYFUNCTION("""COMPUTED_VALUE"""),806)</f>
        <v>806</v>
      </c>
    </row>
    <row r="989" spans="1:13">
      <c r="A989" s="2">
        <f ca="1">IFERROR(__xludf.DUMMYFUNCTION("""COMPUTED_VALUE"""),1001)</f>
        <v>1001</v>
      </c>
      <c r="B989" s="2" t="str">
        <f ca="1">IFERROR(__xludf.DUMMYFUNCTION("""COMPUTED_VALUE"""),"Lenovo")</f>
        <v>Lenovo</v>
      </c>
      <c r="C989" s="2" t="str">
        <f ca="1">IFERROR(__xludf.DUMMYFUNCTION("""COMPUTED_VALUE"""),"Legion Y520-15IKBN")</f>
        <v>Legion Y520-15IKBN</v>
      </c>
      <c r="D989" s="2" t="str">
        <f ca="1">IFERROR(__xludf.DUMMYFUNCTION("""COMPUTED_VALUE"""),"Gaming")</f>
        <v>Gaming</v>
      </c>
      <c r="E989" s="2">
        <f ca="1">IFERROR(__xludf.DUMMYFUNCTION("""COMPUTED_VALUE"""),15.6)</f>
        <v>15.6</v>
      </c>
      <c r="F989" s="2" t="str">
        <f ca="1">IFERROR(__xludf.DUMMYFUNCTION("""COMPUTED_VALUE"""),"IPS Panel Full HD 1920x1080")</f>
        <v>IPS Panel Full HD 1920x1080</v>
      </c>
      <c r="G989" s="2" t="str">
        <f ca="1">IFERROR(__xludf.DUMMYFUNCTION("""COMPUTED_VALUE"""),"Intel Core i7 7700HQ 2.8GHz")</f>
        <v>Intel Core i7 7700HQ 2.8GHz</v>
      </c>
      <c r="H989" s="2" t="str">
        <f ca="1">IFERROR(__xludf.DUMMYFUNCTION("""COMPUTED_VALUE"""),"8GB")</f>
        <v>8GB</v>
      </c>
      <c r="I989" s="2" t="str">
        <f ca="1">IFERROR(__xludf.DUMMYFUNCTION("""COMPUTED_VALUE"""),"128GB SSD +  1TB HDD")</f>
        <v>128GB SSD +  1TB HDD</v>
      </c>
      <c r="J989" s="2" t="str">
        <f ca="1">IFERROR(__xludf.DUMMYFUNCTION("""COMPUTED_VALUE"""),"Nvidia GeForce GTX 1060")</f>
        <v>Nvidia GeForce GTX 1060</v>
      </c>
      <c r="K989" s="2" t="str">
        <f ca="1">IFERROR(__xludf.DUMMYFUNCTION("""COMPUTED_VALUE"""),"Windows 10")</f>
        <v>Windows 10</v>
      </c>
      <c r="L989" s="2" t="str">
        <f ca="1">IFERROR(__xludf.DUMMYFUNCTION("""COMPUTED_VALUE"""),"2.5kg")</f>
        <v>2.5kg</v>
      </c>
      <c r="M989" s="2">
        <f ca="1">IFERROR(__xludf.DUMMYFUNCTION("""COMPUTED_VALUE"""),1189)</f>
        <v>1189</v>
      </c>
    </row>
    <row r="990" spans="1:13">
      <c r="A990" s="2">
        <f ca="1">IFERROR(__xludf.DUMMYFUNCTION("""COMPUTED_VALUE"""),1002)</f>
        <v>1002</v>
      </c>
      <c r="B990" s="2" t="str">
        <f ca="1">IFERROR(__xludf.DUMMYFUNCTION("""COMPUTED_VALUE"""),"Dell")</f>
        <v>Dell</v>
      </c>
      <c r="C990" s="2" t="str">
        <f ca="1">IFERROR(__xludf.DUMMYFUNCTION("""COMPUTED_VALUE"""),"Inspiron 5567")</f>
        <v>Inspiron 5567</v>
      </c>
      <c r="D990" s="2" t="str">
        <f ca="1">IFERROR(__xludf.DUMMYFUNCTION("""COMPUTED_VALUE"""),"Notebook")</f>
        <v>Notebook</v>
      </c>
      <c r="E990" s="2">
        <f ca="1">IFERROR(__xludf.DUMMYFUNCTION("""COMPUTED_VALUE"""),15.6)</f>
        <v>15.6</v>
      </c>
      <c r="F990" s="2" t="str">
        <f ca="1">IFERROR(__xludf.DUMMYFUNCTION("""COMPUTED_VALUE"""),"1366x768")</f>
        <v>1366x768</v>
      </c>
      <c r="G990" s="2" t="str">
        <f ca="1">IFERROR(__xludf.DUMMYFUNCTION("""COMPUTED_VALUE"""),"Intel Core i7 7500U 2.7GHz")</f>
        <v>Intel Core i7 7500U 2.7GHz</v>
      </c>
      <c r="H990" s="2" t="str">
        <f ca="1">IFERROR(__xludf.DUMMYFUNCTION("""COMPUTED_VALUE"""),"8GB")</f>
        <v>8GB</v>
      </c>
      <c r="I990" s="2" t="str">
        <f ca="1">IFERROR(__xludf.DUMMYFUNCTION("""COMPUTED_VALUE"""),"1TB HDD")</f>
        <v>1TB HDD</v>
      </c>
      <c r="J990" s="2" t="str">
        <f ca="1">IFERROR(__xludf.DUMMYFUNCTION("""COMPUTED_VALUE"""),"AMD Radeon R7 M445")</f>
        <v>AMD Radeon R7 M445</v>
      </c>
      <c r="K990" s="2" t="str">
        <f ca="1">IFERROR(__xludf.DUMMYFUNCTION("""COMPUTED_VALUE"""),"Windows 10")</f>
        <v>Windows 10</v>
      </c>
      <c r="L990" s="2" t="str">
        <f ca="1">IFERROR(__xludf.DUMMYFUNCTION("""COMPUTED_VALUE"""),"2.36kg")</f>
        <v>2.36kg</v>
      </c>
      <c r="M990" s="2">
        <f ca="1">IFERROR(__xludf.DUMMYFUNCTION("""COMPUTED_VALUE"""),749)</f>
        <v>749</v>
      </c>
    </row>
    <row r="991" spans="1:13">
      <c r="A991" s="2">
        <f ca="1">IFERROR(__xludf.DUMMYFUNCTION("""COMPUTED_VALUE"""),1003)</f>
        <v>1003</v>
      </c>
      <c r="B991" s="2" t="str">
        <f ca="1">IFERROR(__xludf.DUMMYFUNCTION("""COMPUTED_VALUE"""),"Dell")</f>
        <v>Dell</v>
      </c>
      <c r="C991" s="2" t="str">
        <f ca="1">IFERROR(__xludf.DUMMYFUNCTION("""COMPUTED_VALUE"""),"Latitude 5480")</f>
        <v>Latitude 5480</v>
      </c>
      <c r="D991" s="2" t="str">
        <f ca="1">IFERROR(__xludf.DUMMYFUNCTION("""COMPUTED_VALUE"""),"Notebook")</f>
        <v>Notebook</v>
      </c>
      <c r="E991" s="2">
        <f ca="1">IFERROR(__xludf.DUMMYFUNCTION("""COMPUTED_VALUE"""),14)</f>
        <v>14</v>
      </c>
      <c r="F991" s="2" t="str">
        <f ca="1">IFERROR(__xludf.DUMMYFUNCTION("""COMPUTED_VALUE"""),"Full HD 1920x1080")</f>
        <v>Full HD 1920x1080</v>
      </c>
      <c r="G991" s="2" t="str">
        <f ca="1">IFERROR(__xludf.DUMMYFUNCTION("""COMPUTED_VALUE"""),"Intel Core i5 7200U 2.5GHz")</f>
        <v>Intel Core i5 7200U 2.5GHz</v>
      </c>
      <c r="H991" s="2" t="str">
        <f ca="1">IFERROR(__xludf.DUMMYFUNCTION("""COMPUTED_VALUE"""),"8GB")</f>
        <v>8GB</v>
      </c>
      <c r="I991" s="2" t="str">
        <f ca="1">IFERROR(__xludf.DUMMYFUNCTION("""COMPUTED_VALUE"""),"128GB SSD")</f>
        <v>128GB SSD</v>
      </c>
      <c r="J991" s="2" t="str">
        <f ca="1">IFERROR(__xludf.DUMMYFUNCTION("""COMPUTED_VALUE"""),"Intel HD Graphics 620 ")</f>
        <v xml:space="preserve">Intel HD Graphics 620 </v>
      </c>
      <c r="K991" s="2" t="str">
        <f ca="1">IFERROR(__xludf.DUMMYFUNCTION("""COMPUTED_VALUE"""),"Windows 10")</f>
        <v>Windows 10</v>
      </c>
      <c r="L991" s="2" t="str">
        <f ca="1">IFERROR(__xludf.DUMMYFUNCTION("""COMPUTED_VALUE"""),"1.6kg")</f>
        <v>1.6kg</v>
      </c>
      <c r="M991" s="2">
        <f ca="1">IFERROR(__xludf.DUMMYFUNCTION("""COMPUTED_VALUE"""),1119)</f>
        <v>1119</v>
      </c>
    </row>
    <row r="992" spans="1:13">
      <c r="A992" s="2">
        <f ca="1">IFERROR(__xludf.DUMMYFUNCTION("""COMPUTED_VALUE"""),1004)</f>
        <v>1004</v>
      </c>
      <c r="B992" s="2" t="str">
        <f ca="1">IFERROR(__xludf.DUMMYFUNCTION("""COMPUTED_VALUE"""),"HP")</f>
        <v>HP</v>
      </c>
      <c r="C992" s="2" t="str">
        <f ca="1">IFERROR(__xludf.DUMMYFUNCTION("""COMPUTED_VALUE"""),"EliteBook Folio")</f>
        <v>EliteBook Folio</v>
      </c>
      <c r="D992" s="2" t="str">
        <f ca="1">IFERROR(__xludf.DUMMYFUNCTION("""COMPUTED_VALUE"""),"Netbook")</f>
        <v>Netbook</v>
      </c>
      <c r="E992" s="2">
        <f ca="1">IFERROR(__xludf.DUMMYFUNCTION("""COMPUTED_VALUE"""),12.5)</f>
        <v>12.5</v>
      </c>
      <c r="F992" s="2" t="str">
        <f ca="1">IFERROR(__xludf.DUMMYFUNCTION("""COMPUTED_VALUE"""),"Full HD 1920x1080")</f>
        <v>Full HD 1920x1080</v>
      </c>
      <c r="G992" s="2" t="str">
        <f ca="1">IFERROR(__xludf.DUMMYFUNCTION("""COMPUTED_VALUE"""),"Intel Core M 6Y75 1.2GHz")</f>
        <v>Intel Core M 6Y75 1.2GHz</v>
      </c>
      <c r="H992" s="2" t="str">
        <f ca="1">IFERROR(__xludf.DUMMYFUNCTION("""COMPUTED_VALUE"""),"8GB")</f>
        <v>8GB</v>
      </c>
      <c r="I992" s="2" t="str">
        <f ca="1">IFERROR(__xludf.DUMMYFUNCTION("""COMPUTED_VALUE"""),"512GB SSD")</f>
        <v>512GB SSD</v>
      </c>
      <c r="J992" s="2" t="str">
        <f ca="1">IFERROR(__xludf.DUMMYFUNCTION("""COMPUTED_VALUE"""),"Intel HD Graphics 515")</f>
        <v>Intel HD Graphics 515</v>
      </c>
      <c r="K992" s="2" t="str">
        <f ca="1">IFERROR(__xludf.DUMMYFUNCTION("""COMPUTED_VALUE"""),"Windows 10")</f>
        <v>Windows 10</v>
      </c>
      <c r="L992" s="2" t="str">
        <f ca="1">IFERROR(__xludf.DUMMYFUNCTION("""COMPUTED_VALUE"""),"0.97kg")</f>
        <v>0.97kg</v>
      </c>
      <c r="M992" s="2">
        <f ca="1">IFERROR(__xludf.DUMMYFUNCTION("""COMPUTED_VALUE"""),1908)</f>
        <v>1908</v>
      </c>
    </row>
    <row r="993" spans="1:13">
      <c r="A993" s="2">
        <f ca="1">IFERROR(__xludf.DUMMYFUNCTION("""COMPUTED_VALUE"""),1005)</f>
        <v>1005</v>
      </c>
      <c r="B993" s="2" t="str">
        <f ca="1">IFERROR(__xludf.DUMMYFUNCTION("""COMPUTED_VALUE"""),"HP")</f>
        <v>HP</v>
      </c>
      <c r="C993" s="2" t="str">
        <f ca="1">IFERROR(__xludf.DUMMYFUNCTION("""COMPUTED_VALUE"""),"15-bs005nv (i3-6006U/4GB/1TB")</f>
        <v>15-bs005nv (i3-6006U/4GB/1TB</v>
      </c>
      <c r="D993" s="2" t="str">
        <f ca="1">IFERROR(__xludf.DUMMYFUNCTION("""COMPUTED_VALUE"""),"Notebook")</f>
        <v>Notebook</v>
      </c>
      <c r="E993" s="2">
        <f ca="1">IFERROR(__xludf.DUMMYFUNCTION("""COMPUTED_VALUE"""),15.6)</f>
        <v>15.6</v>
      </c>
      <c r="F993" s="2" t="str">
        <f ca="1">IFERROR(__xludf.DUMMYFUNCTION("""COMPUTED_VALUE"""),"Full HD 1920x1080")</f>
        <v>Full HD 1920x1080</v>
      </c>
      <c r="G993" s="2" t="str">
        <f ca="1">IFERROR(__xludf.DUMMYFUNCTION("""COMPUTED_VALUE"""),"Intel Core i3 6006U 2GHz")</f>
        <v>Intel Core i3 6006U 2GHz</v>
      </c>
      <c r="H993" s="2" t="str">
        <f ca="1">IFERROR(__xludf.DUMMYFUNCTION("""COMPUTED_VALUE"""),"4GB")</f>
        <v>4GB</v>
      </c>
      <c r="I993" s="2" t="str">
        <f ca="1">IFERROR(__xludf.DUMMYFUNCTION("""COMPUTED_VALUE"""),"128GB SSD +  1TB HDD")</f>
        <v>128GB SSD +  1TB HDD</v>
      </c>
      <c r="J993" s="2" t="str">
        <f ca="1">IFERROR(__xludf.DUMMYFUNCTION("""COMPUTED_VALUE"""),"AMD Radeon 520")</f>
        <v>AMD Radeon 520</v>
      </c>
      <c r="K993" s="2" t="str">
        <f ca="1">IFERROR(__xludf.DUMMYFUNCTION("""COMPUTED_VALUE"""),"Windows 10")</f>
        <v>Windows 10</v>
      </c>
      <c r="L993" s="2" t="str">
        <f ca="1">IFERROR(__xludf.DUMMYFUNCTION("""COMPUTED_VALUE"""),"2.1kg")</f>
        <v>2.1kg</v>
      </c>
      <c r="M993" s="2">
        <f ca="1">IFERROR(__xludf.DUMMYFUNCTION("""COMPUTED_VALUE"""),499)</f>
        <v>499</v>
      </c>
    </row>
    <row r="994" spans="1:13">
      <c r="A994" s="2">
        <f ca="1">IFERROR(__xludf.DUMMYFUNCTION("""COMPUTED_VALUE"""),1006)</f>
        <v>1006</v>
      </c>
      <c r="B994" s="2" t="str">
        <f ca="1">IFERROR(__xludf.DUMMYFUNCTION("""COMPUTED_VALUE"""),"Lenovo")</f>
        <v>Lenovo</v>
      </c>
      <c r="C994" s="2" t="str">
        <f ca="1">IFERROR(__xludf.DUMMYFUNCTION("""COMPUTED_VALUE"""),"V110-15IAP (N3350/4GB/128GB/No")</f>
        <v>V110-15IAP (N3350/4GB/128GB/No</v>
      </c>
      <c r="D994" s="2" t="str">
        <f ca="1">IFERROR(__xludf.DUMMYFUNCTION("""COMPUTED_VALUE"""),"Notebook")</f>
        <v>Notebook</v>
      </c>
      <c r="E994" s="2">
        <f ca="1">IFERROR(__xludf.DUMMYFUNCTION("""COMPUTED_VALUE"""),15.6)</f>
        <v>15.6</v>
      </c>
      <c r="F994" s="2" t="str">
        <f ca="1">IFERROR(__xludf.DUMMYFUNCTION("""COMPUTED_VALUE"""),"1366x768")</f>
        <v>1366x768</v>
      </c>
      <c r="G994" s="2" t="str">
        <f ca="1">IFERROR(__xludf.DUMMYFUNCTION("""COMPUTED_VALUE"""),"Intel Celeron Dual Core N3350 1.1GHz")</f>
        <v>Intel Celeron Dual Core N3350 1.1GHz</v>
      </c>
      <c r="H994" s="2" t="str">
        <f ca="1">IFERROR(__xludf.DUMMYFUNCTION("""COMPUTED_VALUE"""),"4GB")</f>
        <v>4GB</v>
      </c>
      <c r="I994" s="2" t="str">
        <f ca="1">IFERROR(__xludf.DUMMYFUNCTION("""COMPUTED_VALUE"""),"128GB SSD")</f>
        <v>128GB SSD</v>
      </c>
      <c r="J994" s="2" t="str">
        <f ca="1">IFERROR(__xludf.DUMMYFUNCTION("""COMPUTED_VALUE"""),"Intel HD Graphics 500")</f>
        <v>Intel HD Graphics 500</v>
      </c>
      <c r="K994" s="2" t="str">
        <f ca="1">IFERROR(__xludf.DUMMYFUNCTION("""COMPUTED_VALUE"""),"No OS")</f>
        <v>No OS</v>
      </c>
      <c r="L994" s="2" t="str">
        <f ca="1">IFERROR(__xludf.DUMMYFUNCTION("""COMPUTED_VALUE"""),"1.9kg")</f>
        <v>1.9kg</v>
      </c>
      <c r="M994" s="2">
        <f ca="1">IFERROR(__xludf.DUMMYFUNCTION("""COMPUTED_VALUE"""),270.62)</f>
        <v>270.62</v>
      </c>
    </row>
    <row r="995" spans="1:13">
      <c r="A995" s="2">
        <f ca="1">IFERROR(__xludf.DUMMYFUNCTION("""COMPUTED_VALUE"""),1007)</f>
        <v>1007</v>
      </c>
      <c r="B995" s="2" t="str">
        <f ca="1">IFERROR(__xludf.DUMMYFUNCTION("""COMPUTED_VALUE"""),"Lenovo")</f>
        <v>Lenovo</v>
      </c>
      <c r="C995" s="2" t="str">
        <f ca="1">IFERROR(__xludf.DUMMYFUNCTION("""COMPUTED_VALUE"""),"ThinkPad T560")</f>
        <v>ThinkPad T560</v>
      </c>
      <c r="D995" s="2" t="str">
        <f ca="1">IFERROR(__xludf.DUMMYFUNCTION("""COMPUTED_VALUE"""),"Notebook")</f>
        <v>Notebook</v>
      </c>
      <c r="E995" s="2">
        <f ca="1">IFERROR(__xludf.DUMMYFUNCTION("""COMPUTED_VALUE"""),15.6)</f>
        <v>15.6</v>
      </c>
      <c r="F995" s="2" t="str">
        <f ca="1">IFERROR(__xludf.DUMMYFUNCTION("""COMPUTED_VALUE"""),"Full HD 1920x1080")</f>
        <v>Full HD 1920x1080</v>
      </c>
      <c r="G995" s="2" t="str">
        <f ca="1">IFERROR(__xludf.DUMMYFUNCTION("""COMPUTED_VALUE"""),"Intel Core i5 6200U 2.3GHz")</f>
        <v>Intel Core i5 6200U 2.3GHz</v>
      </c>
      <c r="H995" s="2" t="str">
        <f ca="1">IFERROR(__xludf.DUMMYFUNCTION("""COMPUTED_VALUE"""),"8GB")</f>
        <v>8GB</v>
      </c>
      <c r="I995" s="2" t="str">
        <f ca="1">IFERROR(__xludf.DUMMYFUNCTION("""COMPUTED_VALUE"""),"256GB SSD")</f>
        <v>256GB SSD</v>
      </c>
      <c r="J995" s="2" t="str">
        <f ca="1">IFERROR(__xludf.DUMMYFUNCTION("""COMPUTED_VALUE"""),"Intel HD Graphics 520")</f>
        <v>Intel HD Graphics 520</v>
      </c>
      <c r="K995" s="2" t="str">
        <f ca="1">IFERROR(__xludf.DUMMYFUNCTION("""COMPUTED_VALUE"""),"Windows 10")</f>
        <v>Windows 10</v>
      </c>
      <c r="L995" s="2" t="str">
        <f ca="1">IFERROR(__xludf.DUMMYFUNCTION("""COMPUTED_VALUE"""),"2.3kg")</f>
        <v>2.3kg</v>
      </c>
      <c r="M995" s="2">
        <f ca="1">IFERROR(__xludf.DUMMYFUNCTION("""COMPUTED_VALUE"""),1349)</f>
        <v>1349</v>
      </c>
    </row>
    <row r="996" spans="1:13">
      <c r="A996" s="2">
        <f ca="1">IFERROR(__xludf.DUMMYFUNCTION("""COMPUTED_VALUE"""),1008)</f>
        <v>1008</v>
      </c>
      <c r="B996" s="2" t="str">
        <f ca="1">IFERROR(__xludf.DUMMYFUNCTION("""COMPUTED_VALUE"""),"Dell")</f>
        <v>Dell</v>
      </c>
      <c r="C996" s="2" t="str">
        <f ca="1">IFERROR(__xludf.DUMMYFUNCTION("""COMPUTED_VALUE"""),"Inspiron 5378")</f>
        <v>Inspiron 5378</v>
      </c>
      <c r="D996" s="2" t="str">
        <f ca="1">IFERROR(__xludf.DUMMYFUNCTION("""COMPUTED_VALUE"""),"2 in 1 Convertible")</f>
        <v>2 in 1 Convertible</v>
      </c>
      <c r="E996" s="2">
        <f ca="1">IFERROR(__xludf.DUMMYFUNCTION("""COMPUTED_VALUE"""),13.3)</f>
        <v>13.3</v>
      </c>
      <c r="F996" s="2" t="str">
        <f ca="1">IFERROR(__xludf.DUMMYFUNCTION("""COMPUTED_VALUE"""),"Full HD / Touchscreen 1920x1080")</f>
        <v>Full HD / Touchscreen 1920x1080</v>
      </c>
      <c r="G996" s="2" t="str">
        <f ca="1">IFERROR(__xludf.DUMMYFUNCTION("""COMPUTED_VALUE"""),"Intel Core i5 7200U 2.5GHz")</f>
        <v>Intel Core i5 7200U 2.5GHz</v>
      </c>
      <c r="H996" s="2" t="str">
        <f ca="1">IFERROR(__xludf.DUMMYFUNCTION("""COMPUTED_VALUE"""),"8GB")</f>
        <v>8GB</v>
      </c>
      <c r="I996" s="2" t="str">
        <f ca="1">IFERROR(__xludf.DUMMYFUNCTION("""COMPUTED_VALUE"""),"256GB SSD")</f>
        <v>256GB SSD</v>
      </c>
      <c r="J996" s="2" t="str">
        <f ca="1">IFERROR(__xludf.DUMMYFUNCTION("""COMPUTED_VALUE"""),"Intel HD Graphics 620")</f>
        <v>Intel HD Graphics 620</v>
      </c>
      <c r="K996" s="2" t="str">
        <f ca="1">IFERROR(__xludf.DUMMYFUNCTION("""COMPUTED_VALUE"""),"Windows 10")</f>
        <v>Windows 10</v>
      </c>
      <c r="L996" s="2" t="str">
        <f ca="1">IFERROR(__xludf.DUMMYFUNCTION("""COMPUTED_VALUE"""),"1.68kg")</f>
        <v>1.68kg</v>
      </c>
      <c r="M996" s="2">
        <f ca="1">IFERROR(__xludf.DUMMYFUNCTION("""COMPUTED_VALUE"""),889)</f>
        <v>889</v>
      </c>
    </row>
    <row r="997" spans="1:13">
      <c r="A997" s="2">
        <f ca="1">IFERROR(__xludf.DUMMYFUNCTION("""COMPUTED_VALUE"""),1009)</f>
        <v>1009</v>
      </c>
      <c r="B997" s="2" t="str">
        <f ca="1">IFERROR(__xludf.DUMMYFUNCTION("""COMPUTED_VALUE"""),"Asus")</f>
        <v>Asus</v>
      </c>
      <c r="C997" s="2" t="str">
        <f ca="1">IFERROR(__xludf.DUMMYFUNCTION("""COMPUTED_VALUE"""),"ZenBook UX310UA-FB485T")</f>
        <v>ZenBook UX310UA-FB485T</v>
      </c>
      <c r="D997" s="2" t="str">
        <f ca="1">IFERROR(__xludf.DUMMYFUNCTION("""COMPUTED_VALUE"""),"Notebook")</f>
        <v>Notebook</v>
      </c>
      <c r="E997" s="2">
        <f ca="1">IFERROR(__xludf.DUMMYFUNCTION("""COMPUTED_VALUE"""),13.3)</f>
        <v>13.3</v>
      </c>
      <c r="F997" s="2" t="str">
        <f ca="1">IFERROR(__xludf.DUMMYFUNCTION("""COMPUTED_VALUE"""),"Quad HD+ 3200x1800")</f>
        <v>Quad HD+ 3200x1800</v>
      </c>
      <c r="G997" s="2" t="str">
        <f ca="1">IFERROR(__xludf.DUMMYFUNCTION("""COMPUTED_VALUE"""),"Intel Core i5 7200U 2.5GHz")</f>
        <v>Intel Core i5 7200U 2.5GHz</v>
      </c>
      <c r="H997" s="2" t="str">
        <f ca="1">IFERROR(__xludf.DUMMYFUNCTION("""COMPUTED_VALUE"""),"8GB")</f>
        <v>8GB</v>
      </c>
      <c r="I997" s="2" t="str">
        <f ca="1">IFERROR(__xludf.DUMMYFUNCTION("""COMPUTED_VALUE"""),"256GB SSD")</f>
        <v>256GB SSD</v>
      </c>
      <c r="J997" s="2" t="str">
        <f ca="1">IFERROR(__xludf.DUMMYFUNCTION("""COMPUTED_VALUE"""),"Intel HD Graphics 620")</f>
        <v>Intel HD Graphics 620</v>
      </c>
      <c r="K997" s="2" t="str">
        <f ca="1">IFERROR(__xludf.DUMMYFUNCTION("""COMPUTED_VALUE"""),"Windows 10")</f>
        <v>Windows 10</v>
      </c>
      <c r="L997" s="2" t="str">
        <f ca="1">IFERROR(__xludf.DUMMYFUNCTION("""COMPUTED_VALUE"""),"1.4kg")</f>
        <v>1.4kg</v>
      </c>
      <c r="M997" s="2">
        <f ca="1">IFERROR(__xludf.DUMMYFUNCTION("""COMPUTED_VALUE"""),1150)</f>
        <v>1150</v>
      </c>
    </row>
    <row r="998" spans="1:13">
      <c r="A998" s="2">
        <f ca="1">IFERROR(__xludf.DUMMYFUNCTION("""COMPUTED_VALUE"""),1010)</f>
        <v>1010</v>
      </c>
      <c r="B998" s="2" t="str">
        <f ca="1">IFERROR(__xludf.DUMMYFUNCTION("""COMPUTED_VALUE"""),"HP")</f>
        <v>HP</v>
      </c>
      <c r="C998" s="2" t="str">
        <f ca="1">IFERROR(__xludf.DUMMYFUNCTION("""COMPUTED_VALUE"""),"Spectre 13-V111dx")</f>
        <v>Spectre 13-V111dx</v>
      </c>
      <c r="D998" s="2" t="str">
        <f ca="1">IFERROR(__xludf.DUMMYFUNCTION("""COMPUTED_VALUE"""),"Ultrabook")</f>
        <v>Ultrabook</v>
      </c>
      <c r="E998" s="2">
        <f ca="1">IFERROR(__xludf.DUMMYFUNCTION("""COMPUTED_VALUE"""),13.3)</f>
        <v>13.3</v>
      </c>
      <c r="F998" s="2" t="str">
        <f ca="1">IFERROR(__xludf.DUMMYFUNCTION("""COMPUTED_VALUE"""),"IPS Panel Full HD / Touchscreen 1920x1080")</f>
        <v>IPS Panel Full HD / Touchscreen 1920x1080</v>
      </c>
      <c r="G998" s="2" t="str">
        <f ca="1">IFERROR(__xludf.DUMMYFUNCTION("""COMPUTED_VALUE"""),"Intel Core i7 7500U 2.7GHz")</f>
        <v>Intel Core i7 7500U 2.7GHz</v>
      </c>
      <c r="H998" s="2" t="str">
        <f ca="1">IFERROR(__xludf.DUMMYFUNCTION("""COMPUTED_VALUE"""),"8GB")</f>
        <v>8GB</v>
      </c>
      <c r="I998" s="2" t="str">
        <f ca="1">IFERROR(__xludf.DUMMYFUNCTION("""COMPUTED_VALUE"""),"256GB SSD")</f>
        <v>256GB SSD</v>
      </c>
      <c r="J998" s="2" t="str">
        <f ca="1">IFERROR(__xludf.DUMMYFUNCTION("""COMPUTED_VALUE"""),"Intel HD Graphics 620")</f>
        <v>Intel HD Graphics 620</v>
      </c>
      <c r="K998" s="2" t="str">
        <f ca="1">IFERROR(__xludf.DUMMYFUNCTION("""COMPUTED_VALUE"""),"Windows 10")</f>
        <v>Windows 10</v>
      </c>
      <c r="L998" s="2" t="str">
        <f ca="1">IFERROR(__xludf.DUMMYFUNCTION("""COMPUTED_VALUE"""),"1.11kg")</f>
        <v>1.11kg</v>
      </c>
      <c r="M998" s="2">
        <f ca="1">IFERROR(__xludf.DUMMYFUNCTION("""COMPUTED_VALUE"""),1349)</f>
        <v>1349</v>
      </c>
    </row>
    <row r="999" spans="1:13">
      <c r="A999" s="2">
        <f ca="1">IFERROR(__xludf.DUMMYFUNCTION("""COMPUTED_VALUE"""),1011)</f>
        <v>1011</v>
      </c>
      <c r="B999" s="2" t="str">
        <f ca="1">IFERROR(__xludf.DUMMYFUNCTION("""COMPUTED_VALUE"""),"Acer")</f>
        <v>Acer</v>
      </c>
      <c r="C999" s="2" t="str">
        <f ca="1">IFERROR(__xludf.DUMMYFUNCTION("""COMPUTED_VALUE"""),"Aspire ES1-533")</f>
        <v>Aspire ES1-533</v>
      </c>
      <c r="D999" s="2" t="str">
        <f ca="1">IFERROR(__xludf.DUMMYFUNCTION("""COMPUTED_VALUE"""),"Notebook")</f>
        <v>Notebook</v>
      </c>
      <c r="E999" s="2">
        <f ca="1">IFERROR(__xludf.DUMMYFUNCTION("""COMPUTED_VALUE"""),15.6)</f>
        <v>15.6</v>
      </c>
      <c r="F999" s="2" t="str">
        <f ca="1">IFERROR(__xludf.DUMMYFUNCTION("""COMPUTED_VALUE"""),"1366x768")</f>
        <v>1366x768</v>
      </c>
      <c r="G999" s="2" t="str">
        <f ca="1">IFERROR(__xludf.DUMMYFUNCTION("""COMPUTED_VALUE"""),"Intel Pentium Quad Core N4200 1.1GHz")</f>
        <v>Intel Pentium Quad Core N4200 1.1GHz</v>
      </c>
      <c r="H999" s="2" t="str">
        <f ca="1">IFERROR(__xludf.DUMMYFUNCTION("""COMPUTED_VALUE"""),"4GB")</f>
        <v>4GB</v>
      </c>
      <c r="I999" s="2" t="str">
        <f ca="1">IFERROR(__xludf.DUMMYFUNCTION("""COMPUTED_VALUE"""),"500GB HDD")</f>
        <v>500GB HDD</v>
      </c>
      <c r="J999" s="2" t="str">
        <f ca="1">IFERROR(__xludf.DUMMYFUNCTION("""COMPUTED_VALUE"""),"Intel HD Graphics 505")</f>
        <v>Intel HD Graphics 505</v>
      </c>
      <c r="K999" s="2" t="str">
        <f ca="1">IFERROR(__xludf.DUMMYFUNCTION("""COMPUTED_VALUE"""),"Windows 10")</f>
        <v>Windows 10</v>
      </c>
      <c r="L999" s="2" t="str">
        <f ca="1">IFERROR(__xludf.DUMMYFUNCTION("""COMPUTED_VALUE"""),"2.4kg")</f>
        <v>2.4kg</v>
      </c>
      <c r="M999" s="2">
        <f ca="1">IFERROR(__xludf.DUMMYFUNCTION("""COMPUTED_VALUE"""),380)</f>
        <v>380</v>
      </c>
    </row>
    <row r="1000" spans="1:13">
      <c r="A1000" s="2">
        <f ca="1">IFERROR(__xludf.DUMMYFUNCTION("""COMPUTED_VALUE"""),1012)</f>
        <v>1012</v>
      </c>
      <c r="B1000" s="2" t="str">
        <f ca="1">IFERROR(__xludf.DUMMYFUNCTION("""COMPUTED_VALUE"""),"Asus")</f>
        <v>Asus</v>
      </c>
      <c r="C1000" s="2" t="str">
        <f ca="1">IFERROR(__xludf.DUMMYFUNCTION("""COMPUTED_VALUE"""),"Rog GL553VE-DS74")</f>
        <v>Rog GL553VE-DS74</v>
      </c>
      <c r="D1000" s="2" t="str">
        <f ca="1">IFERROR(__xludf.DUMMYFUNCTION("""COMPUTED_VALUE"""),"Gaming")</f>
        <v>Gaming</v>
      </c>
      <c r="E1000" s="2">
        <f ca="1">IFERROR(__xludf.DUMMYFUNCTION("""COMPUTED_VALUE"""),15.6)</f>
        <v>15.6</v>
      </c>
      <c r="F1000" s="2" t="str">
        <f ca="1">IFERROR(__xludf.DUMMYFUNCTION("""COMPUTED_VALUE"""),"Full HD 1920x1080")</f>
        <v>Full HD 1920x1080</v>
      </c>
      <c r="G1000" s="2" t="str">
        <f ca="1">IFERROR(__xludf.DUMMYFUNCTION("""COMPUTED_VALUE"""),"Intel Core i7 7700HQ 2.8GHz")</f>
        <v>Intel Core i7 7700HQ 2.8GHz</v>
      </c>
      <c r="H1000" s="2" t="str">
        <f ca="1">IFERROR(__xludf.DUMMYFUNCTION("""COMPUTED_VALUE"""),"16GB")</f>
        <v>16GB</v>
      </c>
      <c r="I1000" s="2" t="str">
        <f ca="1">IFERROR(__xludf.DUMMYFUNCTION("""COMPUTED_VALUE"""),"256GB SSD +  1TB HDD")</f>
        <v>256GB SSD +  1TB HDD</v>
      </c>
      <c r="J1000" s="2" t="str">
        <f ca="1">IFERROR(__xludf.DUMMYFUNCTION("""COMPUTED_VALUE"""),"Nvidia GeForce GTX 1050 Ti")</f>
        <v>Nvidia GeForce GTX 1050 Ti</v>
      </c>
      <c r="K1000" s="2" t="str">
        <f ca="1">IFERROR(__xludf.DUMMYFUNCTION("""COMPUTED_VALUE"""),"Windows 10")</f>
        <v>Windows 10</v>
      </c>
      <c r="L1000" s="2" t="str">
        <f ca="1">IFERROR(__xludf.DUMMYFUNCTION("""COMPUTED_VALUE"""),"2.5kg")</f>
        <v>2.5kg</v>
      </c>
      <c r="M1000" s="2">
        <f ca="1">IFERROR(__xludf.DUMMYFUNCTION("""COMPUTED_VALUE"""),1799)</f>
        <v>1799</v>
      </c>
    </row>
    <row r="1001" spans="1:13">
      <c r="A1001" s="2">
        <f ca="1">IFERROR(__xludf.DUMMYFUNCTION("""COMPUTED_VALUE"""),1013)</f>
        <v>1013</v>
      </c>
      <c r="B1001" s="2" t="str">
        <f ca="1">IFERROR(__xludf.DUMMYFUNCTION("""COMPUTED_VALUE"""),"HP")</f>
        <v>HP</v>
      </c>
      <c r="C1001" s="2" t="str">
        <f ca="1">IFERROR(__xludf.DUMMYFUNCTION("""COMPUTED_VALUE"""),"EliteBook 840")</f>
        <v>EliteBook 840</v>
      </c>
      <c r="D1001" s="2" t="str">
        <f ca="1">IFERROR(__xludf.DUMMYFUNCTION("""COMPUTED_VALUE"""),"Ultrabook")</f>
        <v>Ultrabook</v>
      </c>
      <c r="E1001" s="2">
        <f ca="1">IFERROR(__xludf.DUMMYFUNCTION("""COMPUTED_VALUE"""),14)</f>
        <v>14</v>
      </c>
      <c r="F1001" s="2" t="str">
        <f ca="1">IFERROR(__xludf.DUMMYFUNCTION("""COMPUTED_VALUE"""),"Full HD 1920x1080")</f>
        <v>Full HD 1920x1080</v>
      </c>
      <c r="G1001" s="2" t="str">
        <f ca="1">IFERROR(__xludf.DUMMYFUNCTION("""COMPUTED_VALUE"""),"Intel Core i7 7500U 2.7GHz")</f>
        <v>Intel Core i7 7500U 2.7GHz</v>
      </c>
      <c r="H1001" s="2" t="str">
        <f ca="1">IFERROR(__xludf.DUMMYFUNCTION("""COMPUTED_VALUE"""),"8GB")</f>
        <v>8GB</v>
      </c>
      <c r="I1001" s="2" t="str">
        <f ca="1">IFERROR(__xludf.DUMMYFUNCTION("""COMPUTED_VALUE"""),"512GB SSD")</f>
        <v>512GB SSD</v>
      </c>
      <c r="J1001" s="2" t="str">
        <f ca="1">IFERROR(__xludf.DUMMYFUNCTION("""COMPUTED_VALUE"""),"Intel HD Graphics 620")</f>
        <v>Intel HD Graphics 620</v>
      </c>
      <c r="K1001" s="2" t="str">
        <f ca="1">IFERROR(__xludf.DUMMYFUNCTION("""COMPUTED_VALUE"""),"Windows 10")</f>
        <v>Windows 10</v>
      </c>
      <c r="L1001" s="2" t="str">
        <f ca="1">IFERROR(__xludf.DUMMYFUNCTION("""COMPUTED_VALUE"""),"1.48kg")</f>
        <v>1.48kg</v>
      </c>
      <c r="M1001" s="2">
        <f ca="1">IFERROR(__xludf.DUMMYFUNCTION("""COMPUTED_VALUE"""),2089)</f>
        <v>2089</v>
      </c>
    </row>
    <row r="1002" spans="1:13">
      <c r="A1002" s="2">
        <f ca="1">IFERROR(__xludf.DUMMYFUNCTION("""COMPUTED_VALUE"""),1014)</f>
        <v>1014</v>
      </c>
      <c r="B1002" s="2" t="str">
        <f ca="1">IFERROR(__xludf.DUMMYFUNCTION("""COMPUTED_VALUE"""),"Acer")</f>
        <v>Acer</v>
      </c>
      <c r="C1002" s="2" t="str">
        <f ca="1">IFERROR(__xludf.DUMMYFUNCTION("""COMPUTED_VALUE"""),"Nitro 5")</f>
        <v>Nitro 5</v>
      </c>
      <c r="D1002" s="2" t="str">
        <f ca="1">IFERROR(__xludf.DUMMYFUNCTION("""COMPUTED_VALUE"""),"Gaming")</f>
        <v>Gaming</v>
      </c>
      <c r="E1002" s="2">
        <f ca="1">IFERROR(__xludf.DUMMYFUNCTION("""COMPUTED_VALUE"""),15.6)</f>
        <v>15.6</v>
      </c>
      <c r="F1002" s="2" t="str">
        <f ca="1">IFERROR(__xludf.DUMMYFUNCTION("""COMPUTED_VALUE"""),"IPS Panel Full HD 1920x1080")</f>
        <v>IPS Panel Full HD 1920x1080</v>
      </c>
      <c r="G1002" s="2" t="str">
        <f ca="1">IFERROR(__xludf.DUMMYFUNCTION("""COMPUTED_VALUE"""),"Intel Core i7 7700HQ 2.8GHz")</f>
        <v>Intel Core i7 7700HQ 2.8GHz</v>
      </c>
      <c r="H1002" s="2" t="str">
        <f ca="1">IFERROR(__xludf.DUMMYFUNCTION("""COMPUTED_VALUE"""),"8GB")</f>
        <v>8GB</v>
      </c>
      <c r="I1002" s="2" t="str">
        <f ca="1">IFERROR(__xludf.DUMMYFUNCTION("""COMPUTED_VALUE"""),"128GB SSD +  1TB HDD")</f>
        <v>128GB SSD +  1TB HDD</v>
      </c>
      <c r="J1002" s="2" t="str">
        <f ca="1">IFERROR(__xludf.DUMMYFUNCTION("""COMPUTED_VALUE"""),"Nvidia GeForce GTX 1050")</f>
        <v>Nvidia GeForce GTX 1050</v>
      </c>
      <c r="K1002" s="2" t="str">
        <f ca="1">IFERROR(__xludf.DUMMYFUNCTION("""COMPUTED_VALUE"""),"Windows 10")</f>
        <v>Windows 10</v>
      </c>
      <c r="L1002" s="2" t="str">
        <f ca="1">IFERROR(__xludf.DUMMYFUNCTION("""COMPUTED_VALUE"""),"2.7kg")</f>
        <v>2.7kg</v>
      </c>
      <c r="M1002" s="2">
        <f ca="1">IFERROR(__xludf.DUMMYFUNCTION("""COMPUTED_VALUE"""),1260)</f>
        <v>1260</v>
      </c>
    </row>
    <row r="1003" spans="1:13">
      <c r="A1003" s="2">
        <f ca="1">IFERROR(__xludf.DUMMYFUNCTION("""COMPUTED_VALUE"""),1015)</f>
        <v>1015</v>
      </c>
      <c r="B1003" s="2" t="str">
        <f ca="1">IFERROR(__xludf.DUMMYFUNCTION("""COMPUTED_VALUE"""),"HP")</f>
        <v>HP</v>
      </c>
      <c r="C1003" s="2" t="str">
        <f ca="1">IFERROR(__xludf.DUMMYFUNCTION("""COMPUTED_VALUE"""),"ENVY -")</f>
        <v>ENVY -</v>
      </c>
      <c r="D1003" s="2" t="str">
        <f ca="1">IFERROR(__xludf.DUMMYFUNCTION("""COMPUTED_VALUE"""),"Notebook")</f>
        <v>Notebook</v>
      </c>
      <c r="E1003" s="2">
        <f ca="1">IFERROR(__xludf.DUMMYFUNCTION("""COMPUTED_VALUE"""),13.3)</f>
        <v>13.3</v>
      </c>
      <c r="F1003" s="2" t="str">
        <f ca="1">IFERROR(__xludf.DUMMYFUNCTION("""COMPUTED_VALUE"""),"IPS Panel Full HD 1920x1080")</f>
        <v>IPS Panel Full HD 1920x1080</v>
      </c>
      <c r="G1003" s="2" t="str">
        <f ca="1">IFERROR(__xludf.DUMMYFUNCTION("""COMPUTED_VALUE"""),"Intel Core i5 7200U 2.5GHz")</f>
        <v>Intel Core i5 7200U 2.5GHz</v>
      </c>
      <c r="H1003" s="2" t="str">
        <f ca="1">IFERROR(__xludf.DUMMYFUNCTION("""COMPUTED_VALUE"""),"8GB")</f>
        <v>8GB</v>
      </c>
      <c r="I1003" s="2" t="str">
        <f ca="1">IFERROR(__xludf.DUMMYFUNCTION("""COMPUTED_VALUE"""),"256GB SSD")</f>
        <v>256GB SSD</v>
      </c>
      <c r="J1003" s="2" t="str">
        <f ca="1">IFERROR(__xludf.DUMMYFUNCTION("""COMPUTED_VALUE"""),"Intel HD Graphics 620")</f>
        <v>Intel HD Graphics 620</v>
      </c>
      <c r="K1003" s="2" t="str">
        <f ca="1">IFERROR(__xludf.DUMMYFUNCTION("""COMPUTED_VALUE"""),"Windows 10")</f>
        <v>Windows 10</v>
      </c>
      <c r="L1003" s="2" t="str">
        <f ca="1">IFERROR(__xludf.DUMMYFUNCTION("""COMPUTED_VALUE"""),"1.34kg")</f>
        <v>1.34kg</v>
      </c>
      <c r="M1003" s="2">
        <f ca="1">IFERROR(__xludf.DUMMYFUNCTION("""COMPUTED_VALUE"""),1189)</f>
        <v>1189</v>
      </c>
    </row>
    <row r="1004" spans="1:13">
      <c r="A1004" s="2">
        <f ca="1">IFERROR(__xludf.DUMMYFUNCTION("""COMPUTED_VALUE"""),1016)</f>
        <v>1016</v>
      </c>
      <c r="B1004" s="2" t="str">
        <f ca="1">IFERROR(__xludf.DUMMYFUNCTION("""COMPUTED_VALUE"""),"Dell")</f>
        <v>Dell</v>
      </c>
      <c r="C1004" s="2" t="str">
        <f ca="1">IFERROR(__xludf.DUMMYFUNCTION("""COMPUTED_VALUE"""),"Vostro 3568")</f>
        <v>Vostro 3568</v>
      </c>
      <c r="D1004" s="2" t="str">
        <f ca="1">IFERROR(__xludf.DUMMYFUNCTION("""COMPUTED_VALUE"""),"Notebook")</f>
        <v>Notebook</v>
      </c>
      <c r="E1004" s="2">
        <f ca="1">IFERROR(__xludf.DUMMYFUNCTION("""COMPUTED_VALUE"""),15.6)</f>
        <v>15.6</v>
      </c>
      <c r="F1004" s="2" t="str">
        <f ca="1">IFERROR(__xludf.DUMMYFUNCTION("""COMPUTED_VALUE"""),"1366x768")</f>
        <v>1366x768</v>
      </c>
      <c r="G1004" s="2" t="str">
        <f ca="1">IFERROR(__xludf.DUMMYFUNCTION("""COMPUTED_VALUE"""),"Intel Core i3 7100U 2.4GHz")</f>
        <v>Intel Core i3 7100U 2.4GHz</v>
      </c>
      <c r="H1004" s="2" t="str">
        <f ca="1">IFERROR(__xludf.DUMMYFUNCTION("""COMPUTED_VALUE"""),"4GB")</f>
        <v>4GB</v>
      </c>
      <c r="I1004" s="2" t="str">
        <f ca="1">IFERROR(__xludf.DUMMYFUNCTION("""COMPUTED_VALUE"""),"128GB SSD")</f>
        <v>128GB SSD</v>
      </c>
      <c r="J1004" s="2" t="str">
        <f ca="1">IFERROR(__xludf.DUMMYFUNCTION("""COMPUTED_VALUE"""),"Intel HD Graphics 620")</f>
        <v>Intel HD Graphics 620</v>
      </c>
      <c r="K1004" s="2" t="str">
        <f ca="1">IFERROR(__xludf.DUMMYFUNCTION("""COMPUTED_VALUE"""),"Windows 10")</f>
        <v>Windows 10</v>
      </c>
      <c r="L1004" s="2" t="str">
        <f ca="1">IFERROR(__xludf.DUMMYFUNCTION("""COMPUTED_VALUE"""),"2.18kg")</f>
        <v>2.18kg</v>
      </c>
      <c r="M1004" s="2">
        <f ca="1">IFERROR(__xludf.DUMMYFUNCTION("""COMPUTED_VALUE"""),547)</f>
        <v>547</v>
      </c>
    </row>
    <row r="1005" spans="1:13">
      <c r="A1005" s="2">
        <f ca="1">IFERROR(__xludf.DUMMYFUNCTION("""COMPUTED_VALUE"""),1017)</f>
        <v>1017</v>
      </c>
      <c r="B1005" s="2" t="str">
        <f ca="1">IFERROR(__xludf.DUMMYFUNCTION("""COMPUTED_VALUE"""),"HP")</f>
        <v>HP</v>
      </c>
      <c r="C1005" s="2" t="str">
        <f ca="1">IFERROR(__xludf.DUMMYFUNCTION("""COMPUTED_VALUE"""),"Probook 440")</f>
        <v>Probook 440</v>
      </c>
      <c r="D1005" s="2" t="str">
        <f ca="1">IFERROR(__xludf.DUMMYFUNCTION("""COMPUTED_VALUE"""),"Notebook")</f>
        <v>Notebook</v>
      </c>
      <c r="E1005" s="2">
        <f ca="1">IFERROR(__xludf.DUMMYFUNCTION("""COMPUTED_VALUE"""),14)</f>
        <v>14</v>
      </c>
      <c r="F1005" s="2" t="str">
        <f ca="1">IFERROR(__xludf.DUMMYFUNCTION("""COMPUTED_VALUE"""),"1366x768")</f>
        <v>1366x768</v>
      </c>
      <c r="G1005" s="2" t="str">
        <f ca="1">IFERROR(__xludf.DUMMYFUNCTION("""COMPUTED_VALUE"""),"Intel Core i5 7200U 2.5GHz")</f>
        <v>Intel Core i5 7200U 2.5GHz</v>
      </c>
      <c r="H1005" s="2" t="str">
        <f ca="1">IFERROR(__xludf.DUMMYFUNCTION("""COMPUTED_VALUE"""),"4GB")</f>
        <v>4GB</v>
      </c>
      <c r="I1005" s="2" t="str">
        <f ca="1">IFERROR(__xludf.DUMMYFUNCTION("""COMPUTED_VALUE"""),"500GB HDD")</f>
        <v>500GB HDD</v>
      </c>
      <c r="J1005" s="2" t="str">
        <f ca="1">IFERROR(__xludf.DUMMYFUNCTION("""COMPUTED_VALUE"""),"Intel HD Graphics 620")</f>
        <v>Intel HD Graphics 620</v>
      </c>
      <c r="K1005" s="2" t="str">
        <f ca="1">IFERROR(__xludf.DUMMYFUNCTION("""COMPUTED_VALUE"""),"Windows 10")</f>
        <v>Windows 10</v>
      </c>
      <c r="L1005" s="2" t="str">
        <f ca="1">IFERROR(__xludf.DUMMYFUNCTION("""COMPUTED_VALUE"""),"1.64kg")</f>
        <v>1.64kg</v>
      </c>
      <c r="M1005" s="2">
        <f ca="1">IFERROR(__xludf.DUMMYFUNCTION("""COMPUTED_VALUE"""),779)</f>
        <v>779</v>
      </c>
    </row>
    <row r="1006" spans="1:13">
      <c r="A1006" s="2">
        <f ca="1">IFERROR(__xludf.DUMMYFUNCTION("""COMPUTED_VALUE"""),1018)</f>
        <v>1018</v>
      </c>
      <c r="B1006" s="2" t="str">
        <f ca="1">IFERROR(__xludf.DUMMYFUNCTION("""COMPUTED_VALUE"""),"Toshiba")</f>
        <v>Toshiba</v>
      </c>
      <c r="C1006" s="2" t="str">
        <f ca="1">IFERROR(__xludf.DUMMYFUNCTION("""COMPUTED_VALUE"""),"Portege Z30-C-16H")</f>
        <v>Portege Z30-C-16H</v>
      </c>
      <c r="D1006" s="2" t="str">
        <f ca="1">IFERROR(__xludf.DUMMYFUNCTION("""COMPUTED_VALUE"""),"Notebook")</f>
        <v>Notebook</v>
      </c>
      <c r="E1006" s="2">
        <f ca="1">IFERROR(__xludf.DUMMYFUNCTION("""COMPUTED_VALUE"""),13.3)</f>
        <v>13.3</v>
      </c>
      <c r="F1006" s="2" t="str">
        <f ca="1">IFERROR(__xludf.DUMMYFUNCTION("""COMPUTED_VALUE"""),"Full HD 1920x1080")</f>
        <v>Full HD 1920x1080</v>
      </c>
      <c r="G1006" s="2" t="str">
        <f ca="1">IFERROR(__xludf.DUMMYFUNCTION("""COMPUTED_VALUE"""),"Intel Core i5 6200U 2.3GHz")</f>
        <v>Intel Core i5 6200U 2.3GHz</v>
      </c>
      <c r="H1006" s="2" t="str">
        <f ca="1">IFERROR(__xludf.DUMMYFUNCTION("""COMPUTED_VALUE"""),"4GB")</f>
        <v>4GB</v>
      </c>
      <c r="I1006" s="2" t="str">
        <f ca="1">IFERROR(__xludf.DUMMYFUNCTION("""COMPUTED_VALUE"""),"128GB SSD")</f>
        <v>128GB SSD</v>
      </c>
      <c r="J1006" s="2" t="str">
        <f ca="1">IFERROR(__xludf.DUMMYFUNCTION("""COMPUTED_VALUE"""),"Intel HD Graphics 520")</f>
        <v>Intel HD Graphics 520</v>
      </c>
      <c r="K1006" s="2" t="str">
        <f ca="1">IFERROR(__xludf.DUMMYFUNCTION("""COMPUTED_VALUE"""),"Windows 10")</f>
        <v>Windows 10</v>
      </c>
      <c r="L1006" s="2" t="str">
        <f ca="1">IFERROR(__xludf.DUMMYFUNCTION("""COMPUTED_VALUE"""),"1.2kg")</f>
        <v>1.2kg</v>
      </c>
      <c r="M1006" s="2">
        <f ca="1">IFERROR(__xludf.DUMMYFUNCTION("""COMPUTED_VALUE"""),1195)</f>
        <v>1195</v>
      </c>
    </row>
    <row r="1007" spans="1:13">
      <c r="A1007" s="2">
        <f ca="1">IFERROR(__xludf.DUMMYFUNCTION("""COMPUTED_VALUE"""),1019)</f>
        <v>1019</v>
      </c>
      <c r="B1007" s="2" t="str">
        <f ca="1">IFERROR(__xludf.DUMMYFUNCTION("""COMPUTED_VALUE"""),"HP")</f>
        <v>HP</v>
      </c>
      <c r="C1007" s="2" t="str">
        <f ca="1">IFERROR(__xludf.DUMMYFUNCTION("""COMPUTED_VALUE"""),"EliteBook 840")</f>
        <v>EliteBook 840</v>
      </c>
      <c r="D1007" s="2" t="str">
        <f ca="1">IFERROR(__xludf.DUMMYFUNCTION("""COMPUTED_VALUE"""),"Notebook")</f>
        <v>Notebook</v>
      </c>
      <c r="E1007" s="2">
        <f ca="1">IFERROR(__xludf.DUMMYFUNCTION("""COMPUTED_VALUE"""),14)</f>
        <v>14</v>
      </c>
      <c r="F1007" s="2" t="str">
        <f ca="1">IFERROR(__xludf.DUMMYFUNCTION("""COMPUTED_VALUE"""),"1366x768")</f>
        <v>1366x768</v>
      </c>
      <c r="G1007" s="2" t="str">
        <f ca="1">IFERROR(__xludf.DUMMYFUNCTION("""COMPUTED_VALUE"""),"Intel Core i5 6300U 2.4GHz")</f>
        <v>Intel Core i5 6300U 2.4GHz</v>
      </c>
      <c r="H1007" s="2" t="str">
        <f ca="1">IFERROR(__xludf.DUMMYFUNCTION("""COMPUTED_VALUE"""),"4GB")</f>
        <v>4GB</v>
      </c>
      <c r="I1007" s="2" t="str">
        <f ca="1">IFERROR(__xludf.DUMMYFUNCTION("""COMPUTED_VALUE"""),"256GB SSD")</f>
        <v>256GB SSD</v>
      </c>
      <c r="J1007" s="2" t="str">
        <f ca="1">IFERROR(__xludf.DUMMYFUNCTION("""COMPUTED_VALUE"""),"Intel HD Graphics 520")</f>
        <v>Intel HD Graphics 520</v>
      </c>
      <c r="K1007" s="2" t="str">
        <f ca="1">IFERROR(__xludf.DUMMYFUNCTION("""COMPUTED_VALUE"""),"Windows 10")</f>
        <v>Windows 10</v>
      </c>
      <c r="L1007" s="2" t="str">
        <f ca="1">IFERROR(__xludf.DUMMYFUNCTION("""COMPUTED_VALUE"""),"1.48kg")</f>
        <v>1.48kg</v>
      </c>
      <c r="M1007" s="2">
        <f ca="1">IFERROR(__xludf.DUMMYFUNCTION("""COMPUTED_VALUE"""),1099.99)</f>
        <v>1099.99</v>
      </c>
    </row>
    <row r="1008" spans="1:13">
      <c r="A1008" s="2">
        <f ca="1">IFERROR(__xludf.DUMMYFUNCTION("""COMPUTED_VALUE"""),1020)</f>
        <v>1020</v>
      </c>
      <c r="B1008" s="2" t="str">
        <f ca="1">IFERROR(__xludf.DUMMYFUNCTION("""COMPUTED_VALUE"""),"HP")</f>
        <v>HP</v>
      </c>
      <c r="C1008" s="2" t="str">
        <f ca="1">IFERROR(__xludf.DUMMYFUNCTION("""COMPUTED_VALUE"""),"ProBook 640")</f>
        <v>ProBook 640</v>
      </c>
      <c r="D1008" s="2" t="str">
        <f ca="1">IFERROR(__xludf.DUMMYFUNCTION("""COMPUTED_VALUE"""),"Notebook")</f>
        <v>Notebook</v>
      </c>
      <c r="E1008" s="2">
        <f ca="1">IFERROR(__xludf.DUMMYFUNCTION("""COMPUTED_VALUE"""),14)</f>
        <v>14</v>
      </c>
      <c r="F1008" s="2" t="str">
        <f ca="1">IFERROR(__xludf.DUMMYFUNCTION("""COMPUTED_VALUE"""),"Full HD 1920x1080")</f>
        <v>Full HD 1920x1080</v>
      </c>
      <c r="G1008" s="2" t="str">
        <f ca="1">IFERROR(__xludf.DUMMYFUNCTION("""COMPUTED_VALUE"""),"Intel Core i5 7200U 2.5GHz")</f>
        <v>Intel Core i5 7200U 2.5GHz</v>
      </c>
      <c r="H1008" s="2" t="str">
        <f ca="1">IFERROR(__xludf.DUMMYFUNCTION("""COMPUTED_VALUE"""),"4GB")</f>
        <v>4GB</v>
      </c>
      <c r="I1008" s="2" t="str">
        <f ca="1">IFERROR(__xludf.DUMMYFUNCTION("""COMPUTED_VALUE"""),"256GB SSD")</f>
        <v>256GB SSD</v>
      </c>
      <c r="J1008" s="2" t="str">
        <f ca="1">IFERROR(__xludf.DUMMYFUNCTION("""COMPUTED_VALUE"""),"Intel HD Graphics 620")</f>
        <v>Intel HD Graphics 620</v>
      </c>
      <c r="K1008" s="2" t="str">
        <f ca="1">IFERROR(__xludf.DUMMYFUNCTION("""COMPUTED_VALUE"""),"Windows 10")</f>
        <v>Windows 10</v>
      </c>
      <c r="L1008" s="2" t="str">
        <f ca="1">IFERROR(__xludf.DUMMYFUNCTION("""COMPUTED_VALUE"""),"1.95kg")</f>
        <v>1.95kg</v>
      </c>
      <c r="M1008" s="2">
        <f ca="1">IFERROR(__xludf.DUMMYFUNCTION("""COMPUTED_VALUE"""),1205)</f>
        <v>1205</v>
      </c>
    </row>
    <row r="1009" spans="1:13">
      <c r="A1009" s="2">
        <f ca="1">IFERROR(__xludf.DUMMYFUNCTION("""COMPUTED_VALUE"""),1021)</f>
        <v>1021</v>
      </c>
      <c r="B1009" s="2" t="str">
        <f ca="1">IFERROR(__xludf.DUMMYFUNCTION("""COMPUTED_VALUE"""),"HP")</f>
        <v>HP</v>
      </c>
      <c r="C1009" s="2" t="str">
        <f ca="1">IFERROR(__xludf.DUMMYFUNCTION("""COMPUTED_VALUE"""),"EliteBook 1040")</f>
        <v>EliteBook 1040</v>
      </c>
      <c r="D1009" s="2" t="str">
        <f ca="1">IFERROR(__xludf.DUMMYFUNCTION("""COMPUTED_VALUE"""),"Ultrabook")</f>
        <v>Ultrabook</v>
      </c>
      <c r="E1009" s="2">
        <f ca="1">IFERROR(__xludf.DUMMYFUNCTION("""COMPUTED_VALUE"""),14)</f>
        <v>14</v>
      </c>
      <c r="F1009" s="2" t="str">
        <f ca="1">IFERROR(__xludf.DUMMYFUNCTION("""COMPUTED_VALUE"""),"Full HD 1920x1080")</f>
        <v>Full HD 1920x1080</v>
      </c>
      <c r="G1009" s="2" t="str">
        <f ca="1">IFERROR(__xludf.DUMMYFUNCTION("""COMPUTED_VALUE"""),"Intel Core i7 6600U 2.6GHz")</f>
        <v>Intel Core i7 6600U 2.6GHz</v>
      </c>
      <c r="H1009" s="2" t="str">
        <f ca="1">IFERROR(__xludf.DUMMYFUNCTION("""COMPUTED_VALUE"""),"8GB")</f>
        <v>8GB</v>
      </c>
      <c r="I1009" s="2" t="str">
        <f ca="1">IFERROR(__xludf.DUMMYFUNCTION("""COMPUTED_VALUE"""),"256GB SSD")</f>
        <v>256GB SSD</v>
      </c>
      <c r="J1009" s="2" t="str">
        <f ca="1">IFERROR(__xludf.DUMMYFUNCTION("""COMPUTED_VALUE"""),"Intel HD Graphics 520")</f>
        <v>Intel HD Graphics 520</v>
      </c>
      <c r="K1009" s="2" t="str">
        <f ca="1">IFERROR(__xludf.DUMMYFUNCTION("""COMPUTED_VALUE"""),"Windows 7")</f>
        <v>Windows 7</v>
      </c>
      <c r="L1009" s="2" t="str">
        <f ca="1">IFERROR(__xludf.DUMMYFUNCTION("""COMPUTED_VALUE"""),"1.43kg")</f>
        <v>1.43kg</v>
      </c>
      <c r="M1009" s="2">
        <f ca="1">IFERROR(__xludf.DUMMYFUNCTION("""COMPUTED_VALUE"""),1449)</f>
        <v>1449</v>
      </c>
    </row>
    <row r="1010" spans="1:13">
      <c r="A1010" s="2">
        <f ca="1">IFERROR(__xludf.DUMMYFUNCTION("""COMPUTED_VALUE"""),1022)</f>
        <v>1022</v>
      </c>
      <c r="B1010" s="2" t="str">
        <f ca="1">IFERROR(__xludf.DUMMYFUNCTION("""COMPUTED_VALUE"""),"HP")</f>
        <v>HP</v>
      </c>
      <c r="C1010" s="2" t="str">
        <f ca="1">IFERROR(__xludf.DUMMYFUNCTION("""COMPUTED_VALUE"""),"ProBook 440")</f>
        <v>ProBook 440</v>
      </c>
      <c r="D1010" s="2" t="str">
        <f ca="1">IFERROR(__xludf.DUMMYFUNCTION("""COMPUTED_VALUE"""),"Notebook")</f>
        <v>Notebook</v>
      </c>
      <c r="E1010" s="2">
        <f ca="1">IFERROR(__xludf.DUMMYFUNCTION("""COMPUTED_VALUE"""),14)</f>
        <v>14</v>
      </c>
      <c r="F1010" s="2" t="str">
        <f ca="1">IFERROR(__xludf.DUMMYFUNCTION("""COMPUTED_VALUE"""),"Full HD 1920x1080")</f>
        <v>Full HD 1920x1080</v>
      </c>
      <c r="G1010" s="2" t="str">
        <f ca="1">IFERROR(__xludf.DUMMYFUNCTION("""COMPUTED_VALUE"""),"Intel Core i5 7200U 2.5GHz")</f>
        <v>Intel Core i5 7200U 2.5GHz</v>
      </c>
      <c r="H1010" s="2" t="str">
        <f ca="1">IFERROR(__xludf.DUMMYFUNCTION("""COMPUTED_VALUE"""),"8GB")</f>
        <v>8GB</v>
      </c>
      <c r="I1010" s="2" t="str">
        <f ca="1">IFERROR(__xludf.DUMMYFUNCTION("""COMPUTED_VALUE"""),"256GB SSD")</f>
        <v>256GB SSD</v>
      </c>
      <c r="J1010" s="2" t="str">
        <f ca="1">IFERROR(__xludf.DUMMYFUNCTION("""COMPUTED_VALUE"""),"Nvidia GeForce 930MX")</f>
        <v>Nvidia GeForce 930MX</v>
      </c>
      <c r="K1010" s="2" t="str">
        <f ca="1">IFERROR(__xludf.DUMMYFUNCTION("""COMPUTED_VALUE"""),"Windows 10")</f>
        <v>Windows 10</v>
      </c>
      <c r="L1010" s="2" t="str">
        <f ca="1">IFERROR(__xludf.DUMMYFUNCTION("""COMPUTED_VALUE"""),"1.64kg")</f>
        <v>1.64kg</v>
      </c>
      <c r="M1010" s="2">
        <f ca="1">IFERROR(__xludf.DUMMYFUNCTION("""COMPUTED_VALUE"""),1049.26)</f>
        <v>1049.26</v>
      </c>
    </row>
    <row r="1011" spans="1:13">
      <c r="A1011" s="2">
        <f ca="1">IFERROR(__xludf.DUMMYFUNCTION("""COMPUTED_VALUE"""),1023)</f>
        <v>1023</v>
      </c>
      <c r="B1011" s="2" t="str">
        <f ca="1">IFERROR(__xludf.DUMMYFUNCTION("""COMPUTED_VALUE"""),"HP")</f>
        <v>HP</v>
      </c>
      <c r="C1011" s="2" t="str">
        <f ca="1">IFERROR(__xludf.DUMMYFUNCTION("""COMPUTED_VALUE"""),"Probook 440")</f>
        <v>Probook 440</v>
      </c>
      <c r="D1011" s="2" t="str">
        <f ca="1">IFERROR(__xludf.DUMMYFUNCTION("""COMPUTED_VALUE"""),"Notebook")</f>
        <v>Notebook</v>
      </c>
      <c r="E1011" s="2">
        <f ca="1">IFERROR(__xludf.DUMMYFUNCTION("""COMPUTED_VALUE"""),14)</f>
        <v>14</v>
      </c>
      <c r="F1011" s="2" t="str">
        <f ca="1">IFERROR(__xludf.DUMMYFUNCTION("""COMPUTED_VALUE"""),"1366x768")</f>
        <v>1366x768</v>
      </c>
      <c r="G1011" s="2" t="str">
        <f ca="1">IFERROR(__xludf.DUMMYFUNCTION("""COMPUTED_VALUE"""),"Intel Core i3 7100U 2.4GHz")</f>
        <v>Intel Core i3 7100U 2.4GHz</v>
      </c>
      <c r="H1011" s="2" t="str">
        <f ca="1">IFERROR(__xludf.DUMMYFUNCTION("""COMPUTED_VALUE"""),"4GB")</f>
        <v>4GB</v>
      </c>
      <c r="I1011" s="2" t="str">
        <f ca="1">IFERROR(__xludf.DUMMYFUNCTION("""COMPUTED_VALUE"""),"500GB HDD")</f>
        <v>500GB HDD</v>
      </c>
      <c r="J1011" s="2" t="str">
        <f ca="1">IFERROR(__xludf.DUMMYFUNCTION("""COMPUTED_VALUE"""),"Intel HD Graphics 620")</f>
        <v>Intel HD Graphics 620</v>
      </c>
      <c r="K1011" s="2" t="str">
        <f ca="1">IFERROR(__xludf.DUMMYFUNCTION("""COMPUTED_VALUE"""),"Windows 10")</f>
        <v>Windows 10</v>
      </c>
      <c r="L1011" s="2" t="str">
        <f ca="1">IFERROR(__xludf.DUMMYFUNCTION("""COMPUTED_VALUE"""),"1.64kg")</f>
        <v>1.64kg</v>
      </c>
      <c r="M1011" s="2">
        <f ca="1">IFERROR(__xludf.DUMMYFUNCTION("""COMPUTED_VALUE"""),684)</f>
        <v>684</v>
      </c>
    </row>
    <row r="1012" spans="1:13">
      <c r="A1012" s="2">
        <f ca="1">IFERROR(__xludf.DUMMYFUNCTION("""COMPUTED_VALUE"""),1024)</f>
        <v>1024</v>
      </c>
      <c r="B1012" s="2" t="str">
        <f ca="1">IFERROR(__xludf.DUMMYFUNCTION("""COMPUTED_VALUE"""),"Dell")</f>
        <v>Dell</v>
      </c>
      <c r="C1012" s="2" t="str">
        <f ca="1">IFERROR(__xludf.DUMMYFUNCTION("""COMPUTED_VALUE"""),"Inspiron 7567")</f>
        <v>Inspiron 7567</v>
      </c>
      <c r="D1012" s="2" t="str">
        <f ca="1">IFERROR(__xludf.DUMMYFUNCTION("""COMPUTED_VALUE"""),"Gaming")</f>
        <v>Gaming</v>
      </c>
      <c r="E1012" s="2">
        <f ca="1">IFERROR(__xludf.DUMMYFUNCTION("""COMPUTED_VALUE"""),15.6)</f>
        <v>15.6</v>
      </c>
      <c r="F1012" s="2" t="str">
        <f ca="1">IFERROR(__xludf.DUMMYFUNCTION("""COMPUTED_VALUE"""),"Full HD 1920x1080")</f>
        <v>Full HD 1920x1080</v>
      </c>
      <c r="G1012" s="2" t="str">
        <f ca="1">IFERROR(__xludf.DUMMYFUNCTION("""COMPUTED_VALUE"""),"Intel Core i5 7300HQ 2.5GHz")</f>
        <v>Intel Core i5 7300HQ 2.5GHz</v>
      </c>
      <c r="H1012" s="2" t="str">
        <f ca="1">IFERROR(__xludf.DUMMYFUNCTION("""COMPUTED_VALUE"""),"8GB")</f>
        <v>8GB</v>
      </c>
      <c r="I1012" s="2" t="str">
        <f ca="1">IFERROR(__xludf.DUMMYFUNCTION("""COMPUTED_VALUE"""),"1.0TB Hybrid")</f>
        <v>1.0TB Hybrid</v>
      </c>
      <c r="J1012" s="2" t="str">
        <f ca="1">IFERROR(__xludf.DUMMYFUNCTION("""COMPUTED_VALUE"""),"Nvidia GeForce GTX 1050")</f>
        <v>Nvidia GeForce GTX 1050</v>
      </c>
      <c r="K1012" s="2" t="str">
        <f ca="1">IFERROR(__xludf.DUMMYFUNCTION("""COMPUTED_VALUE"""),"Windows 10")</f>
        <v>Windows 10</v>
      </c>
      <c r="L1012" s="2" t="str">
        <f ca="1">IFERROR(__xludf.DUMMYFUNCTION("""COMPUTED_VALUE"""),"2.65kg")</f>
        <v>2.65kg</v>
      </c>
      <c r="M1012" s="2">
        <f ca="1">IFERROR(__xludf.DUMMYFUNCTION("""COMPUTED_VALUE"""),949)</f>
        <v>949</v>
      </c>
    </row>
    <row r="1013" spans="1:13">
      <c r="A1013" s="2">
        <f ca="1">IFERROR(__xludf.DUMMYFUNCTION("""COMPUTED_VALUE"""),1025)</f>
        <v>1025</v>
      </c>
      <c r="B1013" s="2" t="str">
        <f ca="1">IFERROR(__xludf.DUMMYFUNCTION("""COMPUTED_VALUE"""),"HP")</f>
        <v>HP</v>
      </c>
      <c r="C1013" s="2" t="str">
        <f ca="1">IFERROR(__xludf.DUMMYFUNCTION("""COMPUTED_VALUE"""),"EliteBook 820")</f>
        <v>EliteBook 820</v>
      </c>
      <c r="D1013" s="2" t="str">
        <f ca="1">IFERROR(__xludf.DUMMYFUNCTION("""COMPUTED_VALUE"""),"Ultrabook")</f>
        <v>Ultrabook</v>
      </c>
      <c r="E1013" s="2">
        <f ca="1">IFERROR(__xludf.DUMMYFUNCTION("""COMPUTED_VALUE"""),12.5)</f>
        <v>12.5</v>
      </c>
      <c r="F1013" s="2" t="str">
        <f ca="1">IFERROR(__xludf.DUMMYFUNCTION("""COMPUTED_VALUE"""),"Full HD 1920x1080")</f>
        <v>Full HD 1920x1080</v>
      </c>
      <c r="G1013" s="2" t="str">
        <f ca="1">IFERROR(__xludf.DUMMYFUNCTION("""COMPUTED_VALUE"""),"Intel Core i5 7200U 2.5GHz")</f>
        <v>Intel Core i5 7200U 2.5GHz</v>
      </c>
      <c r="H1013" s="2" t="str">
        <f ca="1">IFERROR(__xludf.DUMMYFUNCTION("""COMPUTED_VALUE"""),"4GB")</f>
        <v>4GB</v>
      </c>
      <c r="I1013" s="2" t="str">
        <f ca="1">IFERROR(__xludf.DUMMYFUNCTION("""COMPUTED_VALUE"""),"500GB HDD")</f>
        <v>500GB HDD</v>
      </c>
      <c r="J1013" s="2" t="str">
        <f ca="1">IFERROR(__xludf.DUMMYFUNCTION("""COMPUTED_VALUE"""),"Intel HD Graphics 620")</f>
        <v>Intel HD Graphics 620</v>
      </c>
      <c r="K1013" s="2" t="str">
        <f ca="1">IFERROR(__xludf.DUMMYFUNCTION("""COMPUTED_VALUE"""),"Windows 10")</f>
        <v>Windows 10</v>
      </c>
      <c r="L1013" s="2" t="str">
        <f ca="1">IFERROR(__xludf.DUMMYFUNCTION("""COMPUTED_VALUE"""),"1.26kg")</f>
        <v>1.26kg</v>
      </c>
      <c r="M1013" s="2">
        <f ca="1">IFERROR(__xludf.DUMMYFUNCTION("""COMPUTED_VALUE"""),1539)</f>
        <v>1539</v>
      </c>
    </row>
    <row r="1014" spans="1:13">
      <c r="A1014" s="2">
        <f ca="1">IFERROR(__xludf.DUMMYFUNCTION("""COMPUTED_VALUE"""),1026)</f>
        <v>1026</v>
      </c>
      <c r="B1014" s="2" t="str">
        <f ca="1">IFERROR(__xludf.DUMMYFUNCTION("""COMPUTED_VALUE"""),"HP")</f>
        <v>HP</v>
      </c>
      <c r="C1014" s="2" t="str">
        <f ca="1">IFERROR(__xludf.DUMMYFUNCTION("""COMPUTED_VALUE"""),"Elitebook 840")</f>
        <v>Elitebook 840</v>
      </c>
      <c r="D1014" s="2" t="str">
        <f ca="1">IFERROR(__xludf.DUMMYFUNCTION("""COMPUTED_VALUE"""),"Notebook")</f>
        <v>Notebook</v>
      </c>
      <c r="E1014" s="2">
        <f ca="1">IFERROR(__xludf.DUMMYFUNCTION("""COMPUTED_VALUE"""),14)</f>
        <v>14</v>
      </c>
      <c r="F1014" s="2" t="str">
        <f ca="1">IFERROR(__xludf.DUMMYFUNCTION("""COMPUTED_VALUE"""),"Full HD 1920x1080")</f>
        <v>Full HD 1920x1080</v>
      </c>
      <c r="G1014" s="2" t="str">
        <f ca="1">IFERROR(__xludf.DUMMYFUNCTION("""COMPUTED_VALUE"""),"Intel Core i5 7200U 2.5GHz")</f>
        <v>Intel Core i5 7200U 2.5GHz</v>
      </c>
      <c r="H1014" s="2" t="str">
        <f ca="1">IFERROR(__xludf.DUMMYFUNCTION("""COMPUTED_VALUE"""),"4GB")</f>
        <v>4GB</v>
      </c>
      <c r="I1014" s="2" t="str">
        <f ca="1">IFERROR(__xludf.DUMMYFUNCTION("""COMPUTED_VALUE"""),"256GB SSD")</f>
        <v>256GB SSD</v>
      </c>
      <c r="J1014" s="2" t="str">
        <f ca="1">IFERROR(__xludf.DUMMYFUNCTION("""COMPUTED_VALUE"""),"Intel HD Graphics 620")</f>
        <v>Intel HD Graphics 620</v>
      </c>
      <c r="K1014" s="2" t="str">
        <f ca="1">IFERROR(__xludf.DUMMYFUNCTION("""COMPUTED_VALUE"""),"Windows 10")</f>
        <v>Windows 10</v>
      </c>
      <c r="L1014" s="2" t="str">
        <f ca="1">IFERROR(__xludf.DUMMYFUNCTION("""COMPUTED_VALUE"""),"1.48kg")</f>
        <v>1.48kg</v>
      </c>
      <c r="M1014" s="2">
        <f ca="1">IFERROR(__xludf.DUMMYFUNCTION("""COMPUTED_VALUE"""),1590)</f>
        <v>1590</v>
      </c>
    </row>
    <row r="1015" spans="1:13">
      <c r="A1015" s="2">
        <f ca="1">IFERROR(__xludf.DUMMYFUNCTION("""COMPUTED_VALUE"""),1027)</f>
        <v>1027</v>
      </c>
      <c r="B1015" s="2" t="str">
        <f ca="1">IFERROR(__xludf.DUMMYFUNCTION("""COMPUTED_VALUE"""),"HP")</f>
        <v>HP</v>
      </c>
      <c r="C1015" s="2" t="str">
        <f ca="1">IFERROR(__xludf.DUMMYFUNCTION("""COMPUTED_VALUE"""),"EliteBook 840")</f>
        <v>EliteBook 840</v>
      </c>
      <c r="D1015" s="2" t="str">
        <f ca="1">IFERROR(__xludf.DUMMYFUNCTION("""COMPUTED_VALUE"""),"Ultrabook")</f>
        <v>Ultrabook</v>
      </c>
      <c r="E1015" s="2">
        <f ca="1">IFERROR(__xludf.DUMMYFUNCTION("""COMPUTED_VALUE"""),14)</f>
        <v>14</v>
      </c>
      <c r="F1015" s="2" t="str">
        <f ca="1">IFERROR(__xludf.DUMMYFUNCTION("""COMPUTED_VALUE"""),"Full HD 1920x1080")</f>
        <v>Full HD 1920x1080</v>
      </c>
      <c r="G1015" s="2" t="str">
        <f ca="1">IFERROR(__xludf.DUMMYFUNCTION("""COMPUTED_VALUE"""),"Intel Core i7 6500U 2.5GHz")</f>
        <v>Intel Core i7 6500U 2.5GHz</v>
      </c>
      <c r="H1015" s="2" t="str">
        <f ca="1">IFERROR(__xludf.DUMMYFUNCTION("""COMPUTED_VALUE"""),"8GB")</f>
        <v>8GB</v>
      </c>
      <c r="I1015" s="2" t="str">
        <f ca="1">IFERROR(__xludf.DUMMYFUNCTION("""COMPUTED_VALUE"""),"256GB SSD")</f>
        <v>256GB SSD</v>
      </c>
      <c r="J1015" s="2" t="str">
        <f ca="1">IFERROR(__xludf.DUMMYFUNCTION("""COMPUTED_VALUE"""),"Intel HD Graphics 520")</f>
        <v>Intel HD Graphics 520</v>
      </c>
      <c r="K1015" s="2" t="str">
        <f ca="1">IFERROR(__xludf.DUMMYFUNCTION("""COMPUTED_VALUE"""),"Windows 10")</f>
        <v>Windows 10</v>
      </c>
      <c r="L1015" s="2" t="str">
        <f ca="1">IFERROR(__xludf.DUMMYFUNCTION("""COMPUTED_VALUE"""),"1.54kg")</f>
        <v>1.54kg</v>
      </c>
      <c r="M1015" s="2">
        <f ca="1">IFERROR(__xludf.DUMMYFUNCTION("""COMPUTED_VALUE"""),1887.21)</f>
        <v>1887.21</v>
      </c>
    </row>
    <row r="1016" spans="1:13">
      <c r="A1016" s="2">
        <f ca="1">IFERROR(__xludf.DUMMYFUNCTION("""COMPUTED_VALUE"""),1028)</f>
        <v>1028</v>
      </c>
      <c r="B1016" s="2" t="str">
        <f ca="1">IFERROR(__xludf.DUMMYFUNCTION("""COMPUTED_VALUE"""),"HP")</f>
        <v>HP</v>
      </c>
      <c r="C1016" s="2" t="str">
        <f ca="1">IFERROR(__xludf.DUMMYFUNCTION("""COMPUTED_VALUE"""),"Probook 430")</f>
        <v>Probook 430</v>
      </c>
      <c r="D1016" s="2" t="str">
        <f ca="1">IFERROR(__xludf.DUMMYFUNCTION("""COMPUTED_VALUE"""),"Notebook")</f>
        <v>Notebook</v>
      </c>
      <c r="E1016" s="2">
        <f ca="1">IFERROR(__xludf.DUMMYFUNCTION("""COMPUTED_VALUE"""),13.3)</f>
        <v>13.3</v>
      </c>
      <c r="F1016" s="2" t="str">
        <f ca="1">IFERROR(__xludf.DUMMYFUNCTION("""COMPUTED_VALUE"""),"1366x768")</f>
        <v>1366x768</v>
      </c>
      <c r="G1016" s="2" t="str">
        <f ca="1">IFERROR(__xludf.DUMMYFUNCTION("""COMPUTED_VALUE"""),"Intel Core i3 7100U 2.4GHz")</f>
        <v>Intel Core i3 7100U 2.4GHz</v>
      </c>
      <c r="H1016" s="2" t="str">
        <f ca="1">IFERROR(__xludf.DUMMYFUNCTION("""COMPUTED_VALUE"""),"4GB")</f>
        <v>4GB</v>
      </c>
      <c r="I1016" s="2" t="str">
        <f ca="1">IFERROR(__xludf.DUMMYFUNCTION("""COMPUTED_VALUE"""),"500GB HDD")</f>
        <v>500GB HDD</v>
      </c>
      <c r="J1016" s="2" t="str">
        <f ca="1">IFERROR(__xludf.DUMMYFUNCTION("""COMPUTED_VALUE"""),"Intel HD Graphics 620")</f>
        <v>Intel HD Graphics 620</v>
      </c>
      <c r="K1016" s="2" t="str">
        <f ca="1">IFERROR(__xludf.DUMMYFUNCTION("""COMPUTED_VALUE"""),"Windows 10")</f>
        <v>Windows 10</v>
      </c>
      <c r="L1016" s="2" t="str">
        <f ca="1">IFERROR(__xludf.DUMMYFUNCTION("""COMPUTED_VALUE"""),"1.49kg")</f>
        <v>1.49kg</v>
      </c>
      <c r="M1016" s="2">
        <f ca="1">IFERROR(__xludf.DUMMYFUNCTION("""COMPUTED_VALUE"""),800)</f>
        <v>800</v>
      </c>
    </row>
    <row r="1017" spans="1:13">
      <c r="A1017" s="2">
        <f ca="1">IFERROR(__xludf.DUMMYFUNCTION("""COMPUTED_VALUE"""),1029)</f>
        <v>1029</v>
      </c>
      <c r="B1017" s="2" t="str">
        <f ca="1">IFERROR(__xludf.DUMMYFUNCTION("""COMPUTED_VALUE"""),"Toshiba")</f>
        <v>Toshiba</v>
      </c>
      <c r="C1017" s="2" t="str">
        <f ca="1">IFERROR(__xludf.DUMMYFUNCTION("""COMPUTED_VALUE"""),"Portege A30-C-1CZ")</f>
        <v>Portege A30-C-1CZ</v>
      </c>
      <c r="D1017" s="2" t="str">
        <f ca="1">IFERROR(__xludf.DUMMYFUNCTION("""COMPUTED_VALUE"""),"Notebook")</f>
        <v>Notebook</v>
      </c>
      <c r="E1017" s="2">
        <f ca="1">IFERROR(__xludf.DUMMYFUNCTION("""COMPUTED_VALUE"""),13.3)</f>
        <v>13.3</v>
      </c>
      <c r="F1017" s="2" t="str">
        <f ca="1">IFERROR(__xludf.DUMMYFUNCTION("""COMPUTED_VALUE"""),"1366x768")</f>
        <v>1366x768</v>
      </c>
      <c r="G1017" s="2" t="str">
        <f ca="1">IFERROR(__xludf.DUMMYFUNCTION("""COMPUTED_VALUE"""),"Intel Core i5 6200U 2.3GHz")</f>
        <v>Intel Core i5 6200U 2.3GHz</v>
      </c>
      <c r="H1017" s="2" t="str">
        <f ca="1">IFERROR(__xludf.DUMMYFUNCTION("""COMPUTED_VALUE"""),"8GB")</f>
        <v>8GB</v>
      </c>
      <c r="I1017" s="2" t="str">
        <f ca="1">IFERROR(__xludf.DUMMYFUNCTION("""COMPUTED_VALUE"""),"256GB SSD")</f>
        <v>256GB SSD</v>
      </c>
      <c r="J1017" s="2" t="str">
        <f ca="1">IFERROR(__xludf.DUMMYFUNCTION("""COMPUTED_VALUE"""),"Intel HD Graphics 520")</f>
        <v>Intel HD Graphics 520</v>
      </c>
      <c r="K1017" s="2" t="str">
        <f ca="1">IFERROR(__xludf.DUMMYFUNCTION("""COMPUTED_VALUE"""),"Windows 10")</f>
        <v>Windows 10</v>
      </c>
      <c r="L1017" s="2" t="str">
        <f ca="1">IFERROR(__xludf.DUMMYFUNCTION("""COMPUTED_VALUE"""),"1.5kg")</f>
        <v>1.5kg</v>
      </c>
      <c r="M1017" s="2">
        <f ca="1">IFERROR(__xludf.DUMMYFUNCTION("""COMPUTED_VALUE"""),1210)</f>
        <v>1210</v>
      </c>
    </row>
    <row r="1018" spans="1:13">
      <c r="A1018" s="2">
        <f ca="1">IFERROR(__xludf.DUMMYFUNCTION("""COMPUTED_VALUE"""),1030)</f>
        <v>1030</v>
      </c>
      <c r="B1018" s="2" t="str">
        <f ca="1">IFERROR(__xludf.DUMMYFUNCTION("""COMPUTED_VALUE"""),"HP")</f>
        <v>HP</v>
      </c>
      <c r="C1018" s="2" t="str">
        <f ca="1">IFERROR(__xludf.DUMMYFUNCTION("""COMPUTED_VALUE"""),"ProBook 450")</f>
        <v>ProBook 450</v>
      </c>
      <c r="D1018" s="2" t="str">
        <f ca="1">IFERROR(__xludf.DUMMYFUNCTION("""COMPUTED_VALUE"""),"Notebook")</f>
        <v>Notebook</v>
      </c>
      <c r="E1018" s="2">
        <f ca="1">IFERROR(__xludf.DUMMYFUNCTION("""COMPUTED_VALUE"""),15.6)</f>
        <v>15.6</v>
      </c>
      <c r="F1018" s="2" t="str">
        <f ca="1">IFERROR(__xludf.DUMMYFUNCTION("""COMPUTED_VALUE"""),"1366x768")</f>
        <v>1366x768</v>
      </c>
      <c r="G1018" s="2" t="str">
        <f ca="1">IFERROR(__xludf.DUMMYFUNCTION("""COMPUTED_VALUE"""),"Intel Core i3 7100U 2.4GHz")</f>
        <v>Intel Core i3 7100U 2.4GHz</v>
      </c>
      <c r="H1018" s="2" t="str">
        <f ca="1">IFERROR(__xludf.DUMMYFUNCTION("""COMPUTED_VALUE"""),"4GB")</f>
        <v>4GB</v>
      </c>
      <c r="I1018" s="2" t="str">
        <f ca="1">IFERROR(__xludf.DUMMYFUNCTION("""COMPUTED_VALUE"""),"256GB SSD")</f>
        <v>256GB SSD</v>
      </c>
      <c r="J1018" s="2" t="str">
        <f ca="1">IFERROR(__xludf.DUMMYFUNCTION("""COMPUTED_VALUE"""),"Intel HD Graphics 620")</f>
        <v>Intel HD Graphics 620</v>
      </c>
      <c r="K1018" s="2" t="str">
        <f ca="1">IFERROR(__xludf.DUMMYFUNCTION("""COMPUTED_VALUE"""),"Windows 10")</f>
        <v>Windows 10</v>
      </c>
      <c r="L1018" s="2" t="str">
        <f ca="1">IFERROR(__xludf.DUMMYFUNCTION("""COMPUTED_VALUE"""),"2.04kg")</f>
        <v>2.04kg</v>
      </c>
      <c r="M1018" s="2">
        <f ca="1">IFERROR(__xludf.DUMMYFUNCTION("""COMPUTED_VALUE"""),769.99)</f>
        <v>769.99</v>
      </c>
    </row>
    <row r="1019" spans="1:13">
      <c r="A1019" s="2">
        <f ca="1">IFERROR(__xludf.DUMMYFUNCTION("""COMPUTED_VALUE"""),1031)</f>
        <v>1031</v>
      </c>
      <c r="B1019" s="2" t="str">
        <f ca="1">IFERROR(__xludf.DUMMYFUNCTION("""COMPUTED_VALUE"""),"Lenovo")</f>
        <v>Lenovo</v>
      </c>
      <c r="C1019" s="2" t="str">
        <f ca="1">IFERROR(__xludf.DUMMYFUNCTION("""COMPUTED_VALUE"""),"ThinkPad P70")</f>
        <v>ThinkPad P70</v>
      </c>
      <c r="D1019" s="2" t="str">
        <f ca="1">IFERROR(__xludf.DUMMYFUNCTION("""COMPUTED_VALUE"""),"Notebook")</f>
        <v>Notebook</v>
      </c>
      <c r="E1019" s="2">
        <f ca="1">IFERROR(__xludf.DUMMYFUNCTION("""COMPUTED_VALUE"""),17.3)</f>
        <v>17.3</v>
      </c>
      <c r="F1019" s="2" t="str">
        <f ca="1">IFERROR(__xludf.DUMMYFUNCTION("""COMPUTED_VALUE"""),"IPS Panel 4K Ultra HD 3840x2160")</f>
        <v>IPS Panel 4K Ultra HD 3840x2160</v>
      </c>
      <c r="G1019" s="2" t="str">
        <f ca="1">IFERROR(__xludf.DUMMYFUNCTION("""COMPUTED_VALUE"""),"Intel Core i7 6820HQ 2.7GHz")</f>
        <v>Intel Core i7 6820HQ 2.7GHz</v>
      </c>
      <c r="H1019" s="2" t="str">
        <f ca="1">IFERROR(__xludf.DUMMYFUNCTION("""COMPUTED_VALUE"""),"16GB")</f>
        <v>16GB</v>
      </c>
      <c r="I1019" s="2" t="str">
        <f ca="1">IFERROR(__xludf.DUMMYFUNCTION("""COMPUTED_VALUE"""),"512GB SSD")</f>
        <v>512GB SSD</v>
      </c>
      <c r="J1019" s="2" t="str">
        <f ca="1">IFERROR(__xludf.DUMMYFUNCTION("""COMPUTED_VALUE"""),"Nvidia Quadro 3000M")</f>
        <v>Nvidia Quadro 3000M</v>
      </c>
      <c r="K1019" s="2" t="str">
        <f ca="1">IFERROR(__xludf.DUMMYFUNCTION("""COMPUTED_VALUE"""),"Windows 7")</f>
        <v>Windows 7</v>
      </c>
      <c r="L1019" s="2" t="str">
        <f ca="1">IFERROR(__xludf.DUMMYFUNCTION("""COMPUTED_VALUE"""),"2.4kg")</f>
        <v>2.4kg</v>
      </c>
      <c r="M1019" s="2">
        <f ca="1">IFERROR(__xludf.DUMMYFUNCTION("""COMPUTED_VALUE"""),2968)</f>
        <v>2968</v>
      </c>
    </row>
    <row r="1020" spans="1:13">
      <c r="A1020" s="2">
        <f ca="1">IFERROR(__xludf.DUMMYFUNCTION("""COMPUTED_VALUE"""),1032)</f>
        <v>1032</v>
      </c>
      <c r="B1020" s="2" t="str">
        <f ca="1">IFERROR(__xludf.DUMMYFUNCTION("""COMPUTED_VALUE"""),"Toshiba")</f>
        <v>Toshiba</v>
      </c>
      <c r="C1020" s="2" t="str">
        <f ca="1">IFERROR(__xludf.DUMMYFUNCTION("""COMPUTED_VALUE"""),"Tecra Z40-C-12Z")</f>
        <v>Tecra Z40-C-12Z</v>
      </c>
      <c r="D1020" s="2" t="str">
        <f ca="1">IFERROR(__xludf.DUMMYFUNCTION("""COMPUTED_VALUE"""),"Notebook")</f>
        <v>Notebook</v>
      </c>
      <c r="E1020" s="2">
        <f ca="1">IFERROR(__xludf.DUMMYFUNCTION("""COMPUTED_VALUE"""),14)</f>
        <v>14</v>
      </c>
      <c r="F1020" s="2" t="str">
        <f ca="1">IFERROR(__xludf.DUMMYFUNCTION("""COMPUTED_VALUE"""),"IPS Panel Full HD 1920x1080")</f>
        <v>IPS Panel Full HD 1920x1080</v>
      </c>
      <c r="G1020" s="2" t="str">
        <f ca="1">IFERROR(__xludf.DUMMYFUNCTION("""COMPUTED_VALUE"""),"Intel Core i5 6200U 2.3GHz")</f>
        <v>Intel Core i5 6200U 2.3GHz</v>
      </c>
      <c r="H1020" s="2" t="str">
        <f ca="1">IFERROR(__xludf.DUMMYFUNCTION("""COMPUTED_VALUE"""),"8GB")</f>
        <v>8GB</v>
      </c>
      <c r="I1020" s="2" t="str">
        <f ca="1">IFERROR(__xludf.DUMMYFUNCTION("""COMPUTED_VALUE"""),"256GB SSD")</f>
        <v>256GB SSD</v>
      </c>
      <c r="J1020" s="2" t="str">
        <f ca="1">IFERROR(__xludf.DUMMYFUNCTION("""COMPUTED_VALUE"""),"Intel HD Graphics 520")</f>
        <v>Intel HD Graphics 520</v>
      </c>
      <c r="K1020" s="2" t="str">
        <f ca="1">IFERROR(__xludf.DUMMYFUNCTION("""COMPUTED_VALUE"""),"Windows 10")</f>
        <v>Windows 10</v>
      </c>
      <c r="L1020" s="2" t="str">
        <f ca="1">IFERROR(__xludf.DUMMYFUNCTION("""COMPUTED_VALUE"""),"1.47kg")</f>
        <v>1.47kg</v>
      </c>
      <c r="M1020" s="2">
        <f ca="1">IFERROR(__xludf.DUMMYFUNCTION("""COMPUTED_VALUE"""),1490)</f>
        <v>1490</v>
      </c>
    </row>
    <row r="1021" spans="1:13">
      <c r="A1021" s="2">
        <f ca="1">IFERROR(__xludf.DUMMYFUNCTION("""COMPUTED_VALUE"""),1033)</f>
        <v>1033</v>
      </c>
      <c r="B1021" s="2" t="str">
        <f ca="1">IFERROR(__xludf.DUMMYFUNCTION("""COMPUTED_VALUE"""),"HP")</f>
        <v>HP</v>
      </c>
      <c r="C1021" s="2" t="str">
        <f ca="1">IFERROR(__xludf.DUMMYFUNCTION("""COMPUTED_VALUE"""),"EliteBook 1040")</f>
        <v>EliteBook 1040</v>
      </c>
      <c r="D1021" s="2" t="str">
        <f ca="1">IFERROR(__xludf.DUMMYFUNCTION("""COMPUTED_VALUE"""),"Notebook")</f>
        <v>Notebook</v>
      </c>
      <c r="E1021" s="2">
        <f ca="1">IFERROR(__xludf.DUMMYFUNCTION("""COMPUTED_VALUE"""),14)</f>
        <v>14</v>
      </c>
      <c r="F1021" s="2" t="str">
        <f ca="1">IFERROR(__xludf.DUMMYFUNCTION("""COMPUTED_VALUE"""),"Full HD 1920x1080")</f>
        <v>Full HD 1920x1080</v>
      </c>
      <c r="G1021" s="2" t="str">
        <f ca="1">IFERROR(__xludf.DUMMYFUNCTION("""COMPUTED_VALUE"""),"Intel Core i7 6500U 2.5GHz")</f>
        <v>Intel Core i7 6500U 2.5GHz</v>
      </c>
      <c r="H1021" s="2" t="str">
        <f ca="1">IFERROR(__xludf.DUMMYFUNCTION("""COMPUTED_VALUE"""),"8GB")</f>
        <v>8GB</v>
      </c>
      <c r="I1021" s="2" t="str">
        <f ca="1">IFERROR(__xludf.DUMMYFUNCTION("""COMPUTED_VALUE"""),"256GB SSD")</f>
        <v>256GB SSD</v>
      </c>
      <c r="J1021" s="2" t="str">
        <f ca="1">IFERROR(__xludf.DUMMYFUNCTION("""COMPUTED_VALUE"""),"Intel HD Graphics 520")</f>
        <v>Intel HD Graphics 520</v>
      </c>
      <c r="K1021" s="2" t="str">
        <f ca="1">IFERROR(__xludf.DUMMYFUNCTION("""COMPUTED_VALUE"""),"Windows 10")</f>
        <v>Windows 10</v>
      </c>
      <c r="L1021" s="2" t="str">
        <f ca="1">IFERROR(__xludf.DUMMYFUNCTION("""COMPUTED_VALUE"""),"1.43kg")</f>
        <v>1.43kg</v>
      </c>
      <c r="M1021" s="2">
        <f ca="1">IFERROR(__xludf.DUMMYFUNCTION("""COMPUTED_VALUE"""),2229)</f>
        <v>2229</v>
      </c>
    </row>
    <row r="1022" spans="1:13">
      <c r="A1022" s="2">
        <f ca="1">IFERROR(__xludf.DUMMYFUNCTION("""COMPUTED_VALUE"""),1034)</f>
        <v>1034</v>
      </c>
      <c r="B1022" s="2" t="str">
        <f ca="1">IFERROR(__xludf.DUMMYFUNCTION("""COMPUTED_VALUE"""),"Dell")</f>
        <v>Dell</v>
      </c>
      <c r="C1022" s="2" t="str">
        <f ca="1">IFERROR(__xludf.DUMMYFUNCTION("""COMPUTED_VALUE"""),"Inspiron 5568")</f>
        <v>Inspiron 5568</v>
      </c>
      <c r="D1022" s="2" t="str">
        <f ca="1">IFERROR(__xludf.DUMMYFUNCTION("""COMPUTED_VALUE"""),"2 in 1 Convertible")</f>
        <v>2 in 1 Convertible</v>
      </c>
      <c r="E1022" s="2">
        <f ca="1">IFERROR(__xludf.DUMMYFUNCTION("""COMPUTED_VALUE"""),15.6)</f>
        <v>15.6</v>
      </c>
      <c r="F1022" s="2" t="str">
        <f ca="1">IFERROR(__xludf.DUMMYFUNCTION("""COMPUTED_VALUE"""),"IPS Panel Full HD / Touchscreen 1920x1080")</f>
        <v>IPS Panel Full HD / Touchscreen 1920x1080</v>
      </c>
      <c r="G1022" s="2" t="str">
        <f ca="1">IFERROR(__xludf.DUMMYFUNCTION("""COMPUTED_VALUE"""),"Intel Core i3 6100U 2.3GHz")</f>
        <v>Intel Core i3 6100U 2.3GHz</v>
      </c>
      <c r="H1022" s="2" t="str">
        <f ca="1">IFERROR(__xludf.DUMMYFUNCTION("""COMPUTED_VALUE"""),"4GB")</f>
        <v>4GB</v>
      </c>
      <c r="I1022" s="2" t="str">
        <f ca="1">IFERROR(__xludf.DUMMYFUNCTION("""COMPUTED_VALUE"""),"1TB HDD")</f>
        <v>1TB HDD</v>
      </c>
      <c r="J1022" s="2" t="str">
        <f ca="1">IFERROR(__xludf.DUMMYFUNCTION("""COMPUTED_VALUE"""),"Intel HD Graphics 520")</f>
        <v>Intel HD Graphics 520</v>
      </c>
      <c r="K1022" s="2" t="str">
        <f ca="1">IFERROR(__xludf.DUMMYFUNCTION("""COMPUTED_VALUE"""),"Windows 10")</f>
        <v>Windows 10</v>
      </c>
      <c r="L1022" s="2" t="str">
        <f ca="1">IFERROR(__xludf.DUMMYFUNCTION("""COMPUTED_VALUE"""),"2.08kg")</f>
        <v>2.08kg</v>
      </c>
      <c r="M1022" s="2">
        <f ca="1">IFERROR(__xludf.DUMMYFUNCTION("""COMPUTED_VALUE"""),795.99)</f>
        <v>795.99</v>
      </c>
    </row>
    <row r="1023" spans="1:13">
      <c r="A1023" s="2">
        <f ca="1">IFERROR(__xludf.DUMMYFUNCTION("""COMPUTED_VALUE"""),1035)</f>
        <v>1035</v>
      </c>
      <c r="B1023" s="2" t="str">
        <f ca="1">IFERROR(__xludf.DUMMYFUNCTION("""COMPUTED_VALUE"""),"Toshiba")</f>
        <v>Toshiba</v>
      </c>
      <c r="C1023" s="2" t="str">
        <f ca="1">IFERROR(__xludf.DUMMYFUNCTION("""COMPUTED_VALUE"""),"Portégé Z30-C-16K")</f>
        <v>Portégé Z30-C-16K</v>
      </c>
      <c r="D1023" s="2" t="str">
        <f ca="1">IFERROR(__xludf.DUMMYFUNCTION("""COMPUTED_VALUE"""),"Ultrabook")</f>
        <v>Ultrabook</v>
      </c>
      <c r="E1023" s="2">
        <f ca="1">IFERROR(__xludf.DUMMYFUNCTION("""COMPUTED_VALUE"""),13.3)</f>
        <v>13.3</v>
      </c>
      <c r="F1023" s="2" t="str">
        <f ca="1">IFERROR(__xludf.DUMMYFUNCTION("""COMPUTED_VALUE"""),"Full HD 1920x1080")</f>
        <v>Full HD 1920x1080</v>
      </c>
      <c r="G1023" s="2" t="str">
        <f ca="1">IFERROR(__xludf.DUMMYFUNCTION("""COMPUTED_VALUE"""),"Intel Core i5 6200U 2.3GHz")</f>
        <v>Intel Core i5 6200U 2.3GHz</v>
      </c>
      <c r="H1023" s="2" t="str">
        <f ca="1">IFERROR(__xludf.DUMMYFUNCTION("""COMPUTED_VALUE"""),"8GB")</f>
        <v>8GB</v>
      </c>
      <c r="I1023" s="2" t="str">
        <f ca="1">IFERROR(__xludf.DUMMYFUNCTION("""COMPUTED_VALUE"""),"256GB SSD")</f>
        <v>256GB SSD</v>
      </c>
      <c r="J1023" s="2" t="str">
        <f ca="1">IFERROR(__xludf.DUMMYFUNCTION("""COMPUTED_VALUE"""),"Intel HD Graphics 520")</f>
        <v>Intel HD Graphics 520</v>
      </c>
      <c r="K1023" s="2" t="str">
        <f ca="1">IFERROR(__xludf.DUMMYFUNCTION("""COMPUTED_VALUE"""),"Windows 10")</f>
        <v>Windows 10</v>
      </c>
      <c r="L1023" s="2" t="str">
        <f ca="1">IFERROR(__xludf.DUMMYFUNCTION("""COMPUTED_VALUE"""),"1.2kg")</f>
        <v>1.2kg</v>
      </c>
      <c r="M1023" s="2">
        <f ca="1">IFERROR(__xludf.DUMMYFUNCTION("""COMPUTED_VALUE"""),1590)</f>
        <v>1590</v>
      </c>
    </row>
    <row r="1024" spans="1:13">
      <c r="A1024" s="2">
        <f ca="1">IFERROR(__xludf.DUMMYFUNCTION("""COMPUTED_VALUE"""),1036)</f>
        <v>1036</v>
      </c>
      <c r="B1024" s="2" t="str">
        <f ca="1">IFERROR(__xludf.DUMMYFUNCTION("""COMPUTED_VALUE"""),"HP")</f>
        <v>HP</v>
      </c>
      <c r="C1024" s="2" t="str">
        <f ca="1">IFERROR(__xludf.DUMMYFUNCTION("""COMPUTED_VALUE"""),"Spectre 13-V100nv")</f>
        <v>Spectre 13-V100nv</v>
      </c>
      <c r="D1024" s="2" t="str">
        <f ca="1">IFERROR(__xludf.DUMMYFUNCTION("""COMPUTED_VALUE"""),"Notebook")</f>
        <v>Notebook</v>
      </c>
      <c r="E1024" s="2">
        <f ca="1">IFERROR(__xludf.DUMMYFUNCTION("""COMPUTED_VALUE"""),13.3)</f>
        <v>13.3</v>
      </c>
      <c r="F1024" s="2" t="str">
        <f ca="1">IFERROR(__xludf.DUMMYFUNCTION("""COMPUTED_VALUE"""),"IPS Panel Full HD 1920x1080")</f>
        <v>IPS Panel Full HD 1920x1080</v>
      </c>
      <c r="G1024" s="2" t="str">
        <f ca="1">IFERROR(__xludf.DUMMYFUNCTION("""COMPUTED_VALUE"""),"Intel Core i5 7200U 2.5GHz")</f>
        <v>Intel Core i5 7200U 2.5GHz</v>
      </c>
      <c r="H1024" s="2" t="str">
        <f ca="1">IFERROR(__xludf.DUMMYFUNCTION("""COMPUTED_VALUE"""),"8GB")</f>
        <v>8GB</v>
      </c>
      <c r="I1024" s="2" t="str">
        <f ca="1">IFERROR(__xludf.DUMMYFUNCTION("""COMPUTED_VALUE"""),"256GB SSD")</f>
        <v>256GB SSD</v>
      </c>
      <c r="J1024" s="2" t="str">
        <f ca="1">IFERROR(__xludf.DUMMYFUNCTION("""COMPUTED_VALUE"""),"Intel HD Graphics 620")</f>
        <v>Intel HD Graphics 620</v>
      </c>
      <c r="K1024" s="2" t="str">
        <f ca="1">IFERROR(__xludf.DUMMYFUNCTION("""COMPUTED_VALUE"""),"Windows 10")</f>
        <v>Windows 10</v>
      </c>
      <c r="L1024" s="2" t="str">
        <f ca="1">IFERROR(__xludf.DUMMYFUNCTION("""COMPUTED_VALUE"""),"1.11kg")</f>
        <v>1.11kg</v>
      </c>
      <c r="M1024" s="2">
        <f ca="1">IFERROR(__xludf.DUMMYFUNCTION("""COMPUTED_VALUE"""),1149)</f>
        <v>1149</v>
      </c>
    </row>
    <row r="1025" spans="1:13">
      <c r="A1025" s="2">
        <f ca="1">IFERROR(__xludf.DUMMYFUNCTION("""COMPUTED_VALUE"""),1037)</f>
        <v>1037</v>
      </c>
      <c r="B1025" s="2" t="str">
        <f ca="1">IFERROR(__xludf.DUMMYFUNCTION("""COMPUTED_VALUE"""),"HP")</f>
        <v>HP</v>
      </c>
      <c r="C1025" s="2" t="str">
        <f ca="1">IFERROR(__xludf.DUMMYFUNCTION("""COMPUTED_VALUE"""),"ProBook 440")</f>
        <v>ProBook 440</v>
      </c>
      <c r="D1025" s="2" t="str">
        <f ca="1">IFERROR(__xludf.DUMMYFUNCTION("""COMPUTED_VALUE"""),"Notebook")</f>
        <v>Notebook</v>
      </c>
      <c r="E1025" s="2">
        <f ca="1">IFERROR(__xludf.DUMMYFUNCTION("""COMPUTED_VALUE"""),14)</f>
        <v>14</v>
      </c>
      <c r="F1025" s="2" t="str">
        <f ca="1">IFERROR(__xludf.DUMMYFUNCTION("""COMPUTED_VALUE"""),"Full HD 1920x1080")</f>
        <v>Full HD 1920x1080</v>
      </c>
      <c r="G1025" s="2" t="str">
        <f ca="1">IFERROR(__xludf.DUMMYFUNCTION("""COMPUTED_VALUE"""),"Intel Core i7 7500U 2.7GHz")</f>
        <v>Intel Core i7 7500U 2.7GHz</v>
      </c>
      <c r="H1025" s="2" t="str">
        <f ca="1">IFERROR(__xludf.DUMMYFUNCTION("""COMPUTED_VALUE"""),"8GB")</f>
        <v>8GB</v>
      </c>
      <c r="I1025" s="2" t="str">
        <f ca="1">IFERROR(__xludf.DUMMYFUNCTION("""COMPUTED_VALUE"""),"256GB SSD")</f>
        <v>256GB SSD</v>
      </c>
      <c r="J1025" s="2" t="str">
        <f ca="1">IFERROR(__xludf.DUMMYFUNCTION("""COMPUTED_VALUE"""),"Nvidia GeForce 930MX")</f>
        <v>Nvidia GeForce 930MX</v>
      </c>
      <c r="K1025" s="2" t="str">
        <f ca="1">IFERROR(__xludf.DUMMYFUNCTION("""COMPUTED_VALUE"""),"Windows 10")</f>
        <v>Windows 10</v>
      </c>
      <c r="L1025" s="2" t="str">
        <f ca="1">IFERROR(__xludf.DUMMYFUNCTION("""COMPUTED_VALUE"""),"1.64kg")</f>
        <v>1.64kg</v>
      </c>
      <c r="M1025" s="2">
        <f ca="1">IFERROR(__xludf.DUMMYFUNCTION("""COMPUTED_VALUE"""),1185.43)</f>
        <v>1185.43</v>
      </c>
    </row>
    <row r="1026" spans="1:13">
      <c r="A1026" s="2">
        <f ca="1">IFERROR(__xludf.DUMMYFUNCTION("""COMPUTED_VALUE"""),1038)</f>
        <v>1038</v>
      </c>
      <c r="B1026" s="2" t="str">
        <f ca="1">IFERROR(__xludf.DUMMYFUNCTION("""COMPUTED_VALUE"""),"Dell")</f>
        <v>Dell</v>
      </c>
      <c r="C1026" s="2" t="str">
        <f ca="1">IFERROR(__xludf.DUMMYFUNCTION("""COMPUTED_VALUE"""),"Latitude E5570")</f>
        <v>Latitude E5570</v>
      </c>
      <c r="D1026" s="2" t="str">
        <f ca="1">IFERROR(__xludf.DUMMYFUNCTION("""COMPUTED_VALUE"""),"Notebook")</f>
        <v>Notebook</v>
      </c>
      <c r="E1026" s="2">
        <f ca="1">IFERROR(__xludf.DUMMYFUNCTION("""COMPUTED_VALUE"""),15.6)</f>
        <v>15.6</v>
      </c>
      <c r="F1026" s="2" t="str">
        <f ca="1">IFERROR(__xludf.DUMMYFUNCTION("""COMPUTED_VALUE"""),"Full HD 1920x1080")</f>
        <v>Full HD 1920x1080</v>
      </c>
      <c r="G1026" s="2" t="str">
        <f ca="1">IFERROR(__xludf.DUMMYFUNCTION("""COMPUTED_VALUE"""),"Intel Core i5 6300U 2.4GHz")</f>
        <v>Intel Core i5 6300U 2.4GHz</v>
      </c>
      <c r="H1026" s="2" t="str">
        <f ca="1">IFERROR(__xludf.DUMMYFUNCTION("""COMPUTED_VALUE"""),"8GB")</f>
        <v>8GB</v>
      </c>
      <c r="I1026" s="2" t="str">
        <f ca="1">IFERROR(__xludf.DUMMYFUNCTION("""COMPUTED_VALUE"""),"500GB HDD")</f>
        <v>500GB HDD</v>
      </c>
      <c r="J1026" s="2" t="str">
        <f ca="1">IFERROR(__xludf.DUMMYFUNCTION("""COMPUTED_VALUE"""),"Intel HD Graphics 520")</f>
        <v>Intel HD Graphics 520</v>
      </c>
      <c r="K1026" s="2" t="str">
        <f ca="1">IFERROR(__xludf.DUMMYFUNCTION("""COMPUTED_VALUE"""),"Windows 10")</f>
        <v>Windows 10</v>
      </c>
      <c r="L1026" s="2" t="str">
        <f ca="1">IFERROR(__xludf.DUMMYFUNCTION("""COMPUTED_VALUE"""),"2.09kg")</f>
        <v>2.09kg</v>
      </c>
      <c r="M1026" s="2">
        <f ca="1">IFERROR(__xludf.DUMMYFUNCTION("""COMPUTED_VALUE"""),1046.44)</f>
        <v>1046.44</v>
      </c>
    </row>
    <row r="1027" spans="1:13">
      <c r="A1027" s="2">
        <f ca="1">IFERROR(__xludf.DUMMYFUNCTION("""COMPUTED_VALUE"""),1039)</f>
        <v>1039</v>
      </c>
      <c r="B1027" s="2" t="str">
        <f ca="1">IFERROR(__xludf.DUMMYFUNCTION("""COMPUTED_VALUE"""),"HP")</f>
        <v>HP</v>
      </c>
      <c r="C1027" s="2" t="str">
        <f ca="1">IFERROR(__xludf.DUMMYFUNCTION("""COMPUTED_VALUE"""),"Elitebook 820")</f>
        <v>Elitebook 820</v>
      </c>
      <c r="D1027" s="2" t="str">
        <f ca="1">IFERROR(__xludf.DUMMYFUNCTION("""COMPUTED_VALUE"""),"Ultrabook")</f>
        <v>Ultrabook</v>
      </c>
      <c r="E1027" s="2">
        <f ca="1">IFERROR(__xludf.DUMMYFUNCTION("""COMPUTED_VALUE"""),12.5)</f>
        <v>12.5</v>
      </c>
      <c r="F1027" s="2" t="str">
        <f ca="1">IFERROR(__xludf.DUMMYFUNCTION("""COMPUTED_VALUE"""),"1366x768")</f>
        <v>1366x768</v>
      </c>
      <c r="G1027" s="2" t="str">
        <f ca="1">IFERROR(__xludf.DUMMYFUNCTION("""COMPUTED_VALUE"""),"Intel Core i5 7200U 2.5GHz")</f>
        <v>Intel Core i5 7200U 2.5GHz</v>
      </c>
      <c r="H1027" s="2" t="str">
        <f ca="1">IFERROR(__xludf.DUMMYFUNCTION("""COMPUTED_VALUE"""),"4GB")</f>
        <v>4GB</v>
      </c>
      <c r="I1027" s="2" t="str">
        <f ca="1">IFERROR(__xludf.DUMMYFUNCTION("""COMPUTED_VALUE"""),"256GB SSD")</f>
        <v>256GB SSD</v>
      </c>
      <c r="J1027" s="2" t="str">
        <f ca="1">IFERROR(__xludf.DUMMYFUNCTION("""COMPUTED_VALUE"""),"Intel HD Graphics 620")</f>
        <v>Intel HD Graphics 620</v>
      </c>
      <c r="K1027" s="2" t="str">
        <f ca="1">IFERROR(__xludf.DUMMYFUNCTION("""COMPUTED_VALUE"""),"Windows 10")</f>
        <v>Windows 10</v>
      </c>
      <c r="L1027" s="2" t="str">
        <f ca="1">IFERROR(__xludf.DUMMYFUNCTION("""COMPUTED_VALUE"""),"1.26kg")</f>
        <v>1.26kg</v>
      </c>
      <c r="M1027" s="2">
        <f ca="1">IFERROR(__xludf.DUMMYFUNCTION("""COMPUTED_VALUE"""),1559)</f>
        <v>1559</v>
      </c>
    </row>
    <row r="1028" spans="1:13">
      <c r="A1028" s="2">
        <f ca="1">IFERROR(__xludf.DUMMYFUNCTION("""COMPUTED_VALUE"""),1040)</f>
        <v>1040</v>
      </c>
      <c r="B1028" s="2" t="str">
        <f ca="1">IFERROR(__xludf.DUMMYFUNCTION("""COMPUTED_VALUE"""),"HP")</f>
        <v>HP</v>
      </c>
      <c r="C1028" s="2" t="str">
        <f ca="1">IFERROR(__xludf.DUMMYFUNCTION("""COMPUTED_VALUE"""),"ProBook 650")</f>
        <v>ProBook 650</v>
      </c>
      <c r="D1028" s="2" t="str">
        <f ca="1">IFERROR(__xludf.DUMMYFUNCTION("""COMPUTED_VALUE"""),"Notebook")</f>
        <v>Notebook</v>
      </c>
      <c r="E1028" s="2">
        <f ca="1">IFERROR(__xludf.DUMMYFUNCTION("""COMPUTED_VALUE"""),14)</f>
        <v>14</v>
      </c>
      <c r="F1028" s="2" t="str">
        <f ca="1">IFERROR(__xludf.DUMMYFUNCTION("""COMPUTED_VALUE"""),"1366x768")</f>
        <v>1366x768</v>
      </c>
      <c r="G1028" s="2" t="str">
        <f ca="1">IFERROR(__xludf.DUMMYFUNCTION("""COMPUTED_VALUE"""),"Intel Core i5 7200U 2.5GHz")</f>
        <v>Intel Core i5 7200U 2.5GHz</v>
      </c>
      <c r="H1028" s="2" t="str">
        <f ca="1">IFERROR(__xludf.DUMMYFUNCTION("""COMPUTED_VALUE"""),"4GB")</f>
        <v>4GB</v>
      </c>
      <c r="I1028" s="2" t="str">
        <f ca="1">IFERROR(__xludf.DUMMYFUNCTION("""COMPUTED_VALUE"""),"500GB HDD")</f>
        <v>500GB HDD</v>
      </c>
      <c r="J1028" s="2" t="str">
        <f ca="1">IFERROR(__xludf.DUMMYFUNCTION("""COMPUTED_VALUE"""),"Intel HD Graphics 620")</f>
        <v>Intel HD Graphics 620</v>
      </c>
      <c r="K1028" s="2" t="str">
        <f ca="1">IFERROR(__xludf.DUMMYFUNCTION("""COMPUTED_VALUE"""),"Windows 10")</f>
        <v>Windows 10</v>
      </c>
      <c r="L1028" s="2" t="str">
        <f ca="1">IFERROR(__xludf.DUMMYFUNCTION("""COMPUTED_VALUE"""),"2.31kg")</f>
        <v>2.31kg</v>
      </c>
      <c r="M1028" s="2">
        <f ca="1">IFERROR(__xludf.DUMMYFUNCTION("""COMPUTED_VALUE"""),1189)</f>
        <v>1189</v>
      </c>
    </row>
    <row r="1029" spans="1:13">
      <c r="A1029" s="2">
        <f ca="1">IFERROR(__xludf.DUMMYFUNCTION("""COMPUTED_VALUE"""),1041)</f>
        <v>1041</v>
      </c>
      <c r="B1029" s="2" t="str">
        <f ca="1">IFERROR(__xludf.DUMMYFUNCTION("""COMPUTED_VALUE"""),"HP")</f>
        <v>HP</v>
      </c>
      <c r="C1029" s="2" t="str">
        <f ca="1">IFERROR(__xludf.DUMMYFUNCTION("""COMPUTED_VALUE"""),"ProBook 640")</f>
        <v>ProBook 640</v>
      </c>
      <c r="D1029" s="2" t="str">
        <f ca="1">IFERROR(__xludf.DUMMYFUNCTION("""COMPUTED_VALUE"""),"Notebook")</f>
        <v>Notebook</v>
      </c>
      <c r="E1029" s="2">
        <f ca="1">IFERROR(__xludf.DUMMYFUNCTION("""COMPUTED_VALUE"""),14)</f>
        <v>14</v>
      </c>
      <c r="F1029" s="2" t="str">
        <f ca="1">IFERROR(__xludf.DUMMYFUNCTION("""COMPUTED_VALUE"""),"1366x768")</f>
        <v>1366x768</v>
      </c>
      <c r="G1029" s="2" t="str">
        <f ca="1">IFERROR(__xludf.DUMMYFUNCTION("""COMPUTED_VALUE"""),"Intel Core i5 7200U 2.5GHz")</f>
        <v>Intel Core i5 7200U 2.5GHz</v>
      </c>
      <c r="H1029" s="2" t="str">
        <f ca="1">IFERROR(__xludf.DUMMYFUNCTION("""COMPUTED_VALUE"""),"4GB")</f>
        <v>4GB</v>
      </c>
      <c r="I1029" s="2" t="str">
        <f ca="1">IFERROR(__xludf.DUMMYFUNCTION("""COMPUTED_VALUE"""),"500GB HDD")</f>
        <v>500GB HDD</v>
      </c>
      <c r="J1029" s="2" t="str">
        <f ca="1">IFERROR(__xludf.DUMMYFUNCTION("""COMPUTED_VALUE"""),"Intel HD Graphics 620")</f>
        <v>Intel HD Graphics 620</v>
      </c>
      <c r="K1029" s="2" t="str">
        <f ca="1">IFERROR(__xludf.DUMMYFUNCTION("""COMPUTED_VALUE"""),"Windows 10")</f>
        <v>Windows 10</v>
      </c>
      <c r="L1029" s="2" t="str">
        <f ca="1">IFERROR(__xludf.DUMMYFUNCTION("""COMPUTED_VALUE"""),"1.95kg")</f>
        <v>1.95kg</v>
      </c>
      <c r="M1029" s="2">
        <f ca="1">IFERROR(__xludf.DUMMYFUNCTION("""COMPUTED_VALUE"""),1060)</f>
        <v>1060</v>
      </c>
    </row>
    <row r="1030" spans="1:13">
      <c r="A1030" s="2">
        <f ca="1">IFERROR(__xludf.DUMMYFUNCTION("""COMPUTED_VALUE"""),1042)</f>
        <v>1042</v>
      </c>
      <c r="B1030" s="2" t="str">
        <f ca="1">IFERROR(__xludf.DUMMYFUNCTION("""COMPUTED_VALUE"""),"Dell")</f>
        <v>Dell</v>
      </c>
      <c r="C1030" s="2" t="str">
        <f ca="1">IFERROR(__xludf.DUMMYFUNCTION("""COMPUTED_VALUE"""),"XPS 13")</f>
        <v>XPS 13</v>
      </c>
      <c r="D1030" s="2" t="str">
        <f ca="1">IFERROR(__xludf.DUMMYFUNCTION("""COMPUTED_VALUE"""),"Ultrabook")</f>
        <v>Ultrabook</v>
      </c>
      <c r="E1030" s="2">
        <f ca="1">IFERROR(__xludf.DUMMYFUNCTION("""COMPUTED_VALUE"""),13.3)</f>
        <v>13.3</v>
      </c>
      <c r="F1030" s="2" t="str">
        <f ca="1">IFERROR(__xludf.DUMMYFUNCTION("""COMPUTED_VALUE"""),"Quad HD+ / Touchscreen 3200x1800")</f>
        <v>Quad HD+ / Touchscreen 3200x1800</v>
      </c>
      <c r="G1030" s="2" t="str">
        <f ca="1">IFERROR(__xludf.DUMMYFUNCTION("""COMPUTED_VALUE"""),"Intel Core i5 7200U 2.5GHz")</f>
        <v>Intel Core i5 7200U 2.5GHz</v>
      </c>
      <c r="H1030" s="2" t="str">
        <f ca="1">IFERROR(__xludf.DUMMYFUNCTION("""COMPUTED_VALUE"""),"8GB")</f>
        <v>8GB</v>
      </c>
      <c r="I1030" s="2" t="str">
        <f ca="1">IFERROR(__xludf.DUMMYFUNCTION("""COMPUTED_VALUE"""),"256GB SSD")</f>
        <v>256GB SSD</v>
      </c>
      <c r="J1030" s="2" t="str">
        <f ca="1">IFERROR(__xludf.DUMMYFUNCTION("""COMPUTED_VALUE"""),"Intel HD Graphics 620")</f>
        <v>Intel HD Graphics 620</v>
      </c>
      <c r="K1030" s="2" t="str">
        <f ca="1">IFERROR(__xludf.DUMMYFUNCTION("""COMPUTED_VALUE"""),"Windows 10")</f>
        <v>Windows 10</v>
      </c>
      <c r="L1030" s="2" t="str">
        <f ca="1">IFERROR(__xludf.DUMMYFUNCTION("""COMPUTED_VALUE"""),"1.29kg")</f>
        <v>1.29kg</v>
      </c>
      <c r="M1030" s="2">
        <f ca="1">IFERROR(__xludf.DUMMYFUNCTION("""COMPUTED_VALUE"""),1624)</f>
        <v>1624</v>
      </c>
    </row>
    <row r="1031" spans="1:13">
      <c r="A1031" s="2">
        <f ca="1">IFERROR(__xludf.DUMMYFUNCTION("""COMPUTED_VALUE"""),1043)</f>
        <v>1043</v>
      </c>
      <c r="B1031" s="2" t="str">
        <f ca="1">IFERROR(__xludf.DUMMYFUNCTION("""COMPUTED_VALUE"""),"HP")</f>
        <v>HP</v>
      </c>
      <c r="C1031" s="2" t="str">
        <f ca="1">IFERROR(__xludf.DUMMYFUNCTION("""COMPUTED_VALUE"""),"Probook 470")</f>
        <v>Probook 470</v>
      </c>
      <c r="D1031" s="2" t="str">
        <f ca="1">IFERROR(__xludf.DUMMYFUNCTION("""COMPUTED_VALUE"""),"Notebook")</f>
        <v>Notebook</v>
      </c>
      <c r="E1031" s="2">
        <f ca="1">IFERROR(__xludf.DUMMYFUNCTION("""COMPUTED_VALUE"""),17.3)</f>
        <v>17.3</v>
      </c>
      <c r="F1031" s="2" t="str">
        <f ca="1">IFERROR(__xludf.DUMMYFUNCTION("""COMPUTED_VALUE"""),"Full HD 1920x1080")</f>
        <v>Full HD 1920x1080</v>
      </c>
      <c r="G1031" s="2" t="str">
        <f ca="1">IFERROR(__xludf.DUMMYFUNCTION("""COMPUTED_VALUE"""),"Intel Core i5 7200U 2.5GHz")</f>
        <v>Intel Core i5 7200U 2.5GHz</v>
      </c>
      <c r="H1031" s="2" t="str">
        <f ca="1">IFERROR(__xludf.DUMMYFUNCTION("""COMPUTED_VALUE"""),"8GB")</f>
        <v>8GB</v>
      </c>
      <c r="I1031" s="2" t="str">
        <f ca="1">IFERROR(__xludf.DUMMYFUNCTION("""COMPUTED_VALUE"""),"256GB SSD")</f>
        <v>256GB SSD</v>
      </c>
      <c r="J1031" s="2" t="str">
        <f ca="1">IFERROR(__xludf.DUMMYFUNCTION("""COMPUTED_VALUE"""),"Nvidia GeForce 930MX")</f>
        <v>Nvidia GeForce 930MX</v>
      </c>
      <c r="K1031" s="2" t="str">
        <f ca="1">IFERROR(__xludf.DUMMYFUNCTION("""COMPUTED_VALUE"""),"Windows 10")</f>
        <v>Windows 10</v>
      </c>
      <c r="L1031" s="2" t="str">
        <f ca="1">IFERROR(__xludf.DUMMYFUNCTION("""COMPUTED_VALUE"""),"2.63kg")</f>
        <v>2.63kg</v>
      </c>
      <c r="M1031" s="2">
        <f ca="1">IFERROR(__xludf.DUMMYFUNCTION("""COMPUTED_VALUE"""),1080)</f>
        <v>1080</v>
      </c>
    </row>
    <row r="1032" spans="1:13">
      <c r="A1032" s="2">
        <f ca="1">IFERROR(__xludf.DUMMYFUNCTION("""COMPUTED_VALUE"""),1044)</f>
        <v>1044</v>
      </c>
      <c r="B1032" s="2" t="str">
        <f ca="1">IFERROR(__xludf.DUMMYFUNCTION("""COMPUTED_VALUE"""),"HP")</f>
        <v>HP</v>
      </c>
      <c r="C1032" s="2" t="str">
        <f ca="1">IFERROR(__xludf.DUMMYFUNCTION("""COMPUTED_VALUE"""),"ProBook 440")</f>
        <v>ProBook 440</v>
      </c>
      <c r="D1032" s="2" t="str">
        <f ca="1">IFERROR(__xludf.DUMMYFUNCTION("""COMPUTED_VALUE"""),"Notebook")</f>
        <v>Notebook</v>
      </c>
      <c r="E1032" s="2">
        <f ca="1">IFERROR(__xludf.DUMMYFUNCTION("""COMPUTED_VALUE"""),14)</f>
        <v>14</v>
      </c>
      <c r="F1032" s="2" t="str">
        <f ca="1">IFERROR(__xludf.DUMMYFUNCTION("""COMPUTED_VALUE"""),"1366x768")</f>
        <v>1366x768</v>
      </c>
      <c r="G1032" s="2" t="str">
        <f ca="1">IFERROR(__xludf.DUMMYFUNCTION("""COMPUTED_VALUE"""),"Intel Core i5 7200U 2.5GHz")</f>
        <v>Intel Core i5 7200U 2.5GHz</v>
      </c>
      <c r="H1032" s="2" t="str">
        <f ca="1">IFERROR(__xludf.DUMMYFUNCTION("""COMPUTED_VALUE"""),"4GB")</f>
        <v>4GB</v>
      </c>
      <c r="I1032" s="2" t="str">
        <f ca="1">IFERROR(__xludf.DUMMYFUNCTION("""COMPUTED_VALUE"""),"256GB SSD")</f>
        <v>256GB SSD</v>
      </c>
      <c r="J1032" s="2" t="str">
        <f ca="1">IFERROR(__xludf.DUMMYFUNCTION("""COMPUTED_VALUE"""),"Intel HD Graphics 620")</f>
        <v>Intel HD Graphics 620</v>
      </c>
      <c r="K1032" s="2" t="str">
        <f ca="1">IFERROR(__xludf.DUMMYFUNCTION("""COMPUTED_VALUE"""),"Windows 10")</f>
        <v>Windows 10</v>
      </c>
      <c r="L1032" s="2" t="str">
        <f ca="1">IFERROR(__xludf.DUMMYFUNCTION("""COMPUTED_VALUE"""),"1.64kg")</f>
        <v>1.64kg</v>
      </c>
      <c r="M1032" s="2">
        <f ca="1">IFERROR(__xludf.DUMMYFUNCTION("""COMPUTED_VALUE"""),973)</f>
        <v>973</v>
      </c>
    </row>
    <row r="1033" spans="1:13">
      <c r="A1033" s="2">
        <f ca="1">IFERROR(__xludf.DUMMYFUNCTION("""COMPUTED_VALUE"""),1045)</f>
        <v>1045</v>
      </c>
      <c r="B1033" s="2" t="str">
        <f ca="1">IFERROR(__xludf.DUMMYFUNCTION("""COMPUTED_VALUE"""),"Acer")</f>
        <v>Acer</v>
      </c>
      <c r="C1033" s="2" t="str">
        <f ca="1">IFERROR(__xludf.DUMMYFUNCTION("""COMPUTED_VALUE"""),"Aspire 3")</f>
        <v>Aspire 3</v>
      </c>
      <c r="D1033" s="2" t="str">
        <f ca="1">IFERROR(__xludf.DUMMYFUNCTION("""COMPUTED_VALUE"""),"Notebook")</f>
        <v>Notebook</v>
      </c>
      <c r="E1033" s="2">
        <f ca="1">IFERROR(__xludf.DUMMYFUNCTION("""COMPUTED_VALUE"""),15.6)</f>
        <v>15.6</v>
      </c>
      <c r="F1033" s="2" t="str">
        <f ca="1">IFERROR(__xludf.DUMMYFUNCTION("""COMPUTED_VALUE"""),"1366x768")</f>
        <v>1366x768</v>
      </c>
      <c r="G1033" s="2" t="str">
        <f ca="1">IFERROR(__xludf.DUMMYFUNCTION("""COMPUTED_VALUE"""),"AMD A9-Series 9420 3GHz")</f>
        <v>AMD A9-Series 9420 3GHz</v>
      </c>
      <c r="H1033" s="2" t="str">
        <f ca="1">IFERROR(__xludf.DUMMYFUNCTION("""COMPUTED_VALUE"""),"6GB")</f>
        <v>6GB</v>
      </c>
      <c r="I1033" s="2" t="str">
        <f ca="1">IFERROR(__xludf.DUMMYFUNCTION("""COMPUTED_VALUE"""),"1TB HDD")</f>
        <v>1TB HDD</v>
      </c>
      <c r="J1033" s="2" t="str">
        <f ca="1">IFERROR(__xludf.DUMMYFUNCTION("""COMPUTED_VALUE"""),"AMD Radeon R5")</f>
        <v>AMD Radeon R5</v>
      </c>
      <c r="K1033" s="2" t="str">
        <f ca="1">IFERROR(__xludf.DUMMYFUNCTION("""COMPUTED_VALUE"""),"Windows 10")</f>
        <v>Windows 10</v>
      </c>
      <c r="L1033" s="2" t="str">
        <f ca="1">IFERROR(__xludf.DUMMYFUNCTION("""COMPUTED_VALUE"""),"2.1kg")</f>
        <v>2.1kg</v>
      </c>
      <c r="M1033" s="2">
        <f ca="1">IFERROR(__xludf.DUMMYFUNCTION("""COMPUTED_VALUE"""),409)</f>
        <v>409</v>
      </c>
    </row>
    <row r="1034" spans="1:13">
      <c r="A1034" s="2">
        <f ca="1">IFERROR(__xludf.DUMMYFUNCTION("""COMPUTED_VALUE"""),1046)</f>
        <v>1046</v>
      </c>
      <c r="B1034" s="2" t="str">
        <f ca="1">IFERROR(__xludf.DUMMYFUNCTION("""COMPUTED_VALUE"""),"MSI")</f>
        <v>MSI</v>
      </c>
      <c r="C1034" s="2" t="str">
        <f ca="1">IFERROR(__xludf.DUMMYFUNCTION("""COMPUTED_VALUE"""),"GL72M 7RDX")</f>
        <v>GL72M 7RDX</v>
      </c>
      <c r="D1034" s="2" t="str">
        <f ca="1">IFERROR(__xludf.DUMMYFUNCTION("""COMPUTED_VALUE"""),"Gaming")</f>
        <v>Gaming</v>
      </c>
      <c r="E1034" s="2">
        <f ca="1">IFERROR(__xludf.DUMMYFUNCTION("""COMPUTED_VALUE"""),17.3)</f>
        <v>17.3</v>
      </c>
      <c r="F1034" s="2" t="str">
        <f ca="1">IFERROR(__xludf.DUMMYFUNCTION("""COMPUTED_VALUE"""),"Full HD 1920x1080")</f>
        <v>Full HD 1920x1080</v>
      </c>
      <c r="G1034" s="2" t="str">
        <f ca="1">IFERROR(__xludf.DUMMYFUNCTION("""COMPUTED_VALUE"""),"Intel Core i7 7700HQ 2.8GHz")</f>
        <v>Intel Core i7 7700HQ 2.8GHz</v>
      </c>
      <c r="H1034" s="2" t="str">
        <f ca="1">IFERROR(__xludf.DUMMYFUNCTION("""COMPUTED_VALUE"""),"8GB")</f>
        <v>8GB</v>
      </c>
      <c r="I1034" s="2" t="str">
        <f ca="1">IFERROR(__xludf.DUMMYFUNCTION("""COMPUTED_VALUE"""),"128GB SSD +  1TB HDD")</f>
        <v>128GB SSD +  1TB HDD</v>
      </c>
      <c r="J1034" s="2" t="str">
        <f ca="1">IFERROR(__xludf.DUMMYFUNCTION("""COMPUTED_VALUE"""),"Nvidia GeForce GTX 1050")</f>
        <v>Nvidia GeForce GTX 1050</v>
      </c>
      <c r="K1034" s="2" t="str">
        <f ca="1">IFERROR(__xludf.DUMMYFUNCTION("""COMPUTED_VALUE"""),"Windows 10")</f>
        <v>Windows 10</v>
      </c>
      <c r="L1034" s="2" t="str">
        <f ca="1">IFERROR(__xludf.DUMMYFUNCTION("""COMPUTED_VALUE"""),"2.7kg")</f>
        <v>2.7kg</v>
      </c>
      <c r="M1034" s="2">
        <f ca="1">IFERROR(__xludf.DUMMYFUNCTION("""COMPUTED_VALUE"""),1191.8)</f>
        <v>1191.8</v>
      </c>
    </row>
    <row r="1035" spans="1:13">
      <c r="A1035" s="2">
        <f ca="1">IFERROR(__xludf.DUMMYFUNCTION("""COMPUTED_VALUE"""),1047)</f>
        <v>1047</v>
      </c>
      <c r="B1035" s="2" t="str">
        <f ca="1">IFERROR(__xludf.DUMMYFUNCTION("""COMPUTED_VALUE"""),"HP")</f>
        <v>HP</v>
      </c>
      <c r="C1035" s="2" t="str">
        <f ca="1">IFERROR(__xludf.DUMMYFUNCTION("""COMPUTED_VALUE"""),"Probook 640")</f>
        <v>Probook 640</v>
      </c>
      <c r="D1035" s="2" t="str">
        <f ca="1">IFERROR(__xludf.DUMMYFUNCTION("""COMPUTED_VALUE"""),"Notebook")</f>
        <v>Notebook</v>
      </c>
      <c r="E1035" s="2">
        <f ca="1">IFERROR(__xludf.DUMMYFUNCTION("""COMPUTED_VALUE"""),14)</f>
        <v>14</v>
      </c>
      <c r="F1035" s="2" t="str">
        <f ca="1">IFERROR(__xludf.DUMMYFUNCTION("""COMPUTED_VALUE"""),"Full HD 1920x1080")</f>
        <v>Full HD 1920x1080</v>
      </c>
      <c r="G1035" s="2" t="str">
        <f ca="1">IFERROR(__xludf.DUMMYFUNCTION("""COMPUTED_VALUE"""),"Intel Core i5 6200U 2.3GHz")</f>
        <v>Intel Core i5 6200U 2.3GHz</v>
      </c>
      <c r="H1035" s="2" t="str">
        <f ca="1">IFERROR(__xludf.DUMMYFUNCTION("""COMPUTED_VALUE"""),"8GB")</f>
        <v>8GB</v>
      </c>
      <c r="I1035" s="2" t="str">
        <f ca="1">IFERROR(__xludf.DUMMYFUNCTION("""COMPUTED_VALUE"""),"256GB SSD")</f>
        <v>256GB SSD</v>
      </c>
      <c r="J1035" s="2" t="str">
        <f ca="1">IFERROR(__xludf.DUMMYFUNCTION("""COMPUTED_VALUE"""),"Intel HD Graphics 520")</f>
        <v>Intel HD Graphics 520</v>
      </c>
      <c r="K1035" s="2" t="str">
        <f ca="1">IFERROR(__xludf.DUMMYFUNCTION("""COMPUTED_VALUE"""),"Windows 7")</f>
        <v>Windows 7</v>
      </c>
      <c r="L1035" s="2" t="str">
        <f ca="1">IFERROR(__xludf.DUMMYFUNCTION("""COMPUTED_VALUE"""),"1.95kg")</f>
        <v>1.95kg</v>
      </c>
      <c r="M1035" s="2">
        <f ca="1">IFERROR(__xludf.DUMMYFUNCTION("""COMPUTED_VALUE"""),1195)</f>
        <v>1195</v>
      </c>
    </row>
    <row r="1036" spans="1:13">
      <c r="A1036" s="2">
        <f ca="1">IFERROR(__xludf.DUMMYFUNCTION("""COMPUTED_VALUE"""),1048)</f>
        <v>1048</v>
      </c>
      <c r="B1036" s="2" t="str">
        <f ca="1">IFERROR(__xludf.DUMMYFUNCTION("""COMPUTED_VALUE"""),"HP")</f>
        <v>HP</v>
      </c>
      <c r="C1036" s="2" t="str">
        <f ca="1">IFERROR(__xludf.DUMMYFUNCTION("""COMPUTED_VALUE"""),"EliteBook 850")</f>
        <v>EliteBook 850</v>
      </c>
      <c r="D1036" s="2" t="str">
        <f ca="1">IFERROR(__xludf.DUMMYFUNCTION("""COMPUTED_VALUE"""),"Notebook")</f>
        <v>Notebook</v>
      </c>
      <c r="E1036" s="2">
        <f ca="1">IFERROR(__xludf.DUMMYFUNCTION("""COMPUTED_VALUE"""),15.6)</f>
        <v>15.6</v>
      </c>
      <c r="F1036" s="2" t="str">
        <f ca="1">IFERROR(__xludf.DUMMYFUNCTION("""COMPUTED_VALUE"""),"Full HD 1920x1080")</f>
        <v>Full HD 1920x1080</v>
      </c>
      <c r="G1036" s="2" t="str">
        <f ca="1">IFERROR(__xludf.DUMMYFUNCTION("""COMPUTED_VALUE"""),"Intel Core i7 6500U 2.5GHz")</f>
        <v>Intel Core i7 6500U 2.5GHz</v>
      </c>
      <c r="H1036" s="2" t="str">
        <f ca="1">IFERROR(__xludf.DUMMYFUNCTION("""COMPUTED_VALUE"""),"8GB")</f>
        <v>8GB</v>
      </c>
      <c r="I1036" s="2" t="str">
        <f ca="1">IFERROR(__xludf.DUMMYFUNCTION("""COMPUTED_VALUE"""),"256GB SSD")</f>
        <v>256GB SSD</v>
      </c>
      <c r="J1036" s="2" t="str">
        <f ca="1">IFERROR(__xludf.DUMMYFUNCTION("""COMPUTED_VALUE"""),"Intel HD Graphics 520")</f>
        <v>Intel HD Graphics 520</v>
      </c>
      <c r="K1036" s="2" t="str">
        <f ca="1">IFERROR(__xludf.DUMMYFUNCTION("""COMPUTED_VALUE"""),"Windows 10")</f>
        <v>Windows 10</v>
      </c>
      <c r="L1036" s="2" t="str">
        <f ca="1">IFERROR(__xludf.DUMMYFUNCTION("""COMPUTED_VALUE"""),"1.84kg")</f>
        <v>1.84kg</v>
      </c>
      <c r="M1036" s="2">
        <f ca="1">IFERROR(__xludf.DUMMYFUNCTION("""COMPUTED_VALUE"""),1228.99)</f>
        <v>1228.99</v>
      </c>
    </row>
    <row r="1037" spans="1:13">
      <c r="A1037" s="2">
        <f ca="1">IFERROR(__xludf.DUMMYFUNCTION("""COMPUTED_VALUE"""),1049)</f>
        <v>1049</v>
      </c>
      <c r="B1037" s="2" t="str">
        <f ca="1">IFERROR(__xludf.DUMMYFUNCTION("""COMPUTED_VALUE"""),"HP")</f>
        <v>HP</v>
      </c>
      <c r="C1037" s="2" t="str">
        <f ca="1">IFERROR(__xludf.DUMMYFUNCTION("""COMPUTED_VALUE"""),"EliteBook 820")</f>
        <v>EliteBook 820</v>
      </c>
      <c r="D1037" s="2" t="str">
        <f ca="1">IFERROR(__xludf.DUMMYFUNCTION("""COMPUTED_VALUE"""),"Ultrabook")</f>
        <v>Ultrabook</v>
      </c>
      <c r="E1037" s="2">
        <f ca="1">IFERROR(__xludf.DUMMYFUNCTION("""COMPUTED_VALUE"""),12.5)</f>
        <v>12.5</v>
      </c>
      <c r="F1037" s="2" t="str">
        <f ca="1">IFERROR(__xludf.DUMMYFUNCTION("""COMPUTED_VALUE"""),"Full HD 1920x1080")</f>
        <v>Full HD 1920x1080</v>
      </c>
      <c r="G1037" s="2" t="str">
        <f ca="1">IFERROR(__xludf.DUMMYFUNCTION("""COMPUTED_VALUE"""),"Intel Core i7 6500U 2.5GHz")</f>
        <v>Intel Core i7 6500U 2.5GHz</v>
      </c>
      <c r="H1037" s="2" t="str">
        <f ca="1">IFERROR(__xludf.DUMMYFUNCTION("""COMPUTED_VALUE"""),"8GB")</f>
        <v>8GB</v>
      </c>
      <c r="I1037" s="2" t="str">
        <f ca="1">IFERROR(__xludf.DUMMYFUNCTION("""COMPUTED_VALUE"""),"256GB SSD")</f>
        <v>256GB SSD</v>
      </c>
      <c r="J1037" s="2" t="str">
        <f ca="1">IFERROR(__xludf.DUMMYFUNCTION("""COMPUTED_VALUE"""),"Intel HD Graphics 520")</f>
        <v>Intel HD Graphics 520</v>
      </c>
      <c r="K1037" s="2" t="str">
        <f ca="1">IFERROR(__xludf.DUMMYFUNCTION("""COMPUTED_VALUE"""),"Windows 10")</f>
        <v>Windows 10</v>
      </c>
      <c r="L1037" s="2" t="str">
        <f ca="1">IFERROR(__xludf.DUMMYFUNCTION("""COMPUTED_VALUE"""),"1.26kg")</f>
        <v>1.26kg</v>
      </c>
      <c r="M1037" s="2">
        <f ca="1">IFERROR(__xludf.DUMMYFUNCTION("""COMPUTED_VALUE"""),1349)</f>
        <v>1349</v>
      </c>
    </row>
    <row r="1038" spans="1:13">
      <c r="A1038" s="2">
        <f ca="1">IFERROR(__xludf.DUMMYFUNCTION("""COMPUTED_VALUE"""),1050)</f>
        <v>1050</v>
      </c>
      <c r="B1038" s="2" t="str">
        <f ca="1">IFERROR(__xludf.DUMMYFUNCTION("""COMPUTED_VALUE"""),"HP")</f>
        <v>HP</v>
      </c>
      <c r="C1038" s="2" t="str">
        <f ca="1">IFERROR(__xludf.DUMMYFUNCTION("""COMPUTED_VALUE"""),"ProBook 450")</f>
        <v>ProBook 450</v>
      </c>
      <c r="D1038" s="2" t="str">
        <f ca="1">IFERROR(__xludf.DUMMYFUNCTION("""COMPUTED_VALUE"""),"Notebook")</f>
        <v>Notebook</v>
      </c>
      <c r="E1038" s="2">
        <f ca="1">IFERROR(__xludf.DUMMYFUNCTION("""COMPUTED_VALUE"""),15.6)</f>
        <v>15.6</v>
      </c>
      <c r="F1038" s="2" t="str">
        <f ca="1">IFERROR(__xludf.DUMMYFUNCTION("""COMPUTED_VALUE"""),"1366x768")</f>
        <v>1366x768</v>
      </c>
      <c r="G1038" s="2" t="str">
        <f ca="1">IFERROR(__xludf.DUMMYFUNCTION("""COMPUTED_VALUE"""),"Intel Core i5 7200U 2.5GHz")</f>
        <v>Intel Core i5 7200U 2.5GHz</v>
      </c>
      <c r="H1038" s="2" t="str">
        <f ca="1">IFERROR(__xludf.DUMMYFUNCTION("""COMPUTED_VALUE"""),"4GB")</f>
        <v>4GB</v>
      </c>
      <c r="I1038" s="2" t="str">
        <f ca="1">IFERROR(__xludf.DUMMYFUNCTION("""COMPUTED_VALUE"""),"500GB HDD")</f>
        <v>500GB HDD</v>
      </c>
      <c r="J1038" s="2" t="str">
        <f ca="1">IFERROR(__xludf.DUMMYFUNCTION("""COMPUTED_VALUE"""),"Intel HD Graphics 620")</f>
        <v>Intel HD Graphics 620</v>
      </c>
      <c r="K1038" s="2" t="str">
        <f ca="1">IFERROR(__xludf.DUMMYFUNCTION("""COMPUTED_VALUE"""),"Windows 10")</f>
        <v>Windows 10</v>
      </c>
      <c r="L1038" s="2" t="str">
        <f ca="1">IFERROR(__xludf.DUMMYFUNCTION("""COMPUTED_VALUE"""),"2.04kg")</f>
        <v>2.04kg</v>
      </c>
      <c r="M1038" s="2">
        <f ca="1">IFERROR(__xludf.DUMMYFUNCTION("""COMPUTED_VALUE"""),742)</f>
        <v>742</v>
      </c>
    </row>
    <row r="1039" spans="1:13">
      <c r="A1039" s="2">
        <f ca="1">IFERROR(__xludf.DUMMYFUNCTION("""COMPUTED_VALUE"""),1051)</f>
        <v>1051</v>
      </c>
      <c r="B1039" s="2" t="str">
        <f ca="1">IFERROR(__xludf.DUMMYFUNCTION("""COMPUTED_VALUE"""),"Toshiba")</f>
        <v>Toshiba</v>
      </c>
      <c r="C1039" s="2" t="str">
        <f ca="1">IFERROR(__xludf.DUMMYFUNCTION("""COMPUTED_VALUE"""),"Tecra Z40-C-136")</f>
        <v>Tecra Z40-C-136</v>
      </c>
      <c r="D1039" s="2" t="str">
        <f ca="1">IFERROR(__xludf.DUMMYFUNCTION("""COMPUTED_VALUE"""),"Ultrabook")</f>
        <v>Ultrabook</v>
      </c>
      <c r="E1039" s="2">
        <f ca="1">IFERROR(__xludf.DUMMYFUNCTION("""COMPUTED_VALUE"""),14)</f>
        <v>14</v>
      </c>
      <c r="F1039" s="2" t="str">
        <f ca="1">IFERROR(__xludf.DUMMYFUNCTION("""COMPUTED_VALUE"""),"IPS Panel Full HD 1920x1080")</f>
        <v>IPS Panel Full HD 1920x1080</v>
      </c>
      <c r="G1039" s="2" t="str">
        <f ca="1">IFERROR(__xludf.DUMMYFUNCTION("""COMPUTED_VALUE"""),"Intel Core i7 6600U 2.6GHz")</f>
        <v>Intel Core i7 6600U 2.6GHz</v>
      </c>
      <c r="H1039" s="2" t="str">
        <f ca="1">IFERROR(__xludf.DUMMYFUNCTION("""COMPUTED_VALUE"""),"8GB")</f>
        <v>8GB</v>
      </c>
      <c r="I1039" s="2" t="str">
        <f ca="1">IFERROR(__xludf.DUMMYFUNCTION("""COMPUTED_VALUE"""),"256GB SSD")</f>
        <v>256GB SSD</v>
      </c>
      <c r="J1039" s="2" t="str">
        <f ca="1">IFERROR(__xludf.DUMMYFUNCTION("""COMPUTED_VALUE"""),"Intel HD Graphics 520")</f>
        <v>Intel HD Graphics 520</v>
      </c>
      <c r="K1039" s="2" t="str">
        <f ca="1">IFERROR(__xludf.DUMMYFUNCTION("""COMPUTED_VALUE"""),"Windows 10")</f>
        <v>Windows 10</v>
      </c>
      <c r="L1039" s="2" t="str">
        <f ca="1">IFERROR(__xludf.DUMMYFUNCTION("""COMPUTED_VALUE"""),"1.47kg")</f>
        <v>1.47kg</v>
      </c>
      <c r="M1039" s="2">
        <f ca="1">IFERROR(__xludf.DUMMYFUNCTION("""COMPUTED_VALUE"""),1725)</f>
        <v>1725</v>
      </c>
    </row>
    <row r="1040" spans="1:13">
      <c r="A1040" s="2">
        <f ca="1">IFERROR(__xludf.DUMMYFUNCTION("""COMPUTED_VALUE"""),1052)</f>
        <v>1052</v>
      </c>
      <c r="B1040" s="2" t="str">
        <f ca="1">IFERROR(__xludf.DUMMYFUNCTION("""COMPUTED_VALUE"""),"Dell")</f>
        <v>Dell</v>
      </c>
      <c r="C1040" s="2" t="str">
        <f ca="1">IFERROR(__xludf.DUMMYFUNCTION("""COMPUTED_VALUE"""),"Latitude E5570")</f>
        <v>Latitude E5570</v>
      </c>
      <c r="D1040" s="2" t="str">
        <f ca="1">IFERROR(__xludf.DUMMYFUNCTION("""COMPUTED_VALUE"""),"Notebook")</f>
        <v>Notebook</v>
      </c>
      <c r="E1040" s="2">
        <f ca="1">IFERROR(__xludf.DUMMYFUNCTION("""COMPUTED_VALUE"""),15.6)</f>
        <v>15.6</v>
      </c>
      <c r="F1040" s="2" t="str">
        <f ca="1">IFERROR(__xludf.DUMMYFUNCTION("""COMPUTED_VALUE"""),"Full HD 1920x1080")</f>
        <v>Full HD 1920x1080</v>
      </c>
      <c r="G1040" s="2" t="str">
        <f ca="1">IFERROR(__xludf.DUMMYFUNCTION("""COMPUTED_VALUE"""),"Intel Core i5 6300U 2.4GHz")</f>
        <v>Intel Core i5 6300U 2.4GHz</v>
      </c>
      <c r="H1040" s="2" t="str">
        <f ca="1">IFERROR(__xludf.DUMMYFUNCTION("""COMPUTED_VALUE"""),"8GB")</f>
        <v>8GB</v>
      </c>
      <c r="I1040" s="2" t="str">
        <f ca="1">IFERROR(__xludf.DUMMYFUNCTION("""COMPUTED_VALUE"""),"256GB SSD")</f>
        <v>256GB SSD</v>
      </c>
      <c r="J1040" s="2" t="str">
        <f ca="1">IFERROR(__xludf.DUMMYFUNCTION("""COMPUTED_VALUE"""),"Intel HD Graphics 520")</f>
        <v>Intel HD Graphics 520</v>
      </c>
      <c r="K1040" s="2" t="str">
        <f ca="1">IFERROR(__xludf.DUMMYFUNCTION("""COMPUTED_VALUE"""),"Windows 7")</f>
        <v>Windows 7</v>
      </c>
      <c r="L1040" s="2" t="str">
        <f ca="1">IFERROR(__xludf.DUMMYFUNCTION("""COMPUTED_VALUE"""),"2.09kg")</f>
        <v>2.09kg</v>
      </c>
      <c r="M1040" s="2">
        <f ca="1">IFERROR(__xludf.DUMMYFUNCTION("""COMPUTED_VALUE"""),1062.95)</f>
        <v>1062.95</v>
      </c>
    </row>
    <row r="1041" spans="1:13">
      <c r="A1041" s="2">
        <f ca="1">IFERROR(__xludf.DUMMYFUNCTION("""COMPUTED_VALUE"""),1053)</f>
        <v>1053</v>
      </c>
      <c r="B1041" s="2" t="str">
        <f ca="1">IFERROR(__xludf.DUMMYFUNCTION("""COMPUTED_VALUE"""),"HP")</f>
        <v>HP</v>
      </c>
      <c r="C1041" s="2" t="str">
        <f ca="1">IFERROR(__xludf.DUMMYFUNCTION("""COMPUTED_VALUE"""),"ProBook 440")</f>
        <v>ProBook 440</v>
      </c>
      <c r="D1041" s="2" t="str">
        <f ca="1">IFERROR(__xludf.DUMMYFUNCTION("""COMPUTED_VALUE"""),"Notebook")</f>
        <v>Notebook</v>
      </c>
      <c r="E1041" s="2">
        <f ca="1">IFERROR(__xludf.DUMMYFUNCTION("""COMPUTED_VALUE"""),14)</f>
        <v>14</v>
      </c>
      <c r="F1041" s="2" t="str">
        <f ca="1">IFERROR(__xludf.DUMMYFUNCTION("""COMPUTED_VALUE"""),"Full HD 1920x1080")</f>
        <v>Full HD 1920x1080</v>
      </c>
      <c r="G1041" s="2" t="str">
        <f ca="1">IFERROR(__xludf.DUMMYFUNCTION("""COMPUTED_VALUE"""),"Intel Core i5 7200U 2.5GHz")</f>
        <v>Intel Core i5 7200U 2.5GHz</v>
      </c>
      <c r="H1041" s="2" t="str">
        <f ca="1">IFERROR(__xludf.DUMMYFUNCTION("""COMPUTED_VALUE"""),"8GB")</f>
        <v>8GB</v>
      </c>
      <c r="I1041" s="2" t="str">
        <f ca="1">IFERROR(__xludf.DUMMYFUNCTION("""COMPUTED_VALUE"""),"256GB SSD")</f>
        <v>256GB SSD</v>
      </c>
      <c r="J1041" s="2" t="str">
        <f ca="1">IFERROR(__xludf.DUMMYFUNCTION("""COMPUTED_VALUE"""),"Intel HD Graphics 620")</f>
        <v>Intel HD Graphics 620</v>
      </c>
      <c r="K1041" s="2" t="str">
        <f ca="1">IFERROR(__xludf.DUMMYFUNCTION("""COMPUTED_VALUE"""),"Windows 10")</f>
        <v>Windows 10</v>
      </c>
      <c r="L1041" s="2" t="str">
        <f ca="1">IFERROR(__xludf.DUMMYFUNCTION("""COMPUTED_VALUE"""),"1.64kg")</f>
        <v>1.64kg</v>
      </c>
      <c r="M1041" s="2">
        <f ca="1">IFERROR(__xludf.DUMMYFUNCTION("""COMPUTED_VALUE"""),1010.51)</f>
        <v>1010.51</v>
      </c>
    </row>
    <row r="1042" spans="1:13">
      <c r="A1042" s="2">
        <f ca="1">IFERROR(__xludf.DUMMYFUNCTION("""COMPUTED_VALUE"""),1054)</f>
        <v>1054</v>
      </c>
      <c r="B1042" s="2" t="str">
        <f ca="1">IFERROR(__xludf.DUMMYFUNCTION("""COMPUTED_VALUE"""),"Lenovo")</f>
        <v>Lenovo</v>
      </c>
      <c r="C1042" s="2" t="str">
        <f ca="1">IFERROR(__xludf.DUMMYFUNCTION("""COMPUTED_VALUE"""),"Yoga 500-15ISK")</f>
        <v>Yoga 500-15ISK</v>
      </c>
      <c r="D1042" s="2" t="str">
        <f ca="1">IFERROR(__xludf.DUMMYFUNCTION("""COMPUTED_VALUE"""),"2 in 1 Convertible")</f>
        <v>2 in 1 Convertible</v>
      </c>
      <c r="E1042" s="2">
        <f ca="1">IFERROR(__xludf.DUMMYFUNCTION("""COMPUTED_VALUE"""),15.6)</f>
        <v>15.6</v>
      </c>
      <c r="F1042" s="2" t="str">
        <f ca="1">IFERROR(__xludf.DUMMYFUNCTION("""COMPUTED_VALUE"""),"IPS Panel Full HD / Touchscreen 1920x1080")</f>
        <v>IPS Panel Full HD / Touchscreen 1920x1080</v>
      </c>
      <c r="G1042" s="2" t="str">
        <f ca="1">IFERROR(__xludf.DUMMYFUNCTION("""COMPUTED_VALUE"""),"Intel Core i7 6500U 2.5GHz")</f>
        <v>Intel Core i7 6500U 2.5GHz</v>
      </c>
      <c r="H1042" s="2" t="str">
        <f ca="1">IFERROR(__xludf.DUMMYFUNCTION("""COMPUTED_VALUE"""),"4GB")</f>
        <v>4GB</v>
      </c>
      <c r="I1042" s="2" t="str">
        <f ca="1">IFERROR(__xludf.DUMMYFUNCTION("""COMPUTED_VALUE"""),"256GB SSD")</f>
        <v>256GB SSD</v>
      </c>
      <c r="J1042" s="2" t="str">
        <f ca="1">IFERROR(__xludf.DUMMYFUNCTION("""COMPUTED_VALUE"""),"Intel HD Graphics 520")</f>
        <v>Intel HD Graphics 520</v>
      </c>
      <c r="K1042" s="2" t="str">
        <f ca="1">IFERROR(__xludf.DUMMYFUNCTION("""COMPUTED_VALUE"""),"Windows 10")</f>
        <v>Windows 10</v>
      </c>
      <c r="L1042" s="2" t="str">
        <f ca="1">IFERROR(__xludf.DUMMYFUNCTION("""COMPUTED_VALUE"""),"1.8kg")</f>
        <v>1.8kg</v>
      </c>
      <c r="M1042" s="2">
        <f ca="1">IFERROR(__xludf.DUMMYFUNCTION("""COMPUTED_VALUE"""),847)</f>
        <v>847</v>
      </c>
    </row>
    <row r="1043" spans="1:13">
      <c r="A1043" s="2">
        <f ca="1">IFERROR(__xludf.DUMMYFUNCTION("""COMPUTED_VALUE"""),1055)</f>
        <v>1055</v>
      </c>
      <c r="B1043" s="2" t="str">
        <f ca="1">IFERROR(__xludf.DUMMYFUNCTION("""COMPUTED_VALUE"""),"Vero")</f>
        <v>Vero</v>
      </c>
      <c r="C1043" s="2" t="str">
        <f ca="1">IFERROR(__xludf.DUMMYFUNCTION("""COMPUTED_VALUE"""),"V142 (X5-Z8350/2GB/32GB/W10)")</f>
        <v>V142 (X5-Z8350/2GB/32GB/W10)</v>
      </c>
      <c r="D1043" s="2" t="str">
        <f ca="1">IFERROR(__xludf.DUMMYFUNCTION("""COMPUTED_VALUE"""),"Notebook")</f>
        <v>Notebook</v>
      </c>
      <c r="E1043" s="2">
        <f ca="1">IFERROR(__xludf.DUMMYFUNCTION("""COMPUTED_VALUE"""),14)</f>
        <v>14</v>
      </c>
      <c r="F1043" s="2" t="str">
        <f ca="1">IFERROR(__xludf.DUMMYFUNCTION("""COMPUTED_VALUE"""),"1366x768")</f>
        <v>1366x768</v>
      </c>
      <c r="G1043" s="2" t="str">
        <f ca="1">IFERROR(__xludf.DUMMYFUNCTION("""COMPUTED_VALUE"""),"Intel Atom X5-Z8350 1.44GHz")</f>
        <v>Intel Atom X5-Z8350 1.44GHz</v>
      </c>
      <c r="H1043" s="2" t="str">
        <f ca="1">IFERROR(__xludf.DUMMYFUNCTION("""COMPUTED_VALUE"""),"2GB")</f>
        <v>2GB</v>
      </c>
      <c r="I1043" s="2" t="str">
        <f ca="1">IFERROR(__xludf.DUMMYFUNCTION("""COMPUTED_VALUE"""),"32GB Flash Storage")</f>
        <v>32GB Flash Storage</v>
      </c>
      <c r="J1043" s="2" t="str">
        <f ca="1">IFERROR(__xludf.DUMMYFUNCTION("""COMPUTED_VALUE"""),"Intel HD Graphics 400")</f>
        <v>Intel HD Graphics 400</v>
      </c>
      <c r="K1043" s="2" t="str">
        <f ca="1">IFERROR(__xludf.DUMMYFUNCTION("""COMPUTED_VALUE"""),"Windows 10")</f>
        <v>Windows 10</v>
      </c>
      <c r="L1043" s="2" t="str">
        <f ca="1">IFERROR(__xludf.DUMMYFUNCTION("""COMPUTED_VALUE"""),"1.45kg")</f>
        <v>1.45kg</v>
      </c>
      <c r="M1043" s="2">
        <f ca="1">IFERROR(__xludf.DUMMYFUNCTION("""COMPUTED_VALUE"""),210.8)</f>
        <v>210.8</v>
      </c>
    </row>
    <row r="1044" spans="1:13">
      <c r="A1044" s="2">
        <f ca="1">IFERROR(__xludf.DUMMYFUNCTION("""COMPUTED_VALUE"""),1056)</f>
        <v>1056</v>
      </c>
      <c r="B1044" s="2" t="str">
        <f ca="1">IFERROR(__xludf.DUMMYFUNCTION("""COMPUTED_VALUE"""),"Toshiba")</f>
        <v>Toshiba</v>
      </c>
      <c r="C1044" s="2" t="str">
        <f ca="1">IFERROR(__xludf.DUMMYFUNCTION("""COMPUTED_VALUE"""),"Tecra A50-C-218")</f>
        <v>Tecra A50-C-218</v>
      </c>
      <c r="D1044" s="2" t="str">
        <f ca="1">IFERROR(__xludf.DUMMYFUNCTION("""COMPUTED_VALUE"""),"Notebook")</f>
        <v>Notebook</v>
      </c>
      <c r="E1044" s="2">
        <f ca="1">IFERROR(__xludf.DUMMYFUNCTION("""COMPUTED_VALUE"""),15.6)</f>
        <v>15.6</v>
      </c>
      <c r="F1044" s="2" t="str">
        <f ca="1">IFERROR(__xludf.DUMMYFUNCTION("""COMPUTED_VALUE"""),"IPS Panel Full HD 1920x1080")</f>
        <v>IPS Panel Full HD 1920x1080</v>
      </c>
      <c r="G1044" s="2" t="str">
        <f ca="1">IFERROR(__xludf.DUMMYFUNCTION("""COMPUTED_VALUE"""),"Intel Core i7 6500U 2.5GHz")</f>
        <v>Intel Core i7 6500U 2.5GHz</v>
      </c>
      <c r="H1044" s="2" t="str">
        <f ca="1">IFERROR(__xludf.DUMMYFUNCTION("""COMPUTED_VALUE"""),"16GB")</f>
        <v>16GB</v>
      </c>
      <c r="I1044" s="2" t="str">
        <f ca="1">IFERROR(__xludf.DUMMYFUNCTION("""COMPUTED_VALUE"""),"256GB SSD")</f>
        <v>256GB SSD</v>
      </c>
      <c r="J1044" s="2" t="str">
        <f ca="1">IFERROR(__xludf.DUMMYFUNCTION("""COMPUTED_VALUE"""),"Nvidia GeForce 930M")</f>
        <v>Nvidia GeForce 930M</v>
      </c>
      <c r="K1044" s="2" t="str">
        <f ca="1">IFERROR(__xludf.DUMMYFUNCTION("""COMPUTED_VALUE"""),"Windows 10")</f>
        <v>Windows 10</v>
      </c>
      <c r="L1044" s="2" t="str">
        <f ca="1">IFERROR(__xludf.DUMMYFUNCTION("""COMPUTED_VALUE"""),"2.4kg")</f>
        <v>2.4kg</v>
      </c>
      <c r="M1044" s="2">
        <f ca="1">IFERROR(__xludf.DUMMYFUNCTION("""COMPUTED_VALUE"""),1425)</f>
        <v>1425</v>
      </c>
    </row>
    <row r="1045" spans="1:13">
      <c r="A1045" s="2">
        <f ca="1">IFERROR(__xludf.DUMMYFUNCTION("""COMPUTED_VALUE"""),1057)</f>
        <v>1057</v>
      </c>
      <c r="B1045" s="2" t="str">
        <f ca="1">IFERROR(__xludf.DUMMYFUNCTION("""COMPUTED_VALUE"""),"Lenovo")</f>
        <v>Lenovo</v>
      </c>
      <c r="C1045" s="2" t="str">
        <f ca="1">IFERROR(__xludf.DUMMYFUNCTION("""COMPUTED_VALUE"""),"Thinkpad L560")</f>
        <v>Thinkpad L560</v>
      </c>
      <c r="D1045" s="2" t="str">
        <f ca="1">IFERROR(__xludf.DUMMYFUNCTION("""COMPUTED_VALUE"""),"Notebook")</f>
        <v>Notebook</v>
      </c>
      <c r="E1045" s="2">
        <f ca="1">IFERROR(__xludf.DUMMYFUNCTION("""COMPUTED_VALUE"""),15.6)</f>
        <v>15.6</v>
      </c>
      <c r="F1045" s="2" t="str">
        <f ca="1">IFERROR(__xludf.DUMMYFUNCTION("""COMPUTED_VALUE"""),"Full HD 1920x1080")</f>
        <v>Full HD 1920x1080</v>
      </c>
      <c r="G1045" s="2" t="str">
        <f ca="1">IFERROR(__xludf.DUMMYFUNCTION("""COMPUTED_VALUE"""),"Intel Core i5 6200U 2.3GHz")</f>
        <v>Intel Core i5 6200U 2.3GHz</v>
      </c>
      <c r="H1045" s="2" t="str">
        <f ca="1">IFERROR(__xludf.DUMMYFUNCTION("""COMPUTED_VALUE"""),"8GB")</f>
        <v>8GB</v>
      </c>
      <c r="I1045" s="2" t="str">
        <f ca="1">IFERROR(__xludf.DUMMYFUNCTION("""COMPUTED_VALUE"""),"256GB SSD")</f>
        <v>256GB SSD</v>
      </c>
      <c r="J1045" s="2" t="str">
        <f ca="1">IFERROR(__xludf.DUMMYFUNCTION("""COMPUTED_VALUE"""),"Intel HD Graphics 520")</f>
        <v>Intel HD Graphics 520</v>
      </c>
      <c r="K1045" s="2" t="str">
        <f ca="1">IFERROR(__xludf.DUMMYFUNCTION("""COMPUTED_VALUE"""),"Windows 10")</f>
        <v>Windows 10</v>
      </c>
      <c r="L1045" s="2" t="str">
        <f ca="1">IFERROR(__xludf.DUMMYFUNCTION("""COMPUTED_VALUE"""),"2.3kg")</f>
        <v>2.3kg</v>
      </c>
      <c r="M1045" s="2">
        <f ca="1">IFERROR(__xludf.DUMMYFUNCTION("""COMPUTED_VALUE"""),1049.6)</f>
        <v>1049.5999999999999</v>
      </c>
    </row>
    <row r="1046" spans="1:13">
      <c r="A1046" s="2">
        <f ca="1">IFERROR(__xludf.DUMMYFUNCTION("""COMPUTED_VALUE"""),1058)</f>
        <v>1058</v>
      </c>
      <c r="B1046" s="2" t="str">
        <f ca="1">IFERROR(__xludf.DUMMYFUNCTION("""COMPUTED_VALUE"""),"HP")</f>
        <v>HP</v>
      </c>
      <c r="C1046" s="2" t="str">
        <f ca="1">IFERROR(__xludf.DUMMYFUNCTION("""COMPUTED_VALUE"""),"EliteBook 840")</f>
        <v>EliteBook 840</v>
      </c>
      <c r="D1046" s="2" t="str">
        <f ca="1">IFERROR(__xludf.DUMMYFUNCTION("""COMPUTED_VALUE"""),"Notebook")</f>
        <v>Notebook</v>
      </c>
      <c r="E1046" s="2">
        <f ca="1">IFERROR(__xludf.DUMMYFUNCTION("""COMPUTED_VALUE"""),14)</f>
        <v>14</v>
      </c>
      <c r="F1046" s="2" t="str">
        <f ca="1">IFERROR(__xludf.DUMMYFUNCTION("""COMPUTED_VALUE"""),"Full HD 1920x1080")</f>
        <v>Full HD 1920x1080</v>
      </c>
      <c r="G1046" s="2" t="str">
        <f ca="1">IFERROR(__xludf.DUMMYFUNCTION("""COMPUTED_VALUE"""),"Intel Core i5 6200U 2.3GHz")</f>
        <v>Intel Core i5 6200U 2.3GHz</v>
      </c>
      <c r="H1046" s="2" t="str">
        <f ca="1">IFERROR(__xludf.DUMMYFUNCTION("""COMPUTED_VALUE"""),"4GB")</f>
        <v>4GB</v>
      </c>
      <c r="I1046" s="2" t="str">
        <f ca="1">IFERROR(__xludf.DUMMYFUNCTION("""COMPUTED_VALUE"""),"500GB HDD")</f>
        <v>500GB HDD</v>
      </c>
      <c r="J1046" s="2" t="str">
        <f ca="1">IFERROR(__xludf.DUMMYFUNCTION("""COMPUTED_VALUE"""),"Intel HD Graphics 520")</f>
        <v>Intel HD Graphics 520</v>
      </c>
      <c r="K1046" s="2" t="str">
        <f ca="1">IFERROR(__xludf.DUMMYFUNCTION("""COMPUTED_VALUE"""),"Windows 10")</f>
        <v>Windows 10</v>
      </c>
      <c r="L1046" s="2" t="str">
        <f ca="1">IFERROR(__xludf.DUMMYFUNCTION("""COMPUTED_VALUE"""),"1.54kg")</f>
        <v>1.54kg</v>
      </c>
      <c r="M1046" s="2">
        <f ca="1">IFERROR(__xludf.DUMMYFUNCTION("""COMPUTED_VALUE"""),1000)</f>
        <v>1000</v>
      </c>
    </row>
    <row r="1047" spans="1:13">
      <c r="A1047" s="2">
        <f ca="1">IFERROR(__xludf.DUMMYFUNCTION("""COMPUTED_VALUE"""),1059)</f>
        <v>1059</v>
      </c>
      <c r="B1047" s="2" t="str">
        <f ca="1">IFERROR(__xludf.DUMMYFUNCTION("""COMPUTED_VALUE"""),"HP")</f>
        <v>HP</v>
      </c>
      <c r="C1047" s="2" t="str">
        <f ca="1">IFERROR(__xludf.DUMMYFUNCTION("""COMPUTED_VALUE"""),"EliteBook 850")</f>
        <v>EliteBook 850</v>
      </c>
      <c r="D1047" s="2" t="str">
        <f ca="1">IFERROR(__xludf.DUMMYFUNCTION("""COMPUTED_VALUE"""),"Notebook")</f>
        <v>Notebook</v>
      </c>
      <c r="E1047" s="2">
        <f ca="1">IFERROR(__xludf.DUMMYFUNCTION("""COMPUTED_VALUE"""),15.6)</f>
        <v>15.6</v>
      </c>
      <c r="F1047" s="2" t="str">
        <f ca="1">IFERROR(__xludf.DUMMYFUNCTION("""COMPUTED_VALUE"""),"Full HD 1920x1080")</f>
        <v>Full HD 1920x1080</v>
      </c>
      <c r="G1047" s="2" t="str">
        <f ca="1">IFERROR(__xludf.DUMMYFUNCTION("""COMPUTED_VALUE"""),"Intel Core i5 6300U 2.4GHz")</f>
        <v>Intel Core i5 6300U 2.4GHz</v>
      </c>
      <c r="H1047" s="2" t="str">
        <f ca="1">IFERROR(__xludf.DUMMYFUNCTION("""COMPUTED_VALUE"""),"8GB")</f>
        <v>8GB</v>
      </c>
      <c r="I1047" s="2" t="str">
        <f ca="1">IFERROR(__xludf.DUMMYFUNCTION("""COMPUTED_VALUE"""),"256GB SSD +  500GB HDD")</f>
        <v>256GB SSD +  500GB HDD</v>
      </c>
      <c r="J1047" s="2" t="str">
        <f ca="1">IFERROR(__xludf.DUMMYFUNCTION("""COMPUTED_VALUE"""),"Intel HD Graphics 520")</f>
        <v>Intel HD Graphics 520</v>
      </c>
      <c r="K1047" s="2" t="str">
        <f ca="1">IFERROR(__xludf.DUMMYFUNCTION("""COMPUTED_VALUE"""),"Windows 10")</f>
        <v>Windows 10</v>
      </c>
      <c r="L1047" s="2" t="str">
        <f ca="1">IFERROR(__xludf.DUMMYFUNCTION("""COMPUTED_VALUE"""),"1.84kg")</f>
        <v>1.84kg</v>
      </c>
      <c r="M1047" s="2">
        <f ca="1">IFERROR(__xludf.DUMMYFUNCTION("""COMPUTED_VALUE"""),2103.34)</f>
        <v>2103.34</v>
      </c>
    </row>
    <row r="1048" spans="1:13">
      <c r="A1048" s="2">
        <f ca="1">IFERROR(__xludf.DUMMYFUNCTION("""COMPUTED_VALUE"""),1060)</f>
        <v>1060</v>
      </c>
      <c r="B1048" s="2" t="str">
        <f ca="1">IFERROR(__xludf.DUMMYFUNCTION("""COMPUTED_VALUE"""),"HP")</f>
        <v>HP</v>
      </c>
      <c r="C1048" s="2" t="str">
        <f ca="1">IFERROR(__xludf.DUMMYFUNCTION("""COMPUTED_VALUE"""),"EliteBook 1040")</f>
        <v>EliteBook 1040</v>
      </c>
      <c r="D1048" s="2" t="str">
        <f ca="1">IFERROR(__xludf.DUMMYFUNCTION("""COMPUTED_VALUE"""),"Notebook")</f>
        <v>Notebook</v>
      </c>
      <c r="E1048" s="2">
        <f ca="1">IFERROR(__xludf.DUMMYFUNCTION("""COMPUTED_VALUE"""),14)</f>
        <v>14</v>
      </c>
      <c r="F1048" s="2" t="str">
        <f ca="1">IFERROR(__xludf.DUMMYFUNCTION("""COMPUTED_VALUE"""),"Full HD 1920x1080")</f>
        <v>Full HD 1920x1080</v>
      </c>
      <c r="G1048" s="2" t="str">
        <f ca="1">IFERROR(__xludf.DUMMYFUNCTION("""COMPUTED_VALUE"""),"Intel Core i5 6200U 2.3GHz")</f>
        <v>Intel Core i5 6200U 2.3GHz</v>
      </c>
      <c r="H1048" s="2" t="str">
        <f ca="1">IFERROR(__xludf.DUMMYFUNCTION("""COMPUTED_VALUE"""),"8GB")</f>
        <v>8GB</v>
      </c>
      <c r="I1048" s="2" t="str">
        <f ca="1">IFERROR(__xludf.DUMMYFUNCTION("""COMPUTED_VALUE"""),"256GB SSD")</f>
        <v>256GB SSD</v>
      </c>
      <c r="J1048" s="2" t="str">
        <f ca="1">IFERROR(__xludf.DUMMYFUNCTION("""COMPUTED_VALUE"""),"Intel HD Graphics 520")</f>
        <v>Intel HD Graphics 520</v>
      </c>
      <c r="K1048" s="2" t="str">
        <f ca="1">IFERROR(__xludf.DUMMYFUNCTION("""COMPUTED_VALUE"""),"Windows 7")</f>
        <v>Windows 7</v>
      </c>
      <c r="L1048" s="2" t="str">
        <f ca="1">IFERROR(__xludf.DUMMYFUNCTION("""COMPUTED_VALUE"""),"1.43kg")</f>
        <v>1.43kg</v>
      </c>
      <c r="M1048" s="2">
        <f ca="1">IFERROR(__xludf.DUMMYFUNCTION("""COMPUTED_VALUE"""),1469)</f>
        <v>1469</v>
      </c>
    </row>
    <row r="1049" spans="1:13">
      <c r="A1049" s="2">
        <f ca="1">IFERROR(__xludf.DUMMYFUNCTION("""COMPUTED_VALUE"""),1061)</f>
        <v>1061</v>
      </c>
      <c r="B1049" s="2" t="str">
        <f ca="1">IFERROR(__xludf.DUMMYFUNCTION("""COMPUTED_VALUE"""),"MSI")</f>
        <v>MSI</v>
      </c>
      <c r="C1049" s="2" t="str">
        <f ca="1">IFERROR(__xludf.DUMMYFUNCTION("""COMPUTED_VALUE"""),"GT72S Dominator")</f>
        <v>GT72S Dominator</v>
      </c>
      <c r="D1049" s="2" t="str">
        <f ca="1">IFERROR(__xludf.DUMMYFUNCTION("""COMPUTED_VALUE"""),"Gaming")</f>
        <v>Gaming</v>
      </c>
      <c r="E1049" s="2">
        <f ca="1">IFERROR(__xludf.DUMMYFUNCTION("""COMPUTED_VALUE"""),17.3)</f>
        <v>17.3</v>
      </c>
      <c r="F1049" s="2" t="str">
        <f ca="1">IFERROR(__xludf.DUMMYFUNCTION("""COMPUTED_VALUE"""),"IPS Panel Full HD 1920x1080")</f>
        <v>IPS Panel Full HD 1920x1080</v>
      </c>
      <c r="G1049" s="2" t="str">
        <f ca="1">IFERROR(__xludf.DUMMYFUNCTION("""COMPUTED_VALUE"""),"Intel Core i7 6820HK 2.7GHz")</f>
        <v>Intel Core i7 6820HK 2.7GHz</v>
      </c>
      <c r="H1049" s="2" t="str">
        <f ca="1">IFERROR(__xludf.DUMMYFUNCTION("""COMPUTED_VALUE"""),"16GB")</f>
        <v>16GB</v>
      </c>
      <c r="I1049" s="2" t="str">
        <f ca="1">IFERROR(__xludf.DUMMYFUNCTION("""COMPUTED_VALUE"""),"256GB SSD +  1TB HDD")</f>
        <v>256GB SSD +  1TB HDD</v>
      </c>
      <c r="J1049" s="2" t="str">
        <f ca="1">IFERROR(__xludf.DUMMYFUNCTION("""COMPUTED_VALUE"""),"Nvidia GeForce GTX 980M")</f>
        <v>Nvidia GeForce GTX 980M</v>
      </c>
      <c r="K1049" s="2" t="str">
        <f ca="1">IFERROR(__xludf.DUMMYFUNCTION("""COMPUTED_VALUE"""),"Windows 10")</f>
        <v>Windows 10</v>
      </c>
      <c r="L1049" s="2" t="str">
        <f ca="1">IFERROR(__xludf.DUMMYFUNCTION("""COMPUTED_VALUE"""),"3.78kg")</f>
        <v>3.78kg</v>
      </c>
      <c r="M1049" s="2">
        <f ca="1">IFERROR(__xludf.DUMMYFUNCTION("""COMPUTED_VALUE"""),1545.64)</f>
        <v>1545.64</v>
      </c>
    </row>
    <row r="1050" spans="1:13">
      <c r="A1050" s="2">
        <f ca="1">IFERROR(__xludf.DUMMYFUNCTION("""COMPUTED_VALUE"""),1062)</f>
        <v>1062</v>
      </c>
      <c r="B1050" s="2" t="str">
        <f ca="1">IFERROR(__xludf.DUMMYFUNCTION("""COMPUTED_VALUE"""),"Lenovo")</f>
        <v>Lenovo</v>
      </c>
      <c r="C1050" s="2" t="str">
        <f ca="1">IFERROR(__xludf.DUMMYFUNCTION("""COMPUTED_VALUE"""),"IdeaPad Y900-17ISK")</f>
        <v>IdeaPad Y900-17ISK</v>
      </c>
      <c r="D1050" s="2" t="str">
        <f ca="1">IFERROR(__xludf.DUMMYFUNCTION("""COMPUTED_VALUE"""),"Gaming")</f>
        <v>Gaming</v>
      </c>
      <c r="E1050" s="2">
        <f ca="1">IFERROR(__xludf.DUMMYFUNCTION("""COMPUTED_VALUE"""),17.3)</f>
        <v>17.3</v>
      </c>
      <c r="F1050" s="2" t="str">
        <f ca="1">IFERROR(__xludf.DUMMYFUNCTION("""COMPUTED_VALUE"""),"IPS Panel Full HD 1920x1080")</f>
        <v>IPS Panel Full HD 1920x1080</v>
      </c>
      <c r="G1050" s="2" t="str">
        <f ca="1">IFERROR(__xludf.DUMMYFUNCTION("""COMPUTED_VALUE"""),"Intel Core i7 6700HQ 2.6GHz")</f>
        <v>Intel Core i7 6700HQ 2.6GHz</v>
      </c>
      <c r="H1050" s="2" t="str">
        <f ca="1">IFERROR(__xludf.DUMMYFUNCTION("""COMPUTED_VALUE"""),"16GB")</f>
        <v>16GB</v>
      </c>
      <c r="I1050" s="2" t="str">
        <f ca="1">IFERROR(__xludf.DUMMYFUNCTION("""COMPUTED_VALUE"""),"128GB SSD +  1TB HDD")</f>
        <v>128GB SSD +  1TB HDD</v>
      </c>
      <c r="J1050" s="2" t="str">
        <f ca="1">IFERROR(__xludf.DUMMYFUNCTION("""COMPUTED_VALUE"""),"Nvidia GeForce GTX 980M")</f>
        <v>Nvidia GeForce GTX 980M</v>
      </c>
      <c r="K1050" s="2" t="str">
        <f ca="1">IFERROR(__xludf.DUMMYFUNCTION("""COMPUTED_VALUE"""),"Windows 10")</f>
        <v>Windows 10</v>
      </c>
      <c r="L1050" s="2" t="str">
        <f ca="1">IFERROR(__xludf.DUMMYFUNCTION("""COMPUTED_VALUE"""),"4.6kg")</f>
        <v>4.6kg</v>
      </c>
      <c r="M1050" s="2">
        <f ca="1">IFERROR(__xludf.DUMMYFUNCTION("""COMPUTED_VALUE"""),2289.99)</f>
        <v>2289.9899999999998</v>
      </c>
    </row>
    <row r="1051" spans="1:13">
      <c r="A1051" s="2">
        <f ca="1">IFERROR(__xludf.DUMMYFUNCTION("""COMPUTED_VALUE"""),1063)</f>
        <v>1063</v>
      </c>
      <c r="B1051" s="2" t="str">
        <f ca="1">IFERROR(__xludf.DUMMYFUNCTION("""COMPUTED_VALUE"""),"Asus")</f>
        <v>Asus</v>
      </c>
      <c r="C1051" s="2" t="str">
        <f ca="1">IFERROR(__xludf.DUMMYFUNCTION("""COMPUTED_VALUE"""),"Chromebook C202SA")</f>
        <v>Chromebook C202SA</v>
      </c>
      <c r="D1051" s="2" t="str">
        <f ca="1">IFERROR(__xludf.DUMMYFUNCTION("""COMPUTED_VALUE"""),"Netbook")</f>
        <v>Netbook</v>
      </c>
      <c r="E1051" s="2">
        <f ca="1">IFERROR(__xludf.DUMMYFUNCTION("""COMPUTED_VALUE"""),11.6)</f>
        <v>11.6</v>
      </c>
      <c r="F1051" s="2" t="str">
        <f ca="1">IFERROR(__xludf.DUMMYFUNCTION("""COMPUTED_VALUE"""),"1366x768")</f>
        <v>1366x768</v>
      </c>
      <c r="G1051" s="2" t="str">
        <f ca="1">IFERROR(__xludf.DUMMYFUNCTION("""COMPUTED_VALUE"""),"Intel Celeron Dual Core N3060 1.6GHz")</f>
        <v>Intel Celeron Dual Core N3060 1.6GHz</v>
      </c>
      <c r="H1051" s="2" t="str">
        <f ca="1">IFERROR(__xludf.DUMMYFUNCTION("""COMPUTED_VALUE"""),"4GB")</f>
        <v>4GB</v>
      </c>
      <c r="I1051" s="2" t="str">
        <f ca="1">IFERROR(__xludf.DUMMYFUNCTION("""COMPUTED_VALUE"""),"16GB Flash Storage")</f>
        <v>16GB Flash Storage</v>
      </c>
      <c r="J1051" s="2" t="str">
        <f ca="1">IFERROR(__xludf.DUMMYFUNCTION("""COMPUTED_VALUE"""),"Intel HD Graphics 400")</f>
        <v>Intel HD Graphics 400</v>
      </c>
      <c r="K1051" s="2" t="str">
        <f ca="1">IFERROR(__xludf.DUMMYFUNCTION("""COMPUTED_VALUE"""),"Chrome OS")</f>
        <v>Chrome OS</v>
      </c>
      <c r="L1051" s="2" t="str">
        <f ca="1">IFERROR(__xludf.DUMMYFUNCTION("""COMPUTED_VALUE"""),"1.2kg")</f>
        <v>1.2kg</v>
      </c>
      <c r="M1051" s="2">
        <f ca="1">IFERROR(__xludf.DUMMYFUNCTION("""COMPUTED_VALUE"""),287.9)</f>
        <v>287.89999999999998</v>
      </c>
    </row>
    <row r="1052" spans="1:13">
      <c r="A1052" s="2">
        <f ca="1">IFERROR(__xludf.DUMMYFUNCTION("""COMPUTED_VALUE"""),1064)</f>
        <v>1064</v>
      </c>
      <c r="B1052" s="2" t="str">
        <f ca="1">IFERROR(__xludf.DUMMYFUNCTION("""COMPUTED_VALUE"""),"Lenovo")</f>
        <v>Lenovo</v>
      </c>
      <c r="C1052" s="2" t="str">
        <f ca="1">IFERROR(__xludf.DUMMYFUNCTION("""COMPUTED_VALUE"""),"ThinkPad X1")</f>
        <v>ThinkPad X1</v>
      </c>
      <c r="D1052" s="2" t="str">
        <f ca="1">IFERROR(__xludf.DUMMYFUNCTION("""COMPUTED_VALUE"""),"Notebook")</f>
        <v>Notebook</v>
      </c>
      <c r="E1052" s="2">
        <f ca="1">IFERROR(__xludf.DUMMYFUNCTION("""COMPUTED_VALUE"""),14)</f>
        <v>14</v>
      </c>
      <c r="F1052" s="2" t="str">
        <f ca="1">IFERROR(__xludf.DUMMYFUNCTION("""COMPUTED_VALUE"""),"IPS Panel 2560x1440")</f>
        <v>IPS Panel 2560x1440</v>
      </c>
      <c r="G1052" s="2" t="str">
        <f ca="1">IFERROR(__xludf.DUMMYFUNCTION("""COMPUTED_VALUE"""),"Intel Core i7 6600U 2.6GHz")</f>
        <v>Intel Core i7 6600U 2.6GHz</v>
      </c>
      <c r="H1052" s="2" t="str">
        <f ca="1">IFERROR(__xludf.DUMMYFUNCTION("""COMPUTED_VALUE"""),"16GB")</f>
        <v>16GB</v>
      </c>
      <c r="I1052" s="2" t="str">
        <f ca="1">IFERROR(__xludf.DUMMYFUNCTION("""COMPUTED_VALUE"""),"256GB SSD")</f>
        <v>256GB SSD</v>
      </c>
      <c r="J1052" s="2" t="str">
        <f ca="1">IFERROR(__xludf.DUMMYFUNCTION("""COMPUTED_VALUE"""),"Intel HD Graphics 520")</f>
        <v>Intel HD Graphics 520</v>
      </c>
      <c r="K1052" s="2" t="str">
        <f ca="1">IFERROR(__xludf.DUMMYFUNCTION("""COMPUTED_VALUE"""),"Windows 7")</f>
        <v>Windows 7</v>
      </c>
      <c r="L1052" s="2" t="str">
        <f ca="1">IFERROR(__xludf.DUMMYFUNCTION("""COMPUTED_VALUE"""),"1.1kg")</f>
        <v>1.1kg</v>
      </c>
      <c r="M1052" s="2">
        <f ca="1">IFERROR(__xludf.DUMMYFUNCTION("""COMPUTED_VALUE"""),2620)</f>
        <v>2620</v>
      </c>
    </row>
    <row r="1053" spans="1:13">
      <c r="A1053" s="2">
        <f ca="1">IFERROR(__xludf.DUMMYFUNCTION("""COMPUTED_VALUE"""),1065)</f>
        <v>1065</v>
      </c>
      <c r="B1053" s="2" t="str">
        <f ca="1">IFERROR(__xludf.DUMMYFUNCTION("""COMPUTED_VALUE"""),"HP")</f>
        <v>HP</v>
      </c>
      <c r="C1053" s="2" t="str">
        <f ca="1">IFERROR(__xludf.DUMMYFUNCTION("""COMPUTED_VALUE"""),"Noteb Pav")</f>
        <v>Noteb Pav</v>
      </c>
      <c r="D1053" s="2" t="str">
        <f ca="1">IFERROR(__xludf.DUMMYFUNCTION("""COMPUTED_VALUE"""),"Notebook")</f>
        <v>Notebook</v>
      </c>
      <c r="E1053" s="2">
        <f ca="1">IFERROR(__xludf.DUMMYFUNCTION("""COMPUTED_VALUE"""),15.6)</f>
        <v>15.6</v>
      </c>
      <c r="F1053" s="2" t="str">
        <f ca="1">IFERROR(__xludf.DUMMYFUNCTION("""COMPUTED_VALUE"""),"IPS Panel Full HD 1920x1080")</f>
        <v>IPS Panel Full HD 1920x1080</v>
      </c>
      <c r="G1053" s="2" t="str">
        <f ca="1">IFERROR(__xludf.DUMMYFUNCTION("""COMPUTED_VALUE"""),"Intel Core i7 7500U 2.7GHz")</f>
        <v>Intel Core i7 7500U 2.7GHz</v>
      </c>
      <c r="H1053" s="2" t="str">
        <f ca="1">IFERROR(__xludf.DUMMYFUNCTION("""COMPUTED_VALUE"""),"8GB")</f>
        <v>8GB</v>
      </c>
      <c r="I1053" s="2" t="str">
        <f ca="1">IFERROR(__xludf.DUMMYFUNCTION("""COMPUTED_VALUE"""),"1TB HDD")</f>
        <v>1TB HDD</v>
      </c>
      <c r="J1053" s="2" t="str">
        <f ca="1">IFERROR(__xludf.DUMMYFUNCTION("""COMPUTED_VALUE"""),"Nvidia GeForce 940MX")</f>
        <v>Nvidia GeForce 940MX</v>
      </c>
      <c r="K1053" s="2" t="str">
        <f ca="1">IFERROR(__xludf.DUMMYFUNCTION("""COMPUTED_VALUE"""),"Windows 10")</f>
        <v>Windows 10</v>
      </c>
      <c r="L1053" s="2" t="str">
        <f ca="1">IFERROR(__xludf.DUMMYFUNCTION("""COMPUTED_VALUE"""),"1.91kg")</f>
        <v>1.91kg</v>
      </c>
      <c r="M1053" s="2">
        <f ca="1">IFERROR(__xludf.DUMMYFUNCTION("""COMPUTED_VALUE"""),979)</f>
        <v>979</v>
      </c>
    </row>
    <row r="1054" spans="1:13">
      <c r="A1054" s="2">
        <f ca="1">IFERROR(__xludf.DUMMYFUNCTION("""COMPUTED_VALUE"""),1066)</f>
        <v>1066</v>
      </c>
      <c r="B1054" s="2" t="str">
        <f ca="1">IFERROR(__xludf.DUMMYFUNCTION("""COMPUTED_VALUE"""),"Dell")</f>
        <v>Dell</v>
      </c>
      <c r="C1054" s="2" t="str">
        <f ca="1">IFERROR(__xludf.DUMMYFUNCTION("""COMPUTED_VALUE"""),"Inspiron 5578")</f>
        <v>Inspiron 5578</v>
      </c>
      <c r="D1054" s="2" t="str">
        <f ca="1">IFERROR(__xludf.DUMMYFUNCTION("""COMPUTED_VALUE"""),"2 in 1 Convertible")</f>
        <v>2 in 1 Convertible</v>
      </c>
      <c r="E1054" s="2">
        <f ca="1">IFERROR(__xludf.DUMMYFUNCTION("""COMPUTED_VALUE"""),15.6)</f>
        <v>15.6</v>
      </c>
      <c r="F1054" s="2" t="str">
        <f ca="1">IFERROR(__xludf.DUMMYFUNCTION("""COMPUTED_VALUE"""),"IPS Panel Full HD / Touchscreen 1920x1080")</f>
        <v>IPS Panel Full HD / Touchscreen 1920x1080</v>
      </c>
      <c r="G1054" s="2" t="str">
        <f ca="1">IFERROR(__xludf.DUMMYFUNCTION("""COMPUTED_VALUE"""),"Intel Core i5 7200U 2.7GHz")</f>
        <v>Intel Core i5 7200U 2.7GHz</v>
      </c>
      <c r="H1054" s="2" t="str">
        <f ca="1">IFERROR(__xludf.DUMMYFUNCTION("""COMPUTED_VALUE"""),"8GB")</f>
        <v>8GB</v>
      </c>
      <c r="I1054" s="2" t="str">
        <f ca="1">IFERROR(__xludf.DUMMYFUNCTION("""COMPUTED_VALUE"""),"256GB SSD")</f>
        <v>256GB SSD</v>
      </c>
      <c r="J1054" s="2" t="str">
        <f ca="1">IFERROR(__xludf.DUMMYFUNCTION("""COMPUTED_VALUE"""),"Intel HD Graphics 620")</f>
        <v>Intel HD Graphics 620</v>
      </c>
      <c r="K1054" s="2" t="str">
        <f ca="1">IFERROR(__xludf.DUMMYFUNCTION("""COMPUTED_VALUE"""),"Windows 10")</f>
        <v>Windows 10</v>
      </c>
      <c r="L1054" s="2" t="str">
        <f ca="1">IFERROR(__xludf.DUMMYFUNCTION("""COMPUTED_VALUE"""),"2.3kg")</f>
        <v>2.3kg</v>
      </c>
      <c r="M1054" s="2">
        <f ca="1">IFERROR(__xludf.DUMMYFUNCTION("""COMPUTED_VALUE"""),1094)</f>
        <v>1094</v>
      </c>
    </row>
    <row r="1055" spans="1:13">
      <c r="A1055" s="2">
        <f ca="1">IFERROR(__xludf.DUMMYFUNCTION("""COMPUTED_VALUE"""),1067)</f>
        <v>1067</v>
      </c>
      <c r="B1055" s="2" t="str">
        <f ca="1">IFERROR(__xludf.DUMMYFUNCTION("""COMPUTED_VALUE"""),"HP")</f>
        <v>HP</v>
      </c>
      <c r="C1055" s="2" t="str">
        <f ca="1">IFERROR(__xludf.DUMMYFUNCTION("""COMPUTED_VALUE"""),"ProBook 450")</f>
        <v>ProBook 450</v>
      </c>
      <c r="D1055" s="2" t="str">
        <f ca="1">IFERROR(__xludf.DUMMYFUNCTION("""COMPUTED_VALUE"""),"Notebook")</f>
        <v>Notebook</v>
      </c>
      <c r="E1055" s="2">
        <f ca="1">IFERROR(__xludf.DUMMYFUNCTION("""COMPUTED_VALUE"""),15.6)</f>
        <v>15.6</v>
      </c>
      <c r="F1055" s="2" t="str">
        <f ca="1">IFERROR(__xludf.DUMMYFUNCTION("""COMPUTED_VALUE"""),"1366x768")</f>
        <v>1366x768</v>
      </c>
      <c r="G1055" s="2" t="str">
        <f ca="1">IFERROR(__xludf.DUMMYFUNCTION("""COMPUTED_VALUE"""),"Intel Core i5 7200U 2.5GHz")</f>
        <v>Intel Core i5 7200U 2.5GHz</v>
      </c>
      <c r="H1055" s="2" t="str">
        <f ca="1">IFERROR(__xludf.DUMMYFUNCTION("""COMPUTED_VALUE"""),"4GB")</f>
        <v>4GB</v>
      </c>
      <c r="I1055" s="2" t="str">
        <f ca="1">IFERROR(__xludf.DUMMYFUNCTION("""COMPUTED_VALUE"""),"256GB SSD")</f>
        <v>256GB SSD</v>
      </c>
      <c r="J1055" s="2" t="str">
        <f ca="1">IFERROR(__xludf.DUMMYFUNCTION("""COMPUTED_VALUE"""),"Intel HD Graphics 620")</f>
        <v>Intel HD Graphics 620</v>
      </c>
      <c r="K1055" s="2" t="str">
        <f ca="1">IFERROR(__xludf.DUMMYFUNCTION("""COMPUTED_VALUE"""),"Windows 10")</f>
        <v>Windows 10</v>
      </c>
      <c r="L1055" s="2" t="str">
        <f ca="1">IFERROR(__xludf.DUMMYFUNCTION("""COMPUTED_VALUE"""),"2.04kg")</f>
        <v>2.04kg</v>
      </c>
      <c r="M1055" s="2">
        <f ca="1">IFERROR(__xludf.DUMMYFUNCTION("""COMPUTED_VALUE"""),979)</f>
        <v>979</v>
      </c>
    </row>
    <row r="1056" spans="1:13">
      <c r="A1056" s="2">
        <f ca="1">IFERROR(__xludf.DUMMYFUNCTION("""COMPUTED_VALUE"""),1068)</f>
        <v>1068</v>
      </c>
      <c r="B1056" s="2" t="str">
        <f ca="1">IFERROR(__xludf.DUMMYFUNCTION("""COMPUTED_VALUE"""),"Dell")</f>
        <v>Dell</v>
      </c>
      <c r="C1056" s="2" t="str">
        <f ca="1">IFERROR(__xludf.DUMMYFUNCTION("""COMPUTED_VALUE"""),"XPS 13")</f>
        <v>XPS 13</v>
      </c>
      <c r="D1056" s="2" t="str">
        <f ca="1">IFERROR(__xludf.DUMMYFUNCTION("""COMPUTED_VALUE"""),"Ultrabook")</f>
        <v>Ultrabook</v>
      </c>
      <c r="E1056" s="2">
        <f ca="1">IFERROR(__xludf.DUMMYFUNCTION("""COMPUTED_VALUE"""),13.3)</f>
        <v>13.3</v>
      </c>
      <c r="F1056" s="2" t="str">
        <f ca="1">IFERROR(__xludf.DUMMYFUNCTION("""COMPUTED_VALUE"""),"Quad HD+ / Touchscreen 3200x1800")</f>
        <v>Quad HD+ / Touchscreen 3200x1800</v>
      </c>
      <c r="G1056" s="2" t="str">
        <f ca="1">IFERROR(__xludf.DUMMYFUNCTION("""COMPUTED_VALUE"""),"Intel Core i7 7500U 2.7GHz")</f>
        <v>Intel Core i7 7500U 2.7GHz</v>
      </c>
      <c r="H1056" s="2" t="str">
        <f ca="1">IFERROR(__xludf.DUMMYFUNCTION("""COMPUTED_VALUE"""),"16GB")</f>
        <v>16GB</v>
      </c>
      <c r="I1056" s="2" t="str">
        <f ca="1">IFERROR(__xludf.DUMMYFUNCTION("""COMPUTED_VALUE"""),"1TB SSD")</f>
        <v>1TB SSD</v>
      </c>
      <c r="J1056" s="2" t="str">
        <f ca="1">IFERROR(__xludf.DUMMYFUNCTION("""COMPUTED_VALUE"""),"Intel HD Graphics 620")</f>
        <v>Intel HD Graphics 620</v>
      </c>
      <c r="K1056" s="2" t="str">
        <f ca="1">IFERROR(__xludf.DUMMYFUNCTION("""COMPUTED_VALUE"""),"Windows 10")</f>
        <v>Windows 10</v>
      </c>
      <c r="L1056" s="2" t="str">
        <f ca="1">IFERROR(__xludf.DUMMYFUNCTION("""COMPUTED_VALUE"""),"1.2kg")</f>
        <v>1.2kg</v>
      </c>
      <c r="M1056" s="2">
        <f ca="1">IFERROR(__xludf.DUMMYFUNCTION("""COMPUTED_VALUE"""),2254)</f>
        <v>2254</v>
      </c>
    </row>
    <row r="1057" spans="1:13">
      <c r="A1057" s="2">
        <f ca="1">IFERROR(__xludf.DUMMYFUNCTION("""COMPUTED_VALUE"""),1069)</f>
        <v>1069</v>
      </c>
      <c r="B1057" s="2" t="str">
        <f ca="1">IFERROR(__xludf.DUMMYFUNCTION("""COMPUTED_VALUE"""),"HP")</f>
        <v>HP</v>
      </c>
      <c r="C1057" s="2" t="str">
        <f ca="1">IFERROR(__xludf.DUMMYFUNCTION("""COMPUTED_VALUE"""),"ProBook 650")</f>
        <v>ProBook 650</v>
      </c>
      <c r="D1057" s="2" t="str">
        <f ca="1">IFERROR(__xludf.DUMMYFUNCTION("""COMPUTED_VALUE"""),"Notebook")</f>
        <v>Notebook</v>
      </c>
      <c r="E1057" s="2">
        <f ca="1">IFERROR(__xludf.DUMMYFUNCTION("""COMPUTED_VALUE"""),15.6)</f>
        <v>15.6</v>
      </c>
      <c r="F1057" s="2" t="str">
        <f ca="1">IFERROR(__xludf.DUMMYFUNCTION("""COMPUTED_VALUE"""),"1366x768")</f>
        <v>1366x768</v>
      </c>
      <c r="G1057" s="2" t="str">
        <f ca="1">IFERROR(__xludf.DUMMYFUNCTION("""COMPUTED_VALUE"""),"Intel Core i3 6100U 2.3GHz")</f>
        <v>Intel Core i3 6100U 2.3GHz</v>
      </c>
      <c r="H1057" s="2" t="str">
        <f ca="1">IFERROR(__xludf.DUMMYFUNCTION("""COMPUTED_VALUE"""),"4GB")</f>
        <v>4GB</v>
      </c>
      <c r="I1057" s="2" t="str">
        <f ca="1">IFERROR(__xludf.DUMMYFUNCTION("""COMPUTED_VALUE"""),"500GB HDD")</f>
        <v>500GB HDD</v>
      </c>
      <c r="J1057" s="2" t="str">
        <f ca="1">IFERROR(__xludf.DUMMYFUNCTION("""COMPUTED_VALUE"""),"Intel HD Graphics 520")</f>
        <v>Intel HD Graphics 520</v>
      </c>
      <c r="K1057" s="2" t="str">
        <f ca="1">IFERROR(__xludf.DUMMYFUNCTION("""COMPUTED_VALUE"""),"Windows 10")</f>
        <v>Windows 10</v>
      </c>
      <c r="L1057" s="2" t="str">
        <f ca="1">IFERROR(__xludf.DUMMYFUNCTION("""COMPUTED_VALUE"""),"2.31kg")</f>
        <v>2.31kg</v>
      </c>
      <c r="M1057" s="2">
        <f ca="1">IFERROR(__xludf.DUMMYFUNCTION("""COMPUTED_VALUE"""),705.15)</f>
        <v>705.15</v>
      </c>
    </row>
    <row r="1058" spans="1:13">
      <c r="A1058" s="2">
        <f ca="1">IFERROR(__xludf.DUMMYFUNCTION("""COMPUTED_VALUE"""),1070)</f>
        <v>1070</v>
      </c>
      <c r="B1058" s="2" t="str">
        <f ca="1">IFERROR(__xludf.DUMMYFUNCTION("""COMPUTED_VALUE"""),"HP")</f>
        <v>HP</v>
      </c>
      <c r="C1058" s="2" t="str">
        <f ca="1">IFERROR(__xludf.DUMMYFUNCTION("""COMPUTED_VALUE"""),"250 G5")</f>
        <v>250 G5</v>
      </c>
      <c r="D1058" s="2" t="str">
        <f ca="1">IFERROR(__xludf.DUMMYFUNCTION("""COMPUTED_VALUE"""),"Notebook")</f>
        <v>Notebook</v>
      </c>
      <c r="E1058" s="2">
        <f ca="1">IFERROR(__xludf.DUMMYFUNCTION("""COMPUTED_VALUE"""),15.6)</f>
        <v>15.6</v>
      </c>
      <c r="F1058" s="2" t="str">
        <f ca="1">IFERROR(__xludf.DUMMYFUNCTION("""COMPUTED_VALUE"""),"1366x768")</f>
        <v>1366x768</v>
      </c>
      <c r="G1058" s="2" t="str">
        <f ca="1">IFERROR(__xludf.DUMMYFUNCTION("""COMPUTED_VALUE"""),"Intel Core i5 7200U 2.5GHz")</f>
        <v>Intel Core i5 7200U 2.5GHz</v>
      </c>
      <c r="H1058" s="2" t="str">
        <f ca="1">IFERROR(__xludf.DUMMYFUNCTION("""COMPUTED_VALUE"""),"4GB")</f>
        <v>4GB</v>
      </c>
      <c r="I1058" s="2" t="str">
        <f ca="1">IFERROR(__xludf.DUMMYFUNCTION("""COMPUTED_VALUE"""),"500GB HDD")</f>
        <v>500GB HDD</v>
      </c>
      <c r="J1058" s="2" t="str">
        <f ca="1">IFERROR(__xludf.DUMMYFUNCTION("""COMPUTED_VALUE"""),"Intel HD Graphics 620")</f>
        <v>Intel HD Graphics 620</v>
      </c>
      <c r="K1058" s="2" t="str">
        <f ca="1">IFERROR(__xludf.DUMMYFUNCTION("""COMPUTED_VALUE"""),"No OS")</f>
        <v>No OS</v>
      </c>
      <c r="L1058" s="2" t="str">
        <f ca="1">IFERROR(__xludf.DUMMYFUNCTION("""COMPUTED_VALUE"""),"1.96kg")</f>
        <v>1.96kg</v>
      </c>
      <c r="M1058" s="2">
        <f ca="1">IFERROR(__xludf.DUMMYFUNCTION("""COMPUTED_VALUE"""),499)</f>
        <v>499</v>
      </c>
    </row>
    <row r="1059" spans="1:13">
      <c r="A1059" s="2">
        <f ca="1">IFERROR(__xludf.DUMMYFUNCTION("""COMPUTED_VALUE"""),1071)</f>
        <v>1071</v>
      </c>
      <c r="B1059" s="2" t="str">
        <f ca="1">IFERROR(__xludf.DUMMYFUNCTION("""COMPUTED_VALUE"""),"Acer")</f>
        <v>Acer</v>
      </c>
      <c r="C1059" s="2" t="str">
        <f ca="1">IFERROR(__xludf.DUMMYFUNCTION("""COMPUTED_VALUE"""),"Aspire ES1-523")</f>
        <v>Aspire ES1-523</v>
      </c>
      <c r="D1059" s="2" t="str">
        <f ca="1">IFERROR(__xludf.DUMMYFUNCTION("""COMPUTED_VALUE"""),"Notebook")</f>
        <v>Notebook</v>
      </c>
      <c r="E1059" s="2">
        <f ca="1">IFERROR(__xludf.DUMMYFUNCTION("""COMPUTED_VALUE"""),15.6)</f>
        <v>15.6</v>
      </c>
      <c r="F1059" s="2" t="str">
        <f ca="1">IFERROR(__xludf.DUMMYFUNCTION("""COMPUTED_VALUE"""),"1366x768")</f>
        <v>1366x768</v>
      </c>
      <c r="G1059" s="2" t="str">
        <f ca="1">IFERROR(__xludf.DUMMYFUNCTION("""COMPUTED_VALUE"""),"AMD A8-Series 7410 2.2GHz")</f>
        <v>AMD A8-Series 7410 2.2GHz</v>
      </c>
      <c r="H1059" s="2" t="str">
        <f ca="1">IFERROR(__xludf.DUMMYFUNCTION("""COMPUTED_VALUE"""),"8GB")</f>
        <v>8GB</v>
      </c>
      <c r="I1059" s="2" t="str">
        <f ca="1">IFERROR(__xludf.DUMMYFUNCTION("""COMPUTED_VALUE"""),"1TB HDD")</f>
        <v>1TB HDD</v>
      </c>
      <c r="J1059" s="2" t="str">
        <f ca="1">IFERROR(__xludf.DUMMYFUNCTION("""COMPUTED_VALUE"""),"AMD Radeon R5")</f>
        <v>AMD Radeon R5</v>
      </c>
      <c r="K1059" s="2" t="str">
        <f ca="1">IFERROR(__xludf.DUMMYFUNCTION("""COMPUTED_VALUE"""),"Windows 10")</f>
        <v>Windows 10</v>
      </c>
      <c r="L1059" s="2" t="str">
        <f ca="1">IFERROR(__xludf.DUMMYFUNCTION("""COMPUTED_VALUE"""),"2.4kg")</f>
        <v>2.4kg</v>
      </c>
      <c r="M1059" s="2">
        <f ca="1">IFERROR(__xludf.DUMMYFUNCTION("""COMPUTED_VALUE"""),449)</f>
        <v>449</v>
      </c>
    </row>
    <row r="1060" spans="1:13">
      <c r="A1060" s="2">
        <f ca="1">IFERROR(__xludf.DUMMYFUNCTION("""COMPUTED_VALUE"""),1072)</f>
        <v>1072</v>
      </c>
      <c r="B1060" s="2" t="str">
        <f ca="1">IFERROR(__xludf.DUMMYFUNCTION("""COMPUTED_VALUE"""),"Dell")</f>
        <v>Dell</v>
      </c>
      <c r="C1060" s="2" t="str">
        <f ca="1">IFERROR(__xludf.DUMMYFUNCTION("""COMPUTED_VALUE"""),"Inspiron 7378")</f>
        <v>Inspiron 7378</v>
      </c>
      <c r="D1060" s="2" t="str">
        <f ca="1">IFERROR(__xludf.DUMMYFUNCTION("""COMPUTED_VALUE"""),"2 in 1 Convertible")</f>
        <v>2 in 1 Convertible</v>
      </c>
      <c r="E1060" s="2">
        <f ca="1">IFERROR(__xludf.DUMMYFUNCTION("""COMPUTED_VALUE"""),13.3)</f>
        <v>13.3</v>
      </c>
      <c r="F1060" s="2" t="str">
        <f ca="1">IFERROR(__xludf.DUMMYFUNCTION("""COMPUTED_VALUE"""),"IPS Panel Full HD / Touchscreen 1920x1080")</f>
        <v>IPS Panel Full HD / Touchscreen 1920x1080</v>
      </c>
      <c r="G1060" s="2" t="str">
        <f ca="1">IFERROR(__xludf.DUMMYFUNCTION("""COMPUTED_VALUE"""),"Intel Core i7 7500U 2.7GHz")</f>
        <v>Intel Core i7 7500U 2.7GHz</v>
      </c>
      <c r="H1060" s="2" t="str">
        <f ca="1">IFERROR(__xludf.DUMMYFUNCTION("""COMPUTED_VALUE"""),"12GB")</f>
        <v>12GB</v>
      </c>
      <c r="I1060" s="2" t="str">
        <f ca="1">IFERROR(__xludf.DUMMYFUNCTION("""COMPUTED_VALUE"""),"256GB SSD")</f>
        <v>256GB SSD</v>
      </c>
      <c r="J1060" s="2" t="str">
        <f ca="1">IFERROR(__xludf.DUMMYFUNCTION("""COMPUTED_VALUE"""),"Intel HD Graphics 620")</f>
        <v>Intel HD Graphics 620</v>
      </c>
      <c r="K1060" s="2" t="str">
        <f ca="1">IFERROR(__xludf.DUMMYFUNCTION("""COMPUTED_VALUE"""),"Windows 10")</f>
        <v>Windows 10</v>
      </c>
      <c r="L1060" s="2" t="str">
        <f ca="1">IFERROR(__xludf.DUMMYFUNCTION("""COMPUTED_VALUE"""),"1.6kg")</f>
        <v>1.6kg</v>
      </c>
      <c r="M1060" s="2">
        <f ca="1">IFERROR(__xludf.DUMMYFUNCTION("""COMPUTED_VALUE"""),1299)</f>
        <v>1299</v>
      </c>
    </row>
    <row r="1061" spans="1:13">
      <c r="A1061" s="2">
        <f ca="1">IFERROR(__xludf.DUMMYFUNCTION("""COMPUTED_VALUE"""),1073)</f>
        <v>1073</v>
      </c>
      <c r="B1061" s="2" t="str">
        <f ca="1">IFERROR(__xludf.DUMMYFUNCTION("""COMPUTED_VALUE"""),"MSI")</f>
        <v>MSI</v>
      </c>
      <c r="C1061" s="2" t="str">
        <f ca="1">IFERROR(__xludf.DUMMYFUNCTION("""COMPUTED_VALUE"""),"GT62VR 6RD")</f>
        <v>GT62VR 6RD</v>
      </c>
      <c r="D1061" s="2" t="str">
        <f ca="1">IFERROR(__xludf.DUMMYFUNCTION("""COMPUTED_VALUE"""),"Gaming")</f>
        <v>Gaming</v>
      </c>
      <c r="E1061" s="2">
        <f ca="1">IFERROR(__xludf.DUMMYFUNCTION("""COMPUTED_VALUE"""),15.6)</f>
        <v>15.6</v>
      </c>
      <c r="F1061" s="2" t="str">
        <f ca="1">IFERROR(__xludf.DUMMYFUNCTION("""COMPUTED_VALUE"""),"Full HD 1920x1080")</f>
        <v>Full HD 1920x1080</v>
      </c>
      <c r="G1061" s="2" t="str">
        <f ca="1">IFERROR(__xludf.DUMMYFUNCTION("""COMPUTED_VALUE"""),"Intel Core i7 6700HQ 2.6GHz")</f>
        <v>Intel Core i7 6700HQ 2.6GHz</v>
      </c>
      <c r="H1061" s="2" t="str">
        <f ca="1">IFERROR(__xludf.DUMMYFUNCTION("""COMPUTED_VALUE"""),"16GB")</f>
        <v>16GB</v>
      </c>
      <c r="I1061" s="2" t="str">
        <f ca="1">IFERROR(__xludf.DUMMYFUNCTION("""COMPUTED_VALUE"""),"256GB SSD +  1TB HDD")</f>
        <v>256GB SSD +  1TB HDD</v>
      </c>
      <c r="J1061" s="2" t="str">
        <f ca="1">IFERROR(__xludf.DUMMYFUNCTION("""COMPUTED_VALUE"""),"Nvidia GeForce GTX 1060")</f>
        <v>Nvidia GeForce GTX 1060</v>
      </c>
      <c r="K1061" s="2" t="str">
        <f ca="1">IFERROR(__xludf.DUMMYFUNCTION("""COMPUTED_VALUE"""),"Windows 10")</f>
        <v>Windows 10</v>
      </c>
      <c r="L1061" s="2" t="str">
        <f ca="1">IFERROR(__xludf.DUMMYFUNCTION("""COMPUTED_VALUE"""),"2.94kg")</f>
        <v>2.94kg</v>
      </c>
      <c r="M1061" s="2">
        <f ca="1">IFERROR(__xludf.DUMMYFUNCTION("""COMPUTED_VALUE"""),1819)</f>
        <v>1819</v>
      </c>
    </row>
    <row r="1062" spans="1:13">
      <c r="A1062" s="2">
        <f ca="1">IFERROR(__xludf.DUMMYFUNCTION("""COMPUTED_VALUE"""),1074)</f>
        <v>1074</v>
      </c>
      <c r="B1062" s="2" t="str">
        <f ca="1">IFERROR(__xludf.DUMMYFUNCTION("""COMPUTED_VALUE"""),"HP")</f>
        <v>HP</v>
      </c>
      <c r="C1062" s="2" t="str">
        <f ca="1">IFERROR(__xludf.DUMMYFUNCTION("""COMPUTED_VALUE"""),"ProBook 450")</f>
        <v>ProBook 450</v>
      </c>
      <c r="D1062" s="2" t="str">
        <f ca="1">IFERROR(__xludf.DUMMYFUNCTION("""COMPUTED_VALUE"""),"Notebook")</f>
        <v>Notebook</v>
      </c>
      <c r="E1062" s="2">
        <f ca="1">IFERROR(__xludf.DUMMYFUNCTION("""COMPUTED_VALUE"""),15.6)</f>
        <v>15.6</v>
      </c>
      <c r="F1062" s="2" t="str">
        <f ca="1">IFERROR(__xludf.DUMMYFUNCTION("""COMPUTED_VALUE"""),"Full HD 1920x1080")</f>
        <v>Full HD 1920x1080</v>
      </c>
      <c r="G1062" s="2" t="str">
        <f ca="1">IFERROR(__xludf.DUMMYFUNCTION("""COMPUTED_VALUE"""),"Intel Core i7 7500U 2.7GHz")</f>
        <v>Intel Core i7 7500U 2.7GHz</v>
      </c>
      <c r="H1062" s="2" t="str">
        <f ca="1">IFERROR(__xludf.DUMMYFUNCTION("""COMPUTED_VALUE"""),"8GB")</f>
        <v>8GB</v>
      </c>
      <c r="I1062" s="2" t="str">
        <f ca="1">IFERROR(__xludf.DUMMYFUNCTION("""COMPUTED_VALUE"""),"256GB SSD")</f>
        <v>256GB SSD</v>
      </c>
      <c r="J1062" s="2" t="str">
        <f ca="1">IFERROR(__xludf.DUMMYFUNCTION("""COMPUTED_VALUE"""),"Intel HD Graphics 620")</f>
        <v>Intel HD Graphics 620</v>
      </c>
      <c r="K1062" s="2" t="str">
        <f ca="1">IFERROR(__xludf.DUMMYFUNCTION("""COMPUTED_VALUE"""),"Windows 10")</f>
        <v>Windows 10</v>
      </c>
      <c r="L1062" s="2" t="str">
        <f ca="1">IFERROR(__xludf.DUMMYFUNCTION("""COMPUTED_VALUE"""),"2.04kg")</f>
        <v>2.04kg</v>
      </c>
      <c r="M1062" s="2">
        <f ca="1">IFERROR(__xludf.DUMMYFUNCTION("""COMPUTED_VALUE"""),1070)</f>
        <v>1070</v>
      </c>
    </row>
    <row r="1063" spans="1:13">
      <c r="A1063" s="2">
        <f ca="1">IFERROR(__xludf.DUMMYFUNCTION("""COMPUTED_VALUE"""),1075)</f>
        <v>1075</v>
      </c>
      <c r="B1063" s="2" t="str">
        <f ca="1">IFERROR(__xludf.DUMMYFUNCTION("""COMPUTED_VALUE"""),"Asus")</f>
        <v>Asus</v>
      </c>
      <c r="C1063" s="2" t="str">
        <f ca="1">IFERROR(__xludf.DUMMYFUNCTION("""COMPUTED_VALUE"""),"Rog G752VL-GC088D")</f>
        <v>Rog G752VL-GC088D</v>
      </c>
      <c r="D1063" s="2" t="str">
        <f ca="1">IFERROR(__xludf.DUMMYFUNCTION("""COMPUTED_VALUE"""),"Gaming")</f>
        <v>Gaming</v>
      </c>
      <c r="E1063" s="2">
        <f ca="1">IFERROR(__xludf.DUMMYFUNCTION("""COMPUTED_VALUE"""),17.3)</f>
        <v>17.3</v>
      </c>
      <c r="F1063" s="2" t="str">
        <f ca="1">IFERROR(__xludf.DUMMYFUNCTION("""COMPUTED_VALUE"""),"IPS Panel Full HD 1920x1080")</f>
        <v>IPS Panel Full HD 1920x1080</v>
      </c>
      <c r="G1063" s="2" t="str">
        <f ca="1">IFERROR(__xludf.DUMMYFUNCTION("""COMPUTED_VALUE"""),"Intel Core i7 6700HQ 2.6GHz")</f>
        <v>Intel Core i7 6700HQ 2.6GHz</v>
      </c>
      <c r="H1063" s="2" t="str">
        <f ca="1">IFERROR(__xludf.DUMMYFUNCTION("""COMPUTED_VALUE"""),"16GB")</f>
        <v>16GB</v>
      </c>
      <c r="I1063" s="2" t="str">
        <f ca="1">IFERROR(__xludf.DUMMYFUNCTION("""COMPUTED_VALUE"""),"1TB HDD")</f>
        <v>1TB HDD</v>
      </c>
      <c r="J1063" s="2" t="str">
        <f ca="1">IFERROR(__xludf.DUMMYFUNCTION("""COMPUTED_VALUE"""),"Nvidia GeForce GTX 965M")</f>
        <v>Nvidia GeForce GTX 965M</v>
      </c>
      <c r="K1063" s="2" t="str">
        <f ca="1">IFERROR(__xludf.DUMMYFUNCTION("""COMPUTED_VALUE"""),"No OS")</f>
        <v>No OS</v>
      </c>
      <c r="L1063" s="2" t="str">
        <f ca="1">IFERROR(__xludf.DUMMYFUNCTION("""COMPUTED_VALUE"""),"4kg")</f>
        <v>4kg</v>
      </c>
      <c r="M1063" s="2">
        <f ca="1">IFERROR(__xludf.DUMMYFUNCTION("""COMPUTED_VALUE"""),998)</f>
        <v>998</v>
      </c>
    </row>
    <row r="1064" spans="1:13">
      <c r="A1064" s="2">
        <f ca="1">IFERROR(__xludf.DUMMYFUNCTION("""COMPUTED_VALUE"""),1076)</f>
        <v>1076</v>
      </c>
      <c r="B1064" s="2" t="str">
        <f ca="1">IFERROR(__xludf.DUMMYFUNCTION("""COMPUTED_VALUE"""),"Dell")</f>
        <v>Dell</v>
      </c>
      <c r="C1064" s="2" t="str">
        <f ca="1">IFERROR(__xludf.DUMMYFUNCTION("""COMPUTED_VALUE"""),"Inspiron 3567")</f>
        <v>Inspiron 3567</v>
      </c>
      <c r="D1064" s="2" t="str">
        <f ca="1">IFERROR(__xludf.DUMMYFUNCTION("""COMPUTED_VALUE"""),"Notebook")</f>
        <v>Notebook</v>
      </c>
      <c r="E1064" s="2">
        <f ca="1">IFERROR(__xludf.DUMMYFUNCTION("""COMPUTED_VALUE"""),15.6)</f>
        <v>15.6</v>
      </c>
      <c r="F1064" s="2" t="str">
        <f ca="1">IFERROR(__xludf.DUMMYFUNCTION("""COMPUTED_VALUE"""),"Full HD 1920x1080")</f>
        <v>Full HD 1920x1080</v>
      </c>
      <c r="G1064" s="2" t="str">
        <f ca="1">IFERROR(__xludf.DUMMYFUNCTION("""COMPUTED_VALUE"""),"Intel Core i5 7200U 2.5GHz")</f>
        <v>Intel Core i5 7200U 2.5GHz</v>
      </c>
      <c r="H1064" s="2" t="str">
        <f ca="1">IFERROR(__xludf.DUMMYFUNCTION("""COMPUTED_VALUE"""),"4GB")</f>
        <v>4GB</v>
      </c>
      <c r="I1064" s="2" t="str">
        <f ca="1">IFERROR(__xludf.DUMMYFUNCTION("""COMPUTED_VALUE"""),"1TB HDD")</f>
        <v>1TB HDD</v>
      </c>
      <c r="J1064" s="2" t="str">
        <f ca="1">IFERROR(__xludf.DUMMYFUNCTION("""COMPUTED_VALUE"""),"Intel HD Graphics")</f>
        <v>Intel HD Graphics</v>
      </c>
      <c r="K1064" s="2" t="str">
        <f ca="1">IFERROR(__xludf.DUMMYFUNCTION("""COMPUTED_VALUE"""),"Windows 10")</f>
        <v>Windows 10</v>
      </c>
      <c r="L1064" s="2" t="str">
        <f ca="1">IFERROR(__xludf.DUMMYFUNCTION("""COMPUTED_VALUE"""),"2.25kg")</f>
        <v>2.25kg</v>
      </c>
      <c r="M1064" s="2">
        <f ca="1">IFERROR(__xludf.DUMMYFUNCTION("""COMPUTED_VALUE"""),559)</f>
        <v>559</v>
      </c>
    </row>
    <row r="1065" spans="1:13">
      <c r="A1065" s="2">
        <f ca="1">IFERROR(__xludf.DUMMYFUNCTION("""COMPUTED_VALUE"""),1077)</f>
        <v>1077</v>
      </c>
      <c r="B1065" s="2" t="str">
        <f ca="1">IFERROR(__xludf.DUMMYFUNCTION("""COMPUTED_VALUE"""),"Dell")</f>
        <v>Dell</v>
      </c>
      <c r="C1065" s="2" t="str">
        <f ca="1">IFERROR(__xludf.DUMMYFUNCTION("""COMPUTED_VALUE"""),"Inspiron 5567")</f>
        <v>Inspiron 5567</v>
      </c>
      <c r="D1065" s="2" t="str">
        <f ca="1">IFERROR(__xludf.DUMMYFUNCTION("""COMPUTED_VALUE"""),"Notebook")</f>
        <v>Notebook</v>
      </c>
      <c r="E1065" s="2">
        <f ca="1">IFERROR(__xludf.DUMMYFUNCTION("""COMPUTED_VALUE"""),15.6)</f>
        <v>15.6</v>
      </c>
      <c r="F1065" s="2" t="str">
        <f ca="1">IFERROR(__xludf.DUMMYFUNCTION("""COMPUTED_VALUE"""),"Full HD 1920x1080")</f>
        <v>Full HD 1920x1080</v>
      </c>
      <c r="G1065" s="2" t="str">
        <f ca="1">IFERROR(__xludf.DUMMYFUNCTION("""COMPUTED_VALUE"""),"Intel Core i7 7500U 2.7GHz")</f>
        <v>Intel Core i7 7500U 2.7GHz</v>
      </c>
      <c r="H1065" s="2" t="str">
        <f ca="1">IFERROR(__xludf.DUMMYFUNCTION("""COMPUTED_VALUE"""),"16GB")</f>
        <v>16GB</v>
      </c>
      <c r="I1065" s="2" t="str">
        <f ca="1">IFERROR(__xludf.DUMMYFUNCTION("""COMPUTED_VALUE"""),"2TB HDD")</f>
        <v>2TB HDD</v>
      </c>
      <c r="J1065" s="2" t="str">
        <f ca="1">IFERROR(__xludf.DUMMYFUNCTION("""COMPUTED_VALUE"""),"AMD Radeon R7 M445")</f>
        <v>AMD Radeon R7 M445</v>
      </c>
      <c r="K1065" s="2" t="str">
        <f ca="1">IFERROR(__xludf.DUMMYFUNCTION("""COMPUTED_VALUE"""),"Windows 10")</f>
        <v>Windows 10</v>
      </c>
      <c r="L1065" s="2" t="str">
        <f ca="1">IFERROR(__xludf.DUMMYFUNCTION("""COMPUTED_VALUE"""),"2.32kg")</f>
        <v>2.32kg</v>
      </c>
      <c r="M1065" s="2">
        <f ca="1">IFERROR(__xludf.DUMMYFUNCTION("""COMPUTED_VALUE"""),989.99)</f>
        <v>989.99</v>
      </c>
    </row>
    <row r="1066" spans="1:13">
      <c r="A1066" s="2">
        <f ca="1">IFERROR(__xludf.DUMMYFUNCTION("""COMPUTED_VALUE"""),1079)</f>
        <v>1079</v>
      </c>
      <c r="B1066" s="2" t="str">
        <f ca="1">IFERROR(__xludf.DUMMYFUNCTION("""COMPUTED_VALUE"""),"MSI")</f>
        <v>MSI</v>
      </c>
      <c r="C1066" s="2" t="str">
        <f ca="1">IFERROR(__xludf.DUMMYFUNCTION("""COMPUTED_VALUE"""),"GS63VR 6RF")</f>
        <v>GS63VR 6RF</v>
      </c>
      <c r="D1066" s="2" t="str">
        <f ca="1">IFERROR(__xludf.DUMMYFUNCTION("""COMPUTED_VALUE"""),"Gaming")</f>
        <v>Gaming</v>
      </c>
      <c r="E1066" s="2">
        <f ca="1">IFERROR(__xludf.DUMMYFUNCTION("""COMPUTED_VALUE"""),15.6)</f>
        <v>15.6</v>
      </c>
      <c r="F1066" s="2" t="str">
        <f ca="1">IFERROR(__xludf.DUMMYFUNCTION("""COMPUTED_VALUE"""),"Full HD 1920x1080")</f>
        <v>Full HD 1920x1080</v>
      </c>
      <c r="G1066" s="2" t="str">
        <f ca="1">IFERROR(__xludf.DUMMYFUNCTION("""COMPUTED_VALUE"""),"Intel Core i7 6700HQ 2.6GHz")</f>
        <v>Intel Core i7 6700HQ 2.6GHz</v>
      </c>
      <c r="H1066" s="2" t="str">
        <f ca="1">IFERROR(__xludf.DUMMYFUNCTION("""COMPUTED_VALUE"""),"16GB")</f>
        <v>16GB</v>
      </c>
      <c r="I1066" s="2" t="str">
        <f ca="1">IFERROR(__xludf.DUMMYFUNCTION("""COMPUTED_VALUE"""),"256GB SSD +  1TB HDD")</f>
        <v>256GB SSD +  1TB HDD</v>
      </c>
      <c r="J1066" s="2" t="str">
        <f ca="1">IFERROR(__xludf.DUMMYFUNCTION("""COMPUTED_VALUE"""),"Nvidia GeForce GTX 1060")</f>
        <v>Nvidia GeForce GTX 1060</v>
      </c>
      <c r="K1066" s="2" t="str">
        <f ca="1">IFERROR(__xludf.DUMMYFUNCTION("""COMPUTED_VALUE"""),"Windows 10")</f>
        <v>Windows 10</v>
      </c>
      <c r="L1066" s="2" t="str">
        <f ca="1">IFERROR(__xludf.DUMMYFUNCTION("""COMPUTED_VALUE"""),"1.8kg")</f>
        <v>1.8kg</v>
      </c>
      <c r="M1066" s="2">
        <f ca="1">IFERROR(__xludf.DUMMYFUNCTION("""COMPUTED_VALUE"""),1929)</f>
        <v>1929</v>
      </c>
    </row>
    <row r="1067" spans="1:13">
      <c r="A1067" s="2">
        <f ca="1">IFERROR(__xludf.DUMMYFUNCTION("""COMPUTED_VALUE"""),1080)</f>
        <v>1080</v>
      </c>
      <c r="B1067" s="2" t="str">
        <f ca="1">IFERROR(__xludf.DUMMYFUNCTION("""COMPUTED_VALUE"""),"Dell")</f>
        <v>Dell</v>
      </c>
      <c r="C1067" s="2" t="str">
        <f ca="1">IFERROR(__xludf.DUMMYFUNCTION("""COMPUTED_VALUE"""),"XPS 13")</f>
        <v>XPS 13</v>
      </c>
      <c r="D1067" s="2" t="str">
        <f ca="1">IFERROR(__xludf.DUMMYFUNCTION("""COMPUTED_VALUE"""),"Ultrabook")</f>
        <v>Ultrabook</v>
      </c>
      <c r="E1067" s="2">
        <f ca="1">IFERROR(__xludf.DUMMYFUNCTION("""COMPUTED_VALUE"""),13.3)</f>
        <v>13.3</v>
      </c>
      <c r="F1067" s="2" t="str">
        <f ca="1">IFERROR(__xludf.DUMMYFUNCTION("""COMPUTED_VALUE"""),"Full HD 1920x1080")</f>
        <v>Full HD 1920x1080</v>
      </c>
      <c r="G1067" s="2" t="str">
        <f ca="1">IFERROR(__xludf.DUMMYFUNCTION("""COMPUTED_VALUE"""),"Intel Core i7 7500U 2.7GHz")</f>
        <v>Intel Core i7 7500U 2.7GHz</v>
      </c>
      <c r="H1067" s="2" t="str">
        <f ca="1">IFERROR(__xludf.DUMMYFUNCTION("""COMPUTED_VALUE"""),"8GB")</f>
        <v>8GB</v>
      </c>
      <c r="I1067" s="2" t="str">
        <f ca="1">IFERROR(__xludf.DUMMYFUNCTION("""COMPUTED_VALUE"""),"256GB SSD")</f>
        <v>256GB SSD</v>
      </c>
      <c r="J1067" s="2" t="str">
        <f ca="1">IFERROR(__xludf.DUMMYFUNCTION("""COMPUTED_VALUE"""),"Intel HD Graphics 620")</f>
        <v>Intel HD Graphics 620</v>
      </c>
      <c r="K1067" s="2" t="str">
        <f ca="1">IFERROR(__xludf.DUMMYFUNCTION("""COMPUTED_VALUE"""),"Windows 10")</f>
        <v>Windows 10</v>
      </c>
      <c r="L1067" s="2" t="str">
        <f ca="1">IFERROR(__xludf.DUMMYFUNCTION("""COMPUTED_VALUE"""),"1.29kg")</f>
        <v>1.29kg</v>
      </c>
      <c r="M1067" s="2">
        <f ca="1">IFERROR(__xludf.DUMMYFUNCTION("""COMPUTED_VALUE"""),1458)</f>
        <v>1458</v>
      </c>
    </row>
    <row r="1068" spans="1:13">
      <c r="A1068" s="2">
        <f ca="1">IFERROR(__xludf.DUMMYFUNCTION("""COMPUTED_VALUE"""),1081)</f>
        <v>1081</v>
      </c>
      <c r="B1068" s="2" t="str">
        <f ca="1">IFERROR(__xludf.DUMMYFUNCTION("""COMPUTED_VALUE"""),"Asus")</f>
        <v>Asus</v>
      </c>
      <c r="C1068" s="2" t="str">
        <f ca="1">IFERROR(__xludf.DUMMYFUNCTION("""COMPUTED_VALUE"""),"ROG G701VO")</f>
        <v>ROG G701VO</v>
      </c>
      <c r="D1068" s="2" t="str">
        <f ca="1">IFERROR(__xludf.DUMMYFUNCTION("""COMPUTED_VALUE"""),"Gaming")</f>
        <v>Gaming</v>
      </c>
      <c r="E1068" s="2">
        <f ca="1">IFERROR(__xludf.DUMMYFUNCTION("""COMPUTED_VALUE"""),17.3)</f>
        <v>17.3</v>
      </c>
      <c r="F1068" s="2" t="str">
        <f ca="1">IFERROR(__xludf.DUMMYFUNCTION("""COMPUTED_VALUE"""),"IPS Panel Full HD 1920x1080")</f>
        <v>IPS Panel Full HD 1920x1080</v>
      </c>
      <c r="G1068" s="2" t="str">
        <f ca="1">IFERROR(__xludf.DUMMYFUNCTION("""COMPUTED_VALUE"""),"Intel Core i7 6820HK 2.7GHz")</f>
        <v>Intel Core i7 6820HK 2.7GHz</v>
      </c>
      <c r="H1068" s="2" t="str">
        <f ca="1">IFERROR(__xludf.DUMMYFUNCTION("""COMPUTED_VALUE"""),"64GB")</f>
        <v>64GB</v>
      </c>
      <c r="I1068" s="2" t="str">
        <f ca="1">IFERROR(__xludf.DUMMYFUNCTION("""COMPUTED_VALUE"""),"1TB SSD")</f>
        <v>1TB SSD</v>
      </c>
      <c r="J1068" s="2" t="str">
        <f ca="1">IFERROR(__xludf.DUMMYFUNCTION("""COMPUTED_VALUE"""),"Nvidia GeForce GTX 980 ")</f>
        <v xml:space="preserve">Nvidia GeForce GTX 980 </v>
      </c>
      <c r="K1068" s="2" t="str">
        <f ca="1">IFERROR(__xludf.DUMMYFUNCTION("""COMPUTED_VALUE"""),"Windows 10")</f>
        <v>Windows 10</v>
      </c>
      <c r="L1068" s="2" t="str">
        <f ca="1">IFERROR(__xludf.DUMMYFUNCTION("""COMPUTED_VALUE"""),"3.58kg")</f>
        <v>3.58kg</v>
      </c>
      <c r="M1068" s="2">
        <f ca="1">IFERROR(__xludf.DUMMYFUNCTION("""COMPUTED_VALUE"""),3975)</f>
        <v>3975</v>
      </c>
    </row>
    <row r="1069" spans="1:13">
      <c r="A1069" s="2">
        <f ca="1">IFERROR(__xludf.DUMMYFUNCTION("""COMPUTED_VALUE"""),1082)</f>
        <v>1082</v>
      </c>
      <c r="B1069" s="2" t="str">
        <f ca="1">IFERROR(__xludf.DUMMYFUNCTION("""COMPUTED_VALUE"""),"Dell")</f>
        <v>Dell</v>
      </c>
      <c r="C1069" s="2" t="str">
        <f ca="1">IFERROR(__xludf.DUMMYFUNCTION("""COMPUTED_VALUE"""),"Inspiron 5368")</f>
        <v>Inspiron 5368</v>
      </c>
      <c r="D1069" s="2" t="str">
        <f ca="1">IFERROR(__xludf.DUMMYFUNCTION("""COMPUTED_VALUE"""),"2 in 1 Convertible")</f>
        <v>2 in 1 Convertible</v>
      </c>
      <c r="E1069" s="2">
        <f ca="1">IFERROR(__xludf.DUMMYFUNCTION("""COMPUTED_VALUE"""),13.3)</f>
        <v>13.3</v>
      </c>
      <c r="F1069" s="2" t="str">
        <f ca="1">IFERROR(__xludf.DUMMYFUNCTION("""COMPUTED_VALUE"""),"Full HD / Touchscreen 1920x1080")</f>
        <v>Full HD / Touchscreen 1920x1080</v>
      </c>
      <c r="G1069" s="2" t="str">
        <f ca="1">IFERROR(__xludf.DUMMYFUNCTION("""COMPUTED_VALUE"""),"Intel Core i7 6500U 2.5GHz")</f>
        <v>Intel Core i7 6500U 2.5GHz</v>
      </c>
      <c r="H1069" s="2" t="str">
        <f ca="1">IFERROR(__xludf.DUMMYFUNCTION("""COMPUTED_VALUE"""),"8GB")</f>
        <v>8GB</v>
      </c>
      <c r="I1069" s="2" t="str">
        <f ca="1">IFERROR(__xludf.DUMMYFUNCTION("""COMPUTED_VALUE"""),"256GB SSD")</f>
        <v>256GB SSD</v>
      </c>
      <c r="J1069" s="2" t="str">
        <f ca="1">IFERROR(__xludf.DUMMYFUNCTION("""COMPUTED_VALUE"""),"Intel HD Graphics 520")</f>
        <v>Intel HD Graphics 520</v>
      </c>
      <c r="K1069" s="2" t="str">
        <f ca="1">IFERROR(__xludf.DUMMYFUNCTION("""COMPUTED_VALUE"""),"Windows 10")</f>
        <v>Windows 10</v>
      </c>
      <c r="L1069" s="2" t="str">
        <f ca="1">IFERROR(__xludf.DUMMYFUNCTION("""COMPUTED_VALUE"""),"1.62kg")</f>
        <v>1.62kg</v>
      </c>
      <c r="M1069" s="2">
        <f ca="1">IFERROR(__xludf.DUMMYFUNCTION("""COMPUTED_VALUE"""),798.01)</f>
        <v>798.01</v>
      </c>
    </row>
    <row r="1070" spans="1:13">
      <c r="A1070" s="2">
        <f ca="1">IFERROR(__xludf.DUMMYFUNCTION("""COMPUTED_VALUE"""),1083)</f>
        <v>1083</v>
      </c>
      <c r="B1070" s="2" t="str">
        <f ca="1">IFERROR(__xludf.DUMMYFUNCTION("""COMPUTED_VALUE"""),"Dell")</f>
        <v>Dell</v>
      </c>
      <c r="C1070" s="2" t="str">
        <f ca="1">IFERROR(__xludf.DUMMYFUNCTION("""COMPUTED_VALUE"""),"Alienware 15")</f>
        <v>Alienware 15</v>
      </c>
      <c r="D1070" s="2" t="str">
        <f ca="1">IFERROR(__xludf.DUMMYFUNCTION("""COMPUTED_VALUE"""),"Gaming")</f>
        <v>Gaming</v>
      </c>
      <c r="E1070" s="2">
        <f ca="1">IFERROR(__xludf.DUMMYFUNCTION("""COMPUTED_VALUE"""),15.6)</f>
        <v>15.6</v>
      </c>
      <c r="F1070" s="2" t="str">
        <f ca="1">IFERROR(__xludf.DUMMYFUNCTION("""COMPUTED_VALUE"""),"4K Ultra HD 3840x2160")</f>
        <v>4K Ultra HD 3840x2160</v>
      </c>
      <c r="G1070" s="2" t="str">
        <f ca="1">IFERROR(__xludf.DUMMYFUNCTION("""COMPUTED_VALUE"""),"Intel Core i7 6700HQ 2.6GHz")</f>
        <v>Intel Core i7 6700HQ 2.6GHz</v>
      </c>
      <c r="H1070" s="2" t="str">
        <f ca="1">IFERROR(__xludf.DUMMYFUNCTION("""COMPUTED_VALUE"""),"16GB")</f>
        <v>16GB</v>
      </c>
      <c r="I1070" s="2" t="str">
        <f ca="1">IFERROR(__xludf.DUMMYFUNCTION("""COMPUTED_VALUE"""),"256GB SSD +  1TB HDD")</f>
        <v>256GB SSD +  1TB HDD</v>
      </c>
      <c r="J1070" s="2" t="str">
        <f ca="1">IFERROR(__xludf.DUMMYFUNCTION("""COMPUTED_VALUE"""),"Nvidia GeForce GTX 970M")</f>
        <v>Nvidia GeForce GTX 970M</v>
      </c>
      <c r="K1070" s="2" t="str">
        <f ca="1">IFERROR(__xludf.DUMMYFUNCTION("""COMPUTED_VALUE"""),"Windows 10")</f>
        <v>Windows 10</v>
      </c>
      <c r="L1070" s="2" t="str">
        <f ca="1">IFERROR(__xludf.DUMMYFUNCTION("""COMPUTED_VALUE"""),"3.21kg")</f>
        <v>3.21kg</v>
      </c>
      <c r="M1070" s="2">
        <f ca="1">IFERROR(__xludf.DUMMYFUNCTION("""COMPUTED_VALUE"""),1329)</f>
        <v>1329</v>
      </c>
    </row>
    <row r="1071" spans="1:13">
      <c r="A1071" s="2">
        <f ca="1">IFERROR(__xludf.DUMMYFUNCTION("""COMPUTED_VALUE"""),1084)</f>
        <v>1084</v>
      </c>
      <c r="B1071" s="2" t="str">
        <f ca="1">IFERROR(__xludf.DUMMYFUNCTION("""COMPUTED_VALUE"""),"Apple")</f>
        <v>Apple</v>
      </c>
      <c r="C1071" s="2" t="str">
        <f ca="1">IFERROR(__xludf.DUMMYFUNCTION("""COMPUTED_VALUE"""),"MacBook 12""")</f>
        <v>MacBook 12"</v>
      </c>
      <c r="D1071" s="2" t="str">
        <f ca="1">IFERROR(__xludf.DUMMYFUNCTION("""COMPUTED_VALUE"""),"Ultrabook")</f>
        <v>Ultrabook</v>
      </c>
      <c r="E1071" s="2">
        <f ca="1">IFERROR(__xludf.DUMMYFUNCTION("""COMPUTED_VALUE"""),12)</f>
        <v>12</v>
      </c>
      <c r="F1071" s="2" t="str">
        <f ca="1">IFERROR(__xludf.DUMMYFUNCTION("""COMPUTED_VALUE"""),"IPS Panel Retina Display 2304x1440")</f>
        <v>IPS Panel Retina Display 2304x1440</v>
      </c>
      <c r="G1071" s="2" t="str">
        <f ca="1">IFERROR(__xludf.DUMMYFUNCTION("""COMPUTED_VALUE"""),"Intel Core M 1.1GHz")</f>
        <v>Intel Core M 1.1GHz</v>
      </c>
      <c r="H1071" s="2" t="str">
        <f ca="1">IFERROR(__xludf.DUMMYFUNCTION("""COMPUTED_VALUE"""),"8GB")</f>
        <v>8GB</v>
      </c>
      <c r="I1071" s="2" t="str">
        <f ca="1">IFERROR(__xludf.DUMMYFUNCTION("""COMPUTED_VALUE"""),"256GB Flash Storage")</f>
        <v>256GB Flash Storage</v>
      </c>
      <c r="J1071" s="2" t="str">
        <f ca="1">IFERROR(__xludf.DUMMYFUNCTION("""COMPUTED_VALUE"""),"Intel HD Graphics 515")</f>
        <v>Intel HD Graphics 515</v>
      </c>
      <c r="K1071" s="2" t="str">
        <f ca="1">IFERROR(__xludf.DUMMYFUNCTION("""COMPUTED_VALUE"""),"Mac OS X")</f>
        <v>Mac OS X</v>
      </c>
      <c r="L1071" s="2" t="str">
        <f ca="1">IFERROR(__xludf.DUMMYFUNCTION("""COMPUTED_VALUE"""),"0.920kg")</f>
        <v>0.920kg</v>
      </c>
      <c r="M1071" s="2">
        <f ca="1">IFERROR(__xludf.DUMMYFUNCTION("""COMPUTED_VALUE"""),1300)</f>
        <v>1300</v>
      </c>
    </row>
    <row r="1072" spans="1:13">
      <c r="A1072" s="2">
        <f ca="1">IFERROR(__xludf.DUMMYFUNCTION("""COMPUTED_VALUE"""),1085)</f>
        <v>1085</v>
      </c>
      <c r="B1072" s="2" t="str">
        <f ca="1">IFERROR(__xludf.DUMMYFUNCTION("""COMPUTED_VALUE"""),"Dell")</f>
        <v>Dell</v>
      </c>
      <c r="C1072" s="2" t="str">
        <f ca="1">IFERROR(__xludf.DUMMYFUNCTION("""COMPUTED_VALUE"""),"Latitude 3570")</f>
        <v>Latitude 3570</v>
      </c>
      <c r="D1072" s="2" t="str">
        <f ca="1">IFERROR(__xludf.DUMMYFUNCTION("""COMPUTED_VALUE"""),"Notebook")</f>
        <v>Notebook</v>
      </c>
      <c r="E1072" s="2">
        <f ca="1">IFERROR(__xludf.DUMMYFUNCTION("""COMPUTED_VALUE"""),15.6)</f>
        <v>15.6</v>
      </c>
      <c r="F1072" s="2" t="str">
        <f ca="1">IFERROR(__xludf.DUMMYFUNCTION("""COMPUTED_VALUE"""),"1366x768")</f>
        <v>1366x768</v>
      </c>
      <c r="G1072" s="2" t="str">
        <f ca="1">IFERROR(__xludf.DUMMYFUNCTION("""COMPUTED_VALUE"""),"Intel Core i3 6100U 2.3GHz")</f>
        <v>Intel Core i3 6100U 2.3GHz</v>
      </c>
      <c r="H1072" s="2" t="str">
        <f ca="1">IFERROR(__xludf.DUMMYFUNCTION("""COMPUTED_VALUE"""),"4GB")</f>
        <v>4GB</v>
      </c>
      <c r="I1072" s="2" t="str">
        <f ca="1">IFERROR(__xludf.DUMMYFUNCTION("""COMPUTED_VALUE"""),"500GB HDD")</f>
        <v>500GB HDD</v>
      </c>
      <c r="J1072" s="2" t="str">
        <f ca="1">IFERROR(__xludf.DUMMYFUNCTION("""COMPUTED_VALUE"""),"Intel HD Graphics 520")</f>
        <v>Intel HD Graphics 520</v>
      </c>
      <c r="K1072" s="2" t="str">
        <f ca="1">IFERROR(__xludf.DUMMYFUNCTION("""COMPUTED_VALUE"""),"Windows 10")</f>
        <v>Windows 10</v>
      </c>
      <c r="L1072" s="2" t="str">
        <f ca="1">IFERROR(__xludf.DUMMYFUNCTION("""COMPUTED_VALUE"""),"2.06kg")</f>
        <v>2.06kg</v>
      </c>
      <c r="M1072" s="2">
        <f ca="1">IFERROR(__xludf.DUMMYFUNCTION("""COMPUTED_VALUE"""),481.98)</f>
        <v>481.98</v>
      </c>
    </row>
    <row r="1073" spans="1:13">
      <c r="A1073" s="2">
        <f ca="1">IFERROR(__xludf.DUMMYFUNCTION("""COMPUTED_VALUE"""),1086)</f>
        <v>1086</v>
      </c>
      <c r="B1073" s="2" t="str">
        <f ca="1">IFERROR(__xludf.DUMMYFUNCTION("""COMPUTED_VALUE"""),"HP")</f>
        <v>HP</v>
      </c>
      <c r="C1073" s="2" t="str">
        <f ca="1">IFERROR(__xludf.DUMMYFUNCTION("""COMPUTED_VALUE"""),"ProBook 650")</f>
        <v>ProBook 650</v>
      </c>
      <c r="D1073" s="2" t="str">
        <f ca="1">IFERROR(__xludf.DUMMYFUNCTION("""COMPUTED_VALUE"""),"Notebook")</f>
        <v>Notebook</v>
      </c>
      <c r="E1073" s="2">
        <f ca="1">IFERROR(__xludf.DUMMYFUNCTION("""COMPUTED_VALUE"""),15.6)</f>
        <v>15.6</v>
      </c>
      <c r="F1073" s="2" t="str">
        <f ca="1">IFERROR(__xludf.DUMMYFUNCTION("""COMPUTED_VALUE"""),"1366x768")</f>
        <v>1366x768</v>
      </c>
      <c r="G1073" s="2" t="str">
        <f ca="1">IFERROR(__xludf.DUMMYFUNCTION("""COMPUTED_VALUE"""),"Intel Core i5 6200U 2.3GHz")</f>
        <v>Intel Core i5 6200U 2.3GHz</v>
      </c>
      <c r="H1073" s="2" t="str">
        <f ca="1">IFERROR(__xludf.DUMMYFUNCTION("""COMPUTED_VALUE"""),"4GB")</f>
        <v>4GB</v>
      </c>
      <c r="I1073" s="2" t="str">
        <f ca="1">IFERROR(__xludf.DUMMYFUNCTION("""COMPUTED_VALUE"""),"500GB HDD")</f>
        <v>500GB HDD</v>
      </c>
      <c r="J1073" s="2" t="str">
        <f ca="1">IFERROR(__xludf.DUMMYFUNCTION("""COMPUTED_VALUE"""),"Intel HD Graphics 520")</f>
        <v>Intel HD Graphics 520</v>
      </c>
      <c r="K1073" s="2" t="str">
        <f ca="1">IFERROR(__xludf.DUMMYFUNCTION("""COMPUTED_VALUE"""),"Windows 10")</f>
        <v>Windows 10</v>
      </c>
      <c r="L1073" s="2" t="str">
        <f ca="1">IFERROR(__xludf.DUMMYFUNCTION("""COMPUTED_VALUE"""),"2.31kg")</f>
        <v>2.31kg</v>
      </c>
      <c r="M1073" s="2">
        <f ca="1">IFERROR(__xludf.DUMMYFUNCTION("""COMPUTED_VALUE"""),1199)</f>
        <v>1199</v>
      </c>
    </row>
    <row r="1074" spans="1:13">
      <c r="A1074" s="2">
        <f ca="1">IFERROR(__xludf.DUMMYFUNCTION("""COMPUTED_VALUE"""),1087)</f>
        <v>1087</v>
      </c>
      <c r="B1074" s="2" t="str">
        <f ca="1">IFERROR(__xludf.DUMMYFUNCTION("""COMPUTED_VALUE"""),"HP")</f>
        <v>HP</v>
      </c>
      <c r="C1074" s="2" t="str">
        <f ca="1">IFERROR(__xludf.DUMMYFUNCTION("""COMPUTED_VALUE"""),"EliteBook 820")</f>
        <v>EliteBook 820</v>
      </c>
      <c r="D1074" s="2" t="str">
        <f ca="1">IFERROR(__xludf.DUMMYFUNCTION("""COMPUTED_VALUE"""),"Ultrabook")</f>
        <v>Ultrabook</v>
      </c>
      <c r="E1074" s="2">
        <f ca="1">IFERROR(__xludf.DUMMYFUNCTION("""COMPUTED_VALUE"""),12.5)</f>
        <v>12.5</v>
      </c>
      <c r="F1074" s="2" t="str">
        <f ca="1">IFERROR(__xludf.DUMMYFUNCTION("""COMPUTED_VALUE"""),"Full HD 1920x1080")</f>
        <v>Full HD 1920x1080</v>
      </c>
      <c r="G1074" s="2" t="str">
        <f ca="1">IFERROR(__xludf.DUMMYFUNCTION("""COMPUTED_VALUE"""),"Intel Core i5 6200U 2.3GHz")</f>
        <v>Intel Core i5 6200U 2.3GHz</v>
      </c>
      <c r="H1074" s="2" t="str">
        <f ca="1">IFERROR(__xludf.DUMMYFUNCTION("""COMPUTED_VALUE"""),"8GB")</f>
        <v>8GB</v>
      </c>
      <c r="I1074" s="2" t="str">
        <f ca="1">IFERROR(__xludf.DUMMYFUNCTION("""COMPUTED_VALUE"""),"256GB SSD")</f>
        <v>256GB SSD</v>
      </c>
      <c r="J1074" s="2" t="str">
        <f ca="1">IFERROR(__xludf.DUMMYFUNCTION("""COMPUTED_VALUE"""),"Intel HD Graphics 520")</f>
        <v>Intel HD Graphics 520</v>
      </c>
      <c r="K1074" s="2" t="str">
        <f ca="1">IFERROR(__xludf.DUMMYFUNCTION("""COMPUTED_VALUE"""),"Windows 7")</f>
        <v>Windows 7</v>
      </c>
      <c r="L1074" s="2" t="str">
        <f ca="1">IFERROR(__xludf.DUMMYFUNCTION("""COMPUTED_VALUE"""),"1.26kg")</f>
        <v>1.26kg</v>
      </c>
      <c r="M1074" s="2">
        <f ca="1">IFERROR(__xludf.DUMMYFUNCTION("""COMPUTED_VALUE"""),1199)</f>
        <v>1199</v>
      </c>
    </row>
    <row r="1075" spans="1:13">
      <c r="A1075" s="2">
        <f ca="1">IFERROR(__xludf.DUMMYFUNCTION("""COMPUTED_VALUE"""),1088)</f>
        <v>1088</v>
      </c>
      <c r="B1075" s="2" t="str">
        <f ca="1">IFERROR(__xludf.DUMMYFUNCTION("""COMPUTED_VALUE"""),"HP")</f>
        <v>HP</v>
      </c>
      <c r="C1075" s="2" t="str">
        <f ca="1">IFERROR(__xludf.DUMMYFUNCTION("""COMPUTED_VALUE"""),"ProBook 430")</f>
        <v>ProBook 430</v>
      </c>
      <c r="D1075" s="2" t="str">
        <f ca="1">IFERROR(__xludf.DUMMYFUNCTION("""COMPUTED_VALUE"""),"Notebook")</f>
        <v>Notebook</v>
      </c>
      <c r="E1075" s="2">
        <f ca="1">IFERROR(__xludf.DUMMYFUNCTION("""COMPUTED_VALUE"""),13.3)</f>
        <v>13.3</v>
      </c>
      <c r="F1075" s="2" t="str">
        <f ca="1">IFERROR(__xludf.DUMMYFUNCTION("""COMPUTED_VALUE"""),"Full HD 1920x1080")</f>
        <v>Full HD 1920x1080</v>
      </c>
      <c r="G1075" s="2" t="str">
        <f ca="1">IFERROR(__xludf.DUMMYFUNCTION("""COMPUTED_VALUE"""),"Intel Core i7 7500U 2.7GHz")</f>
        <v>Intel Core i7 7500U 2.7GHz</v>
      </c>
      <c r="H1075" s="2" t="str">
        <f ca="1">IFERROR(__xludf.DUMMYFUNCTION("""COMPUTED_VALUE"""),"8GB")</f>
        <v>8GB</v>
      </c>
      <c r="I1075" s="2" t="str">
        <f ca="1">IFERROR(__xludf.DUMMYFUNCTION("""COMPUTED_VALUE"""),"256GB SSD")</f>
        <v>256GB SSD</v>
      </c>
      <c r="J1075" s="2" t="str">
        <f ca="1">IFERROR(__xludf.DUMMYFUNCTION("""COMPUTED_VALUE"""),"Intel HD Graphics 620")</f>
        <v>Intel HD Graphics 620</v>
      </c>
      <c r="K1075" s="2" t="str">
        <f ca="1">IFERROR(__xludf.DUMMYFUNCTION("""COMPUTED_VALUE"""),"Windows 10")</f>
        <v>Windows 10</v>
      </c>
      <c r="L1075" s="2" t="str">
        <f ca="1">IFERROR(__xludf.DUMMYFUNCTION("""COMPUTED_VALUE"""),"1.49kg")</f>
        <v>1.49kg</v>
      </c>
      <c r="M1075" s="2">
        <f ca="1">IFERROR(__xludf.DUMMYFUNCTION("""COMPUTED_VALUE"""),1090)</f>
        <v>1090</v>
      </c>
    </row>
    <row r="1076" spans="1:13">
      <c r="A1076" s="2">
        <f ca="1">IFERROR(__xludf.DUMMYFUNCTION("""COMPUTED_VALUE"""),1089)</f>
        <v>1089</v>
      </c>
      <c r="B1076" s="2" t="str">
        <f ca="1">IFERROR(__xludf.DUMMYFUNCTION("""COMPUTED_VALUE"""),"Lenovo")</f>
        <v>Lenovo</v>
      </c>
      <c r="C1076" s="2" t="str">
        <f ca="1">IFERROR(__xludf.DUMMYFUNCTION("""COMPUTED_VALUE"""),"ThinkPad Yoga")</f>
        <v>ThinkPad Yoga</v>
      </c>
      <c r="D1076" s="2" t="str">
        <f ca="1">IFERROR(__xludf.DUMMYFUNCTION("""COMPUTED_VALUE"""),"Ultrabook")</f>
        <v>Ultrabook</v>
      </c>
      <c r="E1076" s="2">
        <f ca="1">IFERROR(__xludf.DUMMYFUNCTION("""COMPUTED_VALUE"""),12.5)</f>
        <v>12.5</v>
      </c>
      <c r="F1076" s="2" t="str">
        <f ca="1">IFERROR(__xludf.DUMMYFUNCTION("""COMPUTED_VALUE"""),"IPS Panel Full HD / Touchscreen 1920x1080")</f>
        <v>IPS Panel Full HD / Touchscreen 1920x1080</v>
      </c>
      <c r="G1076" s="2" t="str">
        <f ca="1">IFERROR(__xludf.DUMMYFUNCTION("""COMPUTED_VALUE"""),"Intel Core i7 6500U 2.5GHz")</f>
        <v>Intel Core i7 6500U 2.5GHz</v>
      </c>
      <c r="H1076" s="2" t="str">
        <f ca="1">IFERROR(__xludf.DUMMYFUNCTION("""COMPUTED_VALUE"""),"8GB")</f>
        <v>8GB</v>
      </c>
      <c r="I1076" s="2" t="str">
        <f ca="1">IFERROR(__xludf.DUMMYFUNCTION("""COMPUTED_VALUE"""),"256GB SSD")</f>
        <v>256GB SSD</v>
      </c>
      <c r="J1076" s="2" t="str">
        <f ca="1">IFERROR(__xludf.DUMMYFUNCTION("""COMPUTED_VALUE"""),"Intel HD Graphics 520")</f>
        <v>Intel HD Graphics 520</v>
      </c>
      <c r="K1076" s="2" t="str">
        <f ca="1">IFERROR(__xludf.DUMMYFUNCTION("""COMPUTED_VALUE"""),"Windows 10")</f>
        <v>Windows 10</v>
      </c>
      <c r="L1076" s="2" t="str">
        <f ca="1">IFERROR(__xludf.DUMMYFUNCTION("""COMPUTED_VALUE"""),"1.3kg")</f>
        <v>1.3kg</v>
      </c>
      <c r="M1076" s="2">
        <f ca="1">IFERROR(__xludf.DUMMYFUNCTION("""COMPUTED_VALUE"""),1713.49)</f>
        <v>1713.49</v>
      </c>
    </row>
    <row r="1077" spans="1:13">
      <c r="A1077" s="2">
        <f ca="1">IFERROR(__xludf.DUMMYFUNCTION("""COMPUTED_VALUE"""),1090)</f>
        <v>1090</v>
      </c>
      <c r="B1077" s="2" t="str">
        <f ca="1">IFERROR(__xludf.DUMMYFUNCTION("""COMPUTED_VALUE"""),"Lenovo")</f>
        <v>Lenovo</v>
      </c>
      <c r="C1077" s="2" t="str">
        <f ca="1">IFERROR(__xludf.DUMMYFUNCTION("""COMPUTED_VALUE"""),"IdeaPad 300-17ISK")</f>
        <v>IdeaPad 300-17ISK</v>
      </c>
      <c r="D1077" s="2" t="str">
        <f ca="1">IFERROR(__xludf.DUMMYFUNCTION("""COMPUTED_VALUE"""),"Notebook")</f>
        <v>Notebook</v>
      </c>
      <c r="E1077" s="2">
        <f ca="1">IFERROR(__xludf.DUMMYFUNCTION("""COMPUTED_VALUE"""),17.3)</f>
        <v>17.3</v>
      </c>
      <c r="F1077" s="2" t="str">
        <f ca="1">IFERROR(__xludf.DUMMYFUNCTION("""COMPUTED_VALUE"""),"1600x900")</f>
        <v>1600x900</v>
      </c>
      <c r="G1077" s="2" t="str">
        <f ca="1">IFERROR(__xludf.DUMMYFUNCTION("""COMPUTED_VALUE"""),"Intel Core i5 6200U 2.3GHz")</f>
        <v>Intel Core i5 6200U 2.3GHz</v>
      </c>
      <c r="H1077" s="2" t="str">
        <f ca="1">IFERROR(__xludf.DUMMYFUNCTION("""COMPUTED_VALUE"""),"8GB")</f>
        <v>8GB</v>
      </c>
      <c r="I1077" s="2" t="str">
        <f ca="1">IFERROR(__xludf.DUMMYFUNCTION("""COMPUTED_VALUE"""),"1.0TB HDD")</f>
        <v>1.0TB HDD</v>
      </c>
      <c r="J1077" s="2" t="str">
        <f ca="1">IFERROR(__xludf.DUMMYFUNCTION("""COMPUTED_VALUE"""),"AMD Radeon R5 M330")</f>
        <v>AMD Radeon R5 M330</v>
      </c>
      <c r="K1077" s="2" t="str">
        <f ca="1">IFERROR(__xludf.DUMMYFUNCTION("""COMPUTED_VALUE"""),"Windows 10")</f>
        <v>Windows 10</v>
      </c>
      <c r="L1077" s="2" t="str">
        <f ca="1">IFERROR(__xludf.DUMMYFUNCTION("""COMPUTED_VALUE"""),"3.0kg")</f>
        <v>3.0kg</v>
      </c>
      <c r="M1077" s="2">
        <f ca="1">IFERROR(__xludf.DUMMYFUNCTION("""COMPUTED_VALUE"""),659)</f>
        <v>659</v>
      </c>
    </row>
    <row r="1078" spans="1:13">
      <c r="A1078" s="2">
        <f ca="1">IFERROR(__xludf.DUMMYFUNCTION("""COMPUTED_VALUE"""),1091)</f>
        <v>1091</v>
      </c>
      <c r="B1078" s="2" t="str">
        <f ca="1">IFERROR(__xludf.DUMMYFUNCTION("""COMPUTED_VALUE"""),"Lenovo")</f>
        <v>Lenovo</v>
      </c>
      <c r="C1078" s="2" t="str">
        <f ca="1">IFERROR(__xludf.DUMMYFUNCTION("""COMPUTED_VALUE"""),"Ideapad 700-15ISK")</f>
        <v>Ideapad 700-15ISK</v>
      </c>
      <c r="D1078" s="2" t="str">
        <f ca="1">IFERROR(__xludf.DUMMYFUNCTION("""COMPUTED_VALUE"""),"Notebook")</f>
        <v>Notebook</v>
      </c>
      <c r="E1078" s="2">
        <f ca="1">IFERROR(__xludf.DUMMYFUNCTION("""COMPUTED_VALUE"""),15.6)</f>
        <v>15.6</v>
      </c>
      <c r="F1078" s="2" t="str">
        <f ca="1">IFERROR(__xludf.DUMMYFUNCTION("""COMPUTED_VALUE"""),"IPS Panel Full HD 1920x1080")</f>
        <v>IPS Panel Full HD 1920x1080</v>
      </c>
      <c r="G1078" s="2" t="str">
        <f ca="1">IFERROR(__xludf.DUMMYFUNCTION("""COMPUTED_VALUE"""),"Intel Core i5 6300HQ 2.3GHz")</f>
        <v>Intel Core i5 6300HQ 2.3GHz</v>
      </c>
      <c r="H1078" s="2" t="str">
        <f ca="1">IFERROR(__xludf.DUMMYFUNCTION("""COMPUTED_VALUE"""),"4GB")</f>
        <v>4GB</v>
      </c>
      <c r="I1078" s="2" t="str">
        <f ca="1">IFERROR(__xludf.DUMMYFUNCTION("""COMPUTED_VALUE"""),"1TB HDD")</f>
        <v>1TB HDD</v>
      </c>
      <c r="J1078" s="2" t="str">
        <f ca="1">IFERROR(__xludf.DUMMYFUNCTION("""COMPUTED_VALUE"""),"Nvidia GeForce GTX 950M")</f>
        <v>Nvidia GeForce GTX 950M</v>
      </c>
      <c r="K1078" s="2" t="str">
        <f ca="1">IFERROR(__xludf.DUMMYFUNCTION("""COMPUTED_VALUE"""),"Windows 10")</f>
        <v>Windows 10</v>
      </c>
      <c r="L1078" s="2" t="str">
        <f ca="1">IFERROR(__xludf.DUMMYFUNCTION("""COMPUTED_VALUE"""),"2.3kg")</f>
        <v>2.3kg</v>
      </c>
      <c r="M1078" s="2">
        <f ca="1">IFERROR(__xludf.DUMMYFUNCTION("""COMPUTED_VALUE"""),977)</f>
        <v>977</v>
      </c>
    </row>
    <row r="1079" spans="1:13">
      <c r="A1079" s="2">
        <f ca="1">IFERROR(__xludf.DUMMYFUNCTION("""COMPUTED_VALUE"""),1092)</f>
        <v>1092</v>
      </c>
      <c r="B1079" s="2" t="str">
        <f ca="1">IFERROR(__xludf.DUMMYFUNCTION("""COMPUTED_VALUE"""),"MSI")</f>
        <v>MSI</v>
      </c>
      <c r="C1079" s="2" t="str">
        <f ca="1">IFERROR(__xludf.DUMMYFUNCTION("""COMPUTED_VALUE"""),"GT72VR Dominator")</f>
        <v>GT72VR Dominator</v>
      </c>
      <c r="D1079" s="2" t="str">
        <f ca="1">IFERROR(__xludf.DUMMYFUNCTION("""COMPUTED_VALUE"""),"Gaming")</f>
        <v>Gaming</v>
      </c>
      <c r="E1079" s="2">
        <f ca="1">IFERROR(__xludf.DUMMYFUNCTION("""COMPUTED_VALUE"""),17.3)</f>
        <v>17.3</v>
      </c>
      <c r="F1079" s="2" t="str">
        <f ca="1">IFERROR(__xludf.DUMMYFUNCTION("""COMPUTED_VALUE"""),"Full HD 1920x1080")</f>
        <v>Full HD 1920x1080</v>
      </c>
      <c r="G1079" s="2" t="str">
        <f ca="1">IFERROR(__xludf.DUMMYFUNCTION("""COMPUTED_VALUE"""),"Intel Core i7 7700HQ 2.8GHz")</f>
        <v>Intel Core i7 7700HQ 2.8GHz</v>
      </c>
      <c r="H1079" s="2" t="str">
        <f ca="1">IFERROR(__xludf.DUMMYFUNCTION("""COMPUTED_VALUE"""),"16GB")</f>
        <v>16GB</v>
      </c>
      <c r="I1079" s="2" t="str">
        <f ca="1">IFERROR(__xludf.DUMMYFUNCTION("""COMPUTED_VALUE"""),"256GB SSD +  1TB HDD")</f>
        <v>256GB SSD +  1TB HDD</v>
      </c>
      <c r="J1079" s="2" t="str">
        <f ca="1">IFERROR(__xludf.DUMMYFUNCTION("""COMPUTED_VALUE"""),"Nvidia GeForce GTX 1070")</f>
        <v>Nvidia GeForce GTX 1070</v>
      </c>
      <c r="K1079" s="2" t="str">
        <f ca="1">IFERROR(__xludf.DUMMYFUNCTION("""COMPUTED_VALUE"""),"Windows 10")</f>
        <v>Windows 10</v>
      </c>
      <c r="L1079" s="2" t="str">
        <f ca="1">IFERROR(__xludf.DUMMYFUNCTION("""COMPUTED_VALUE"""),"3.78kg")</f>
        <v>3.78kg</v>
      </c>
      <c r="M1079" s="2">
        <f ca="1">IFERROR(__xludf.DUMMYFUNCTION("""COMPUTED_VALUE"""),2499)</f>
        <v>2499</v>
      </c>
    </row>
    <row r="1080" spans="1:13">
      <c r="A1080" s="2">
        <f ca="1">IFERROR(__xludf.DUMMYFUNCTION("""COMPUTED_VALUE"""),1093)</f>
        <v>1093</v>
      </c>
      <c r="B1080" s="2" t="str">
        <f ca="1">IFERROR(__xludf.DUMMYFUNCTION("""COMPUTED_VALUE"""),"Lenovo")</f>
        <v>Lenovo</v>
      </c>
      <c r="C1080" s="2" t="str">
        <f ca="1">IFERROR(__xludf.DUMMYFUNCTION("""COMPUTED_VALUE"""),"V110-15ISK (i5-6200U/4GB/500GB/W10)")</f>
        <v>V110-15ISK (i5-6200U/4GB/500GB/W10)</v>
      </c>
      <c r="D1080" s="2" t="str">
        <f ca="1">IFERROR(__xludf.DUMMYFUNCTION("""COMPUTED_VALUE"""),"Notebook")</f>
        <v>Notebook</v>
      </c>
      <c r="E1080" s="2">
        <f ca="1">IFERROR(__xludf.DUMMYFUNCTION("""COMPUTED_VALUE"""),15.6)</f>
        <v>15.6</v>
      </c>
      <c r="F1080" s="2" t="str">
        <f ca="1">IFERROR(__xludf.DUMMYFUNCTION("""COMPUTED_VALUE"""),"1366x768")</f>
        <v>1366x768</v>
      </c>
      <c r="G1080" s="2" t="str">
        <f ca="1">IFERROR(__xludf.DUMMYFUNCTION("""COMPUTED_VALUE"""),"Intel Core i5 6200U 2.3GHz")</f>
        <v>Intel Core i5 6200U 2.3GHz</v>
      </c>
      <c r="H1080" s="2" t="str">
        <f ca="1">IFERROR(__xludf.DUMMYFUNCTION("""COMPUTED_VALUE"""),"4GB")</f>
        <v>4GB</v>
      </c>
      <c r="I1080" s="2" t="str">
        <f ca="1">IFERROR(__xludf.DUMMYFUNCTION("""COMPUTED_VALUE"""),"500GB HDD")</f>
        <v>500GB HDD</v>
      </c>
      <c r="J1080" s="2" t="str">
        <f ca="1">IFERROR(__xludf.DUMMYFUNCTION("""COMPUTED_VALUE"""),"Intel HD Graphics 520")</f>
        <v>Intel HD Graphics 520</v>
      </c>
      <c r="K1080" s="2" t="str">
        <f ca="1">IFERROR(__xludf.DUMMYFUNCTION("""COMPUTED_VALUE"""),"Windows 10")</f>
        <v>Windows 10</v>
      </c>
      <c r="L1080" s="2" t="str">
        <f ca="1">IFERROR(__xludf.DUMMYFUNCTION("""COMPUTED_VALUE"""),"2.1kg")</f>
        <v>2.1kg</v>
      </c>
      <c r="M1080" s="2">
        <f ca="1">IFERROR(__xludf.DUMMYFUNCTION("""COMPUTED_VALUE"""),540)</f>
        <v>540</v>
      </c>
    </row>
    <row r="1081" spans="1:13">
      <c r="A1081" s="2">
        <f ca="1">IFERROR(__xludf.DUMMYFUNCTION("""COMPUTED_VALUE"""),1094)</f>
        <v>1094</v>
      </c>
      <c r="B1081" s="2" t="str">
        <f ca="1">IFERROR(__xludf.DUMMYFUNCTION("""COMPUTED_VALUE"""),"HP")</f>
        <v>HP</v>
      </c>
      <c r="C1081" s="2" t="str">
        <f ca="1">IFERROR(__xludf.DUMMYFUNCTION("""COMPUTED_VALUE"""),"Probook 650")</f>
        <v>Probook 650</v>
      </c>
      <c r="D1081" s="2" t="str">
        <f ca="1">IFERROR(__xludf.DUMMYFUNCTION("""COMPUTED_VALUE"""),"Notebook")</f>
        <v>Notebook</v>
      </c>
      <c r="E1081" s="2">
        <f ca="1">IFERROR(__xludf.DUMMYFUNCTION("""COMPUTED_VALUE"""),15.6)</f>
        <v>15.6</v>
      </c>
      <c r="F1081" s="2" t="str">
        <f ca="1">IFERROR(__xludf.DUMMYFUNCTION("""COMPUTED_VALUE"""),"Full HD 1920x1080")</f>
        <v>Full HD 1920x1080</v>
      </c>
      <c r="G1081" s="2" t="str">
        <f ca="1">IFERROR(__xludf.DUMMYFUNCTION("""COMPUTED_VALUE"""),"Intel Core i5 6200U 2.3GHz")</f>
        <v>Intel Core i5 6200U 2.3GHz</v>
      </c>
      <c r="H1081" s="2" t="str">
        <f ca="1">IFERROR(__xludf.DUMMYFUNCTION("""COMPUTED_VALUE"""),"4GB")</f>
        <v>4GB</v>
      </c>
      <c r="I1081" s="2" t="str">
        <f ca="1">IFERROR(__xludf.DUMMYFUNCTION("""COMPUTED_VALUE"""),"500GB HDD")</f>
        <v>500GB HDD</v>
      </c>
      <c r="J1081" s="2" t="str">
        <f ca="1">IFERROR(__xludf.DUMMYFUNCTION("""COMPUTED_VALUE"""),"Intel HD Graphics 520")</f>
        <v>Intel HD Graphics 520</v>
      </c>
      <c r="K1081" s="2" t="str">
        <f ca="1">IFERROR(__xludf.DUMMYFUNCTION("""COMPUTED_VALUE"""),"Windows 7")</f>
        <v>Windows 7</v>
      </c>
      <c r="L1081" s="2" t="str">
        <f ca="1">IFERROR(__xludf.DUMMYFUNCTION("""COMPUTED_VALUE"""),"2.31kg")</f>
        <v>2.31kg</v>
      </c>
      <c r="M1081" s="2">
        <f ca="1">IFERROR(__xludf.DUMMYFUNCTION("""COMPUTED_VALUE"""),940)</f>
        <v>940</v>
      </c>
    </row>
    <row r="1082" spans="1:13">
      <c r="A1082" s="2">
        <f ca="1">IFERROR(__xludf.DUMMYFUNCTION("""COMPUTED_VALUE"""),1095)</f>
        <v>1095</v>
      </c>
      <c r="B1082" s="2" t="str">
        <f ca="1">IFERROR(__xludf.DUMMYFUNCTION("""COMPUTED_VALUE"""),"Lenovo")</f>
        <v>Lenovo</v>
      </c>
      <c r="C1082" s="2" t="str">
        <f ca="1">IFERROR(__xludf.DUMMYFUNCTION("""COMPUTED_VALUE"""),"Yoga 900S-12ISK")</f>
        <v>Yoga 900S-12ISK</v>
      </c>
      <c r="D1082" s="2" t="str">
        <f ca="1">IFERROR(__xludf.DUMMYFUNCTION("""COMPUTED_VALUE"""),"Ultrabook")</f>
        <v>Ultrabook</v>
      </c>
      <c r="E1082" s="2">
        <f ca="1">IFERROR(__xludf.DUMMYFUNCTION("""COMPUTED_VALUE"""),12.5)</f>
        <v>12.5</v>
      </c>
      <c r="F1082" s="2" t="str">
        <f ca="1">IFERROR(__xludf.DUMMYFUNCTION("""COMPUTED_VALUE"""),"IPS Panel Touchscreen 2560x1440")</f>
        <v>IPS Panel Touchscreen 2560x1440</v>
      </c>
      <c r="G1082" s="2" t="str">
        <f ca="1">IFERROR(__xludf.DUMMYFUNCTION("""COMPUTED_VALUE"""),"Intel Core M 6Y75 1.2GHz")</f>
        <v>Intel Core M 6Y75 1.2GHz</v>
      </c>
      <c r="H1082" s="2" t="str">
        <f ca="1">IFERROR(__xludf.DUMMYFUNCTION("""COMPUTED_VALUE"""),"8GB")</f>
        <v>8GB</v>
      </c>
      <c r="I1082" s="2" t="str">
        <f ca="1">IFERROR(__xludf.DUMMYFUNCTION("""COMPUTED_VALUE"""),"512GB SSD")</f>
        <v>512GB SSD</v>
      </c>
      <c r="J1082" s="2" t="str">
        <f ca="1">IFERROR(__xludf.DUMMYFUNCTION("""COMPUTED_VALUE"""),"Intel HD Graphics 515")</f>
        <v>Intel HD Graphics 515</v>
      </c>
      <c r="K1082" s="2" t="str">
        <f ca="1">IFERROR(__xludf.DUMMYFUNCTION("""COMPUTED_VALUE"""),"Windows 10")</f>
        <v>Windows 10</v>
      </c>
      <c r="L1082" s="2" t="str">
        <f ca="1">IFERROR(__xludf.DUMMYFUNCTION("""COMPUTED_VALUE"""),"0.99kg")</f>
        <v>0.99kg</v>
      </c>
      <c r="M1082" s="2">
        <f ca="1">IFERROR(__xludf.DUMMYFUNCTION("""COMPUTED_VALUE"""),1399)</f>
        <v>1399</v>
      </c>
    </row>
    <row r="1083" spans="1:13">
      <c r="A1083" s="2">
        <f ca="1">IFERROR(__xludf.DUMMYFUNCTION("""COMPUTED_VALUE"""),1096)</f>
        <v>1096</v>
      </c>
      <c r="B1083" s="2" t="str">
        <f ca="1">IFERROR(__xludf.DUMMYFUNCTION("""COMPUTED_VALUE"""),"Lenovo")</f>
        <v>Lenovo</v>
      </c>
      <c r="C1083" s="2" t="str">
        <f ca="1">IFERROR(__xludf.DUMMYFUNCTION("""COMPUTED_VALUE"""),"IdeaPad Y900-17ISK")</f>
        <v>IdeaPad Y900-17ISK</v>
      </c>
      <c r="D1083" s="2" t="str">
        <f ca="1">IFERROR(__xludf.DUMMYFUNCTION("""COMPUTED_VALUE"""),"Gaming")</f>
        <v>Gaming</v>
      </c>
      <c r="E1083" s="2">
        <f ca="1">IFERROR(__xludf.DUMMYFUNCTION("""COMPUTED_VALUE"""),17.3)</f>
        <v>17.3</v>
      </c>
      <c r="F1083" s="2" t="str">
        <f ca="1">IFERROR(__xludf.DUMMYFUNCTION("""COMPUTED_VALUE"""),"IPS Panel Full HD 1920x1080")</f>
        <v>IPS Panel Full HD 1920x1080</v>
      </c>
      <c r="G1083" s="2" t="str">
        <f ca="1">IFERROR(__xludf.DUMMYFUNCTION("""COMPUTED_VALUE"""),"Intel Core i7 6820HK 2.7GHz")</f>
        <v>Intel Core i7 6820HK 2.7GHz</v>
      </c>
      <c r="H1083" s="2" t="str">
        <f ca="1">IFERROR(__xludf.DUMMYFUNCTION("""COMPUTED_VALUE"""),"32GB")</f>
        <v>32GB</v>
      </c>
      <c r="I1083" s="2" t="str">
        <f ca="1">IFERROR(__xludf.DUMMYFUNCTION("""COMPUTED_VALUE"""),"512GB SSD +  1.0TB Hybrid")</f>
        <v>512GB SSD +  1.0TB Hybrid</v>
      </c>
      <c r="J1083" s="2" t="str">
        <f ca="1">IFERROR(__xludf.DUMMYFUNCTION("""COMPUTED_VALUE"""),"Nvidia GeForce GTX 980M")</f>
        <v>Nvidia GeForce GTX 980M</v>
      </c>
      <c r="K1083" s="2" t="str">
        <f ca="1">IFERROR(__xludf.DUMMYFUNCTION("""COMPUTED_VALUE"""),"Windows 10")</f>
        <v>Windows 10</v>
      </c>
      <c r="L1083" s="2" t="str">
        <f ca="1">IFERROR(__xludf.DUMMYFUNCTION("""COMPUTED_VALUE"""),"4.6kg")</f>
        <v>4.6kg</v>
      </c>
      <c r="M1083" s="2">
        <f ca="1">IFERROR(__xludf.DUMMYFUNCTION("""COMPUTED_VALUE"""),3240)</f>
        <v>3240</v>
      </c>
    </row>
    <row r="1084" spans="1:13">
      <c r="A1084" s="2">
        <f ca="1">IFERROR(__xludf.DUMMYFUNCTION("""COMPUTED_VALUE"""),1097)</f>
        <v>1097</v>
      </c>
      <c r="B1084" s="2" t="str">
        <f ca="1">IFERROR(__xludf.DUMMYFUNCTION("""COMPUTED_VALUE"""),"Lenovo")</f>
        <v>Lenovo</v>
      </c>
      <c r="C1084" s="2" t="str">
        <f ca="1">IFERROR(__xludf.DUMMYFUNCTION("""COMPUTED_VALUE"""),"Yoga Book")</f>
        <v>Yoga Book</v>
      </c>
      <c r="D1084" s="2" t="str">
        <f ca="1">IFERROR(__xludf.DUMMYFUNCTION("""COMPUTED_VALUE"""),"2 in 1 Convertible")</f>
        <v>2 in 1 Convertible</v>
      </c>
      <c r="E1084" s="2">
        <f ca="1">IFERROR(__xludf.DUMMYFUNCTION("""COMPUTED_VALUE"""),10.1)</f>
        <v>10.1</v>
      </c>
      <c r="F1084" s="2" t="str">
        <f ca="1">IFERROR(__xludf.DUMMYFUNCTION("""COMPUTED_VALUE"""),"IPS Panel Touchscreen 1920x1200")</f>
        <v>IPS Panel Touchscreen 1920x1200</v>
      </c>
      <c r="G1084" s="2" t="str">
        <f ca="1">IFERROR(__xludf.DUMMYFUNCTION("""COMPUTED_VALUE"""),"Intel Atom x5-Z8550 1.44GHz")</f>
        <v>Intel Atom x5-Z8550 1.44GHz</v>
      </c>
      <c r="H1084" s="2" t="str">
        <f ca="1">IFERROR(__xludf.DUMMYFUNCTION("""COMPUTED_VALUE"""),"4GB")</f>
        <v>4GB</v>
      </c>
      <c r="I1084" s="2" t="str">
        <f ca="1">IFERROR(__xludf.DUMMYFUNCTION("""COMPUTED_VALUE"""),"64GB Flash Storage")</f>
        <v>64GB Flash Storage</v>
      </c>
      <c r="J1084" s="2" t="str">
        <f ca="1">IFERROR(__xludf.DUMMYFUNCTION("""COMPUTED_VALUE"""),"Intel HD Graphics 400")</f>
        <v>Intel HD Graphics 400</v>
      </c>
      <c r="K1084" s="2" t="str">
        <f ca="1">IFERROR(__xludf.DUMMYFUNCTION("""COMPUTED_VALUE"""),"Windows 10")</f>
        <v>Windows 10</v>
      </c>
      <c r="L1084" s="2" t="str">
        <f ca="1">IFERROR(__xludf.DUMMYFUNCTION("""COMPUTED_VALUE"""),"0.69kg")</f>
        <v>0.69kg</v>
      </c>
      <c r="M1084" s="2">
        <f ca="1">IFERROR(__xludf.DUMMYFUNCTION("""COMPUTED_VALUE"""),646.27)</f>
        <v>646.27</v>
      </c>
    </row>
    <row r="1085" spans="1:13">
      <c r="A1085" s="2">
        <f ca="1">IFERROR(__xludf.DUMMYFUNCTION("""COMPUTED_VALUE"""),1098)</f>
        <v>1098</v>
      </c>
      <c r="B1085" s="2" t="str">
        <f ca="1">IFERROR(__xludf.DUMMYFUNCTION("""COMPUTED_VALUE"""),"HP")</f>
        <v>HP</v>
      </c>
      <c r="C1085" s="2" t="str">
        <f ca="1">IFERROR(__xludf.DUMMYFUNCTION("""COMPUTED_VALUE"""),"Spectre x360")</f>
        <v>Spectre x360</v>
      </c>
      <c r="D1085" s="2" t="str">
        <f ca="1">IFERROR(__xludf.DUMMYFUNCTION("""COMPUTED_VALUE"""),"Ultrabook")</f>
        <v>Ultrabook</v>
      </c>
      <c r="E1085" s="2">
        <f ca="1">IFERROR(__xludf.DUMMYFUNCTION("""COMPUTED_VALUE"""),13.3)</f>
        <v>13.3</v>
      </c>
      <c r="F1085" s="2" t="str">
        <f ca="1">IFERROR(__xludf.DUMMYFUNCTION("""COMPUTED_VALUE"""),"IPS Panel 4K Ultra HD 3840x2160")</f>
        <v>IPS Panel 4K Ultra HD 3840x2160</v>
      </c>
      <c r="G1085" s="2" t="str">
        <f ca="1">IFERROR(__xludf.DUMMYFUNCTION("""COMPUTED_VALUE"""),"Intel Core i7 7500U 2.7GHz")</f>
        <v>Intel Core i7 7500U 2.7GHz</v>
      </c>
      <c r="H1085" s="2" t="str">
        <f ca="1">IFERROR(__xludf.DUMMYFUNCTION("""COMPUTED_VALUE"""),"16GB")</f>
        <v>16GB</v>
      </c>
      <c r="I1085" s="2" t="str">
        <f ca="1">IFERROR(__xludf.DUMMYFUNCTION("""COMPUTED_VALUE"""),"512GB SSD")</f>
        <v>512GB SSD</v>
      </c>
      <c r="J1085" s="2" t="str">
        <f ca="1">IFERROR(__xludf.DUMMYFUNCTION("""COMPUTED_VALUE"""),"Intel HD Graphics 620")</f>
        <v>Intel HD Graphics 620</v>
      </c>
      <c r="K1085" s="2" t="str">
        <f ca="1">IFERROR(__xludf.DUMMYFUNCTION("""COMPUTED_VALUE"""),"Windows 10")</f>
        <v>Windows 10</v>
      </c>
      <c r="L1085" s="2" t="str">
        <f ca="1">IFERROR(__xludf.DUMMYFUNCTION("""COMPUTED_VALUE"""),"1.3kg")</f>
        <v>1.3kg</v>
      </c>
      <c r="M1085" s="2">
        <f ca="1">IFERROR(__xludf.DUMMYFUNCTION("""COMPUTED_VALUE"""),2049)</f>
        <v>2049</v>
      </c>
    </row>
    <row r="1086" spans="1:13">
      <c r="A1086" s="2">
        <f ca="1">IFERROR(__xludf.DUMMYFUNCTION("""COMPUTED_VALUE"""),1099)</f>
        <v>1099</v>
      </c>
      <c r="B1086" s="2" t="str">
        <f ca="1">IFERROR(__xludf.DUMMYFUNCTION("""COMPUTED_VALUE"""),"Dell")</f>
        <v>Dell</v>
      </c>
      <c r="C1086" s="2" t="str">
        <f ca="1">IFERROR(__xludf.DUMMYFUNCTION("""COMPUTED_VALUE"""),"Vostro 3568")</f>
        <v>Vostro 3568</v>
      </c>
      <c r="D1086" s="2" t="str">
        <f ca="1">IFERROR(__xludf.DUMMYFUNCTION("""COMPUTED_VALUE"""),"Notebook")</f>
        <v>Notebook</v>
      </c>
      <c r="E1086" s="2">
        <f ca="1">IFERROR(__xludf.DUMMYFUNCTION("""COMPUTED_VALUE"""),15.6)</f>
        <v>15.6</v>
      </c>
      <c r="F1086" s="2" t="str">
        <f ca="1">IFERROR(__xludf.DUMMYFUNCTION("""COMPUTED_VALUE"""),"Full HD 1920x1080")</f>
        <v>Full HD 1920x1080</v>
      </c>
      <c r="G1086" s="2" t="str">
        <f ca="1">IFERROR(__xludf.DUMMYFUNCTION("""COMPUTED_VALUE"""),"Intel Core i5 7200U 2.5GHz")</f>
        <v>Intel Core i5 7200U 2.5GHz</v>
      </c>
      <c r="H1086" s="2" t="str">
        <f ca="1">IFERROR(__xludf.DUMMYFUNCTION("""COMPUTED_VALUE"""),"8GB")</f>
        <v>8GB</v>
      </c>
      <c r="I1086" s="2" t="str">
        <f ca="1">IFERROR(__xludf.DUMMYFUNCTION("""COMPUTED_VALUE"""),"256GB SSD")</f>
        <v>256GB SSD</v>
      </c>
      <c r="J1086" s="2" t="str">
        <f ca="1">IFERROR(__xludf.DUMMYFUNCTION("""COMPUTED_VALUE"""),"Intel HD Graphics 620")</f>
        <v>Intel HD Graphics 620</v>
      </c>
      <c r="K1086" s="2" t="str">
        <f ca="1">IFERROR(__xludf.DUMMYFUNCTION("""COMPUTED_VALUE"""),"Windows 10")</f>
        <v>Windows 10</v>
      </c>
      <c r="L1086" s="2" t="str">
        <f ca="1">IFERROR(__xludf.DUMMYFUNCTION("""COMPUTED_VALUE"""),"2.18kg")</f>
        <v>2.18kg</v>
      </c>
      <c r="M1086" s="2">
        <f ca="1">IFERROR(__xludf.DUMMYFUNCTION("""COMPUTED_VALUE"""),750)</f>
        <v>750</v>
      </c>
    </row>
    <row r="1087" spans="1:13">
      <c r="A1087" s="2">
        <f ca="1">IFERROR(__xludf.DUMMYFUNCTION("""COMPUTED_VALUE"""),1100)</f>
        <v>1100</v>
      </c>
      <c r="B1087" s="2" t="str">
        <f ca="1">IFERROR(__xludf.DUMMYFUNCTION("""COMPUTED_VALUE"""),"HP")</f>
        <v>HP</v>
      </c>
      <c r="C1087" s="2" t="str">
        <f ca="1">IFERROR(__xludf.DUMMYFUNCTION("""COMPUTED_VALUE"""),"EliteBook 840")</f>
        <v>EliteBook 840</v>
      </c>
      <c r="D1087" s="2" t="str">
        <f ca="1">IFERROR(__xludf.DUMMYFUNCTION("""COMPUTED_VALUE"""),"Notebook")</f>
        <v>Notebook</v>
      </c>
      <c r="E1087" s="2">
        <f ca="1">IFERROR(__xludf.DUMMYFUNCTION("""COMPUTED_VALUE"""),14)</f>
        <v>14</v>
      </c>
      <c r="F1087" s="2" t="str">
        <f ca="1">IFERROR(__xludf.DUMMYFUNCTION("""COMPUTED_VALUE"""),"Full HD 1920x1080")</f>
        <v>Full HD 1920x1080</v>
      </c>
      <c r="G1087" s="2" t="str">
        <f ca="1">IFERROR(__xludf.DUMMYFUNCTION("""COMPUTED_VALUE"""),"Intel Core i5 6200U 2.3GHz")</f>
        <v>Intel Core i5 6200U 2.3GHz</v>
      </c>
      <c r="H1087" s="2" t="str">
        <f ca="1">IFERROR(__xludf.DUMMYFUNCTION("""COMPUTED_VALUE"""),"4GB")</f>
        <v>4GB</v>
      </c>
      <c r="I1087" s="2" t="str">
        <f ca="1">IFERROR(__xludf.DUMMYFUNCTION("""COMPUTED_VALUE"""),"500GB HDD")</f>
        <v>500GB HDD</v>
      </c>
      <c r="J1087" s="2" t="str">
        <f ca="1">IFERROR(__xludf.DUMMYFUNCTION("""COMPUTED_VALUE"""),"Intel HD Graphics 520")</f>
        <v>Intel HD Graphics 520</v>
      </c>
      <c r="K1087" s="2" t="str">
        <f ca="1">IFERROR(__xludf.DUMMYFUNCTION("""COMPUTED_VALUE"""),"Windows 7")</f>
        <v>Windows 7</v>
      </c>
      <c r="L1087" s="2" t="str">
        <f ca="1">IFERROR(__xludf.DUMMYFUNCTION("""COMPUTED_VALUE"""),"1.54kg")</f>
        <v>1.54kg</v>
      </c>
      <c r="M1087" s="2">
        <f ca="1">IFERROR(__xludf.DUMMYFUNCTION("""COMPUTED_VALUE"""),1030.99)</f>
        <v>1030.99</v>
      </c>
    </row>
    <row r="1088" spans="1:13">
      <c r="A1088" s="2">
        <f ca="1">IFERROR(__xludf.DUMMYFUNCTION("""COMPUTED_VALUE"""),1101)</f>
        <v>1101</v>
      </c>
      <c r="B1088" s="2" t="str">
        <f ca="1">IFERROR(__xludf.DUMMYFUNCTION("""COMPUTED_VALUE"""),"HP")</f>
        <v>HP</v>
      </c>
      <c r="C1088" s="2" t="str">
        <f ca="1">IFERROR(__xludf.DUMMYFUNCTION("""COMPUTED_VALUE"""),"ZBook 15u")</f>
        <v>ZBook 15u</v>
      </c>
      <c r="D1088" s="2" t="str">
        <f ca="1">IFERROR(__xludf.DUMMYFUNCTION("""COMPUTED_VALUE"""),"Workstation")</f>
        <v>Workstation</v>
      </c>
      <c r="E1088" s="2">
        <f ca="1">IFERROR(__xludf.DUMMYFUNCTION("""COMPUTED_VALUE"""),15.6)</f>
        <v>15.6</v>
      </c>
      <c r="F1088" s="2" t="str">
        <f ca="1">IFERROR(__xludf.DUMMYFUNCTION("""COMPUTED_VALUE"""),"Full HD 1920x1080")</f>
        <v>Full HD 1920x1080</v>
      </c>
      <c r="G1088" s="2" t="str">
        <f ca="1">IFERROR(__xludf.DUMMYFUNCTION("""COMPUTED_VALUE"""),"Intel Core i7 6500U 2.5GHz")</f>
        <v>Intel Core i7 6500U 2.5GHz</v>
      </c>
      <c r="H1088" s="2" t="str">
        <f ca="1">IFERROR(__xludf.DUMMYFUNCTION("""COMPUTED_VALUE"""),"8GB")</f>
        <v>8GB</v>
      </c>
      <c r="I1088" s="2" t="str">
        <f ca="1">IFERROR(__xludf.DUMMYFUNCTION("""COMPUTED_VALUE"""),"256GB SSD")</f>
        <v>256GB SSD</v>
      </c>
      <c r="J1088" s="2" t="str">
        <f ca="1">IFERROR(__xludf.DUMMYFUNCTION("""COMPUTED_VALUE"""),"AMD FirePro W4190M")</f>
        <v>AMD FirePro W4190M</v>
      </c>
      <c r="K1088" s="2" t="str">
        <f ca="1">IFERROR(__xludf.DUMMYFUNCTION("""COMPUTED_VALUE"""),"Windows 7")</f>
        <v>Windows 7</v>
      </c>
      <c r="L1088" s="2" t="str">
        <f ca="1">IFERROR(__xludf.DUMMYFUNCTION("""COMPUTED_VALUE"""),"1.9kg")</f>
        <v>1.9kg</v>
      </c>
      <c r="M1088" s="2">
        <f ca="1">IFERROR(__xludf.DUMMYFUNCTION("""COMPUTED_VALUE"""),1495)</f>
        <v>1495</v>
      </c>
    </row>
    <row r="1089" spans="1:13">
      <c r="A1089" s="2">
        <f ca="1">IFERROR(__xludf.DUMMYFUNCTION("""COMPUTED_VALUE"""),1102)</f>
        <v>1102</v>
      </c>
      <c r="B1089" s="2" t="str">
        <f ca="1">IFERROR(__xludf.DUMMYFUNCTION("""COMPUTED_VALUE"""),"Lenovo")</f>
        <v>Lenovo</v>
      </c>
      <c r="C1089" s="2" t="str">
        <f ca="1">IFERROR(__xludf.DUMMYFUNCTION("""COMPUTED_VALUE"""),"ThinkPad T460")</f>
        <v>ThinkPad T460</v>
      </c>
      <c r="D1089" s="2" t="str">
        <f ca="1">IFERROR(__xludf.DUMMYFUNCTION("""COMPUTED_VALUE"""),"Notebook")</f>
        <v>Notebook</v>
      </c>
      <c r="E1089" s="2">
        <f ca="1">IFERROR(__xludf.DUMMYFUNCTION("""COMPUTED_VALUE"""),14)</f>
        <v>14</v>
      </c>
      <c r="F1089" s="2" t="str">
        <f ca="1">IFERROR(__xludf.DUMMYFUNCTION("""COMPUTED_VALUE"""),"Full HD 1920x1080")</f>
        <v>Full HD 1920x1080</v>
      </c>
      <c r="G1089" s="2" t="str">
        <f ca="1">IFERROR(__xludf.DUMMYFUNCTION("""COMPUTED_VALUE"""),"Intel Core i5 6200U 2.3GHz")</f>
        <v>Intel Core i5 6200U 2.3GHz</v>
      </c>
      <c r="H1089" s="2" t="str">
        <f ca="1">IFERROR(__xludf.DUMMYFUNCTION("""COMPUTED_VALUE"""),"8GB")</f>
        <v>8GB</v>
      </c>
      <c r="I1089" s="2" t="str">
        <f ca="1">IFERROR(__xludf.DUMMYFUNCTION("""COMPUTED_VALUE"""),"180GB SSD")</f>
        <v>180GB SSD</v>
      </c>
      <c r="J1089" s="2" t="str">
        <f ca="1">IFERROR(__xludf.DUMMYFUNCTION("""COMPUTED_VALUE"""),"Intel HD Graphics 520")</f>
        <v>Intel HD Graphics 520</v>
      </c>
      <c r="K1089" s="2" t="str">
        <f ca="1">IFERROR(__xludf.DUMMYFUNCTION("""COMPUTED_VALUE"""),"Windows 7")</f>
        <v>Windows 7</v>
      </c>
      <c r="L1089" s="2" t="str">
        <f ca="1">IFERROR(__xludf.DUMMYFUNCTION("""COMPUTED_VALUE"""),"1.7kg")</f>
        <v>1.7kg</v>
      </c>
      <c r="M1089" s="2">
        <f ca="1">IFERROR(__xludf.DUMMYFUNCTION("""COMPUTED_VALUE"""),1199)</f>
        <v>1199</v>
      </c>
    </row>
    <row r="1090" spans="1:13">
      <c r="A1090" s="2">
        <f ca="1">IFERROR(__xludf.DUMMYFUNCTION("""COMPUTED_VALUE"""),1103)</f>
        <v>1103</v>
      </c>
      <c r="B1090" s="2" t="str">
        <f ca="1">IFERROR(__xludf.DUMMYFUNCTION("""COMPUTED_VALUE"""),"HP")</f>
        <v>HP</v>
      </c>
      <c r="C1090" s="2" t="str">
        <f ca="1">IFERROR(__xludf.DUMMYFUNCTION("""COMPUTED_VALUE"""),"Chromebook 13")</f>
        <v>Chromebook 13</v>
      </c>
      <c r="D1090" s="2" t="str">
        <f ca="1">IFERROR(__xludf.DUMMYFUNCTION("""COMPUTED_VALUE"""),"Notebook")</f>
        <v>Notebook</v>
      </c>
      <c r="E1090" s="2">
        <f ca="1">IFERROR(__xludf.DUMMYFUNCTION("""COMPUTED_VALUE"""),13.3)</f>
        <v>13.3</v>
      </c>
      <c r="F1090" s="2" t="str">
        <f ca="1">IFERROR(__xludf.DUMMYFUNCTION("""COMPUTED_VALUE"""),"Quad HD+ 3200x1800")</f>
        <v>Quad HD+ 3200x1800</v>
      </c>
      <c r="G1090" s="2" t="str">
        <f ca="1">IFERROR(__xludf.DUMMYFUNCTION("""COMPUTED_VALUE"""),"Intel Pentium Dual Core 4405Y 1.5GHz")</f>
        <v>Intel Pentium Dual Core 4405Y 1.5GHz</v>
      </c>
      <c r="H1090" s="2" t="str">
        <f ca="1">IFERROR(__xludf.DUMMYFUNCTION("""COMPUTED_VALUE"""),"4GB")</f>
        <v>4GB</v>
      </c>
      <c r="I1090" s="2" t="str">
        <f ca="1">IFERROR(__xludf.DUMMYFUNCTION("""COMPUTED_VALUE"""),"32GB Flash Storage")</f>
        <v>32GB Flash Storage</v>
      </c>
      <c r="J1090" s="2" t="str">
        <f ca="1">IFERROR(__xludf.DUMMYFUNCTION("""COMPUTED_VALUE"""),"Intel HD Graphics 515")</f>
        <v>Intel HD Graphics 515</v>
      </c>
      <c r="K1090" s="2" t="str">
        <f ca="1">IFERROR(__xludf.DUMMYFUNCTION("""COMPUTED_VALUE"""),"Chrome OS")</f>
        <v>Chrome OS</v>
      </c>
      <c r="L1090" s="2" t="str">
        <f ca="1">IFERROR(__xludf.DUMMYFUNCTION("""COMPUTED_VALUE"""),"1.29kg")</f>
        <v>1.29kg</v>
      </c>
      <c r="M1090" s="2">
        <f ca="1">IFERROR(__xludf.DUMMYFUNCTION("""COMPUTED_VALUE"""),615)</f>
        <v>615</v>
      </c>
    </row>
    <row r="1091" spans="1:13">
      <c r="A1091" s="2">
        <f ca="1">IFERROR(__xludf.DUMMYFUNCTION("""COMPUTED_VALUE"""),1104)</f>
        <v>1104</v>
      </c>
      <c r="B1091" s="2" t="str">
        <f ca="1">IFERROR(__xludf.DUMMYFUNCTION("""COMPUTED_VALUE"""),"Acer")</f>
        <v>Acer</v>
      </c>
      <c r="C1091" s="2" t="str">
        <f ca="1">IFERROR(__xludf.DUMMYFUNCTION("""COMPUTED_VALUE"""),"Aspire ES1-523")</f>
        <v>Aspire ES1-523</v>
      </c>
      <c r="D1091" s="2" t="str">
        <f ca="1">IFERROR(__xludf.DUMMYFUNCTION("""COMPUTED_VALUE"""),"Notebook")</f>
        <v>Notebook</v>
      </c>
      <c r="E1091" s="2">
        <f ca="1">IFERROR(__xludf.DUMMYFUNCTION("""COMPUTED_VALUE"""),15.6)</f>
        <v>15.6</v>
      </c>
      <c r="F1091" s="2" t="str">
        <f ca="1">IFERROR(__xludf.DUMMYFUNCTION("""COMPUTED_VALUE"""),"1366x768")</f>
        <v>1366x768</v>
      </c>
      <c r="G1091" s="2" t="str">
        <f ca="1">IFERROR(__xludf.DUMMYFUNCTION("""COMPUTED_VALUE"""),"AMD A8-Series 7410 2.2GHz")</f>
        <v>AMD A8-Series 7410 2.2GHz</v>
      </c>
      <c r="H1091" s="2" t="str">
        <f ca="1">IFERROR(__xludf.DUMMYFUNCTION("""COMPUTED_VALUE"""),"4GB")</f>
        <v>4GB</v>
      </c>
      <c r="I1091" s="2" t="str">
        <f ca="1">IFERROR(__xludf.DUMMYFUNCTION("""COMPUTED_VALUE"""),"500GB HDD")</f>
        <v>500GB HDD</v>
      </c>
      <c r="J1091" s="2" t="str">
        <f ca="1">IFERROR(__xludf.DUMMYFUNCTION("""COMPUTED_VALUE"""),"AMD Radeon R5")</f>
        <v>AMD Radeon R5</v>
      </c>
      <c r="K1091" s="2" t="str">
        <f ca="1">IFERROR(__xludf.DUMMYFUNCTION("""COMPUTED_VALUE"""),"Windows 10")</f>
        <v>Windows 10</v>
      </c>
      <c r="L1091" s="2" t="str">
        <f ca="1">IFERROR(__xludf.DUMMYFUNCTION("""COMPUTED_VALUE"""),"2.4kg")</f>
        <v>2.4kg</v>
      </c>
      <c r="M1091" s="2">
        <f ca="1">IFERROR(__xludf.DUMMYFUNCTION("""COMPUTED_VALUE"""),387)</f>
        <v>387</v>
      </c>
    </row>
    <row r="1092" spans="1:13">
      <c r="A1092" s="2">
        <f ca="1">IFERROR(__xludf.DUMMYFUNCTION("""COMPUTED_VALUE"""),1105)</f>
        <v>1105</v>
      </c>
      <c r="B1092" s="2" t="str">
        <f ca="1">IFERROR(__xludf.DUMMYFUNCTION("""COMPUTED_VALUE"""),"Dell")</f>
        <v>Dell</v>
      </c>
      <c r="C1092" s="2" t="str">
        <f ca="1">IFERROR(__xludf.DUMMYFUNCTION("""COMPUTED_VALUE"""),"Inspiron 3552")</f>
        <v>Inspiron 3552</v>
      </c>
      <c r="D1092" s="2" t="str">
        <f ca="1">IFERROR(__xludf.DUMMYFUNCTION("""COMPUTED_VALUE"""),"Notebook")</f>
        <v>Notebook</v>
      </c>
      <c r="E1092" s="2">
        <f ca="1">IFERROR(__xludf.DUMMYFUNCTION("""COMPUTED_VALUE"""),15.6)</f>
        <v>15.6</v>
      </c>
      <c r="F1092" s="2" t="str">
        <f ca="1">IFERROR(__xludf.DUMMYFUNCTION("""COMPUTED_VALUE"""),"1366x768")</f>
        <v>1366x768</v>
      </c>
      <c r="G1092" s="2" t="str">
        <f ca="1">IFERROR(__xludf.DUMMYFUNCTION("""COMPUTED_VALUE"""),"Intel Pentium Quad Core N3700 1.6GHz")</f>
        <v>Intel Pentium Quad Core N3700 1.6GHz</v>
      </c>
      <c r="H1092" s="2" t="str">
        <f ca="1">IFERROR(__xludf.DUMMYFUNCTION("""COMPUTED_VALUE"""),"4GB")</f>
        <v>4GB</v>
      </c>
      <c r="I1092" s="2" t="str">
        <f ca="1">IFERROR(__xludf.DUMMYFUNCTION("""COMPUTED_VALUE"""),"500GB HDD")</f>
        <v>500GB HDD</v>
      </c>
      <c r="J1092" s="2" t="str">
        <f ca="1">IFERROR(__xludf.DUMMYFUNCTION("""COMPUTED_VALUE"""),"Intel HD Graphics")</f>
        <v>Intel HD Graphics</v>
      </c>
      <c r="K1092" s="2" t="str">
        <f ca="1">IFERROR(__xludf.DUMMYFUNCTION("""COMPUTED_VALUE"""),"Linux")</f>
        <v>Linux</v>
      </c>
      <c r="L1092" s="2" t="str">
        <f ca="1">IFERROR(__xludf.DUMMYFUNCTION("""COMPUTED_VALUE"""),"2.2kg")</f>
        <v>2.2kg</v>
      </c>
      <c r="M1092" s="2">
        <f ca="1">IFERROR(__xludf.DUMMYFUNCTION("""COMPUTED_VALUE"""),393.49)</f>
        <v>393.49</v>
      </c>
    </row>
    <row r="1093" spans="1:13">
      <c r="A1093" s="2">
        <f ca="1">IFERROR(__xludf.DUMMYFUNCTION("""COMPUTED_VALUE"""),1106)</f>
        <v>1106</v>
      </c>
      <c r="B1093" s="2" t="str">
        <f ca="1">IFERROR(__xludf.DUMMYFUNCTION("""COMPUTED_VALUE"""),"HP")</f>
        <v>HP</v>
      </c>
      <c r="C1093" s="2" t="str">
        <f ca="1">IFERROR(__xludf.DUMMYFUNCTION("""COMPUTED_VALUE"""),"250 G6")</f>
        <v>250 G6</v>
      </c>
      <c r="D1093" s="2" t="str">
        <f ca="1">IFERROR(__xludf.DUMMYFUNCTION("""COMPUTED_VALUE"""),"Notebook")</f>
        <v>Notebook</v>
      </c>
      <c r="E1093" s="2">
        <f ca="1">IFERROR(__xludf.DUMMYFUNCTION("""COMPUTED_VALUE"""),15.6)</f>
        <v>15.6</v>
      </c>
      <c r="F1093" s="2" t="str">
        <f ca="1">IFERROR(__xludf.DUMMYFUNCTION("""COMPUTED_VALUE"""),"1366x768")</f>
        <v>1366x768</v>
      </c>
      <c r="G1093" s="2" t="str">
        <f ca="1">IFERROR(__xludf.DUMMYFUNCTION("""COMPUTED_VALUE"""),"Intel Core i3 6006U 2GHz")</f>
        <v>Intel Core i3 6006U 2GHz</v>
      </c>
      <c r="H1093" s="2" t="str">
        <f ca="1">IFERROR(__xludf.DUMMYFUNCTION("""COMPUTED_VALUE"""),"4GB")</f>
        <v>4GB</v>
      </c>
      <c r="I1093" s="2" t="str">
        <f ca="1">IFERROR(__xludf.DUMMYFUNCTION("""COMPUTED_VALUE"""),"1TB HDD")</f>
        <v>1TB HDD</v>
      </c>
      <c r="J1093" s="2" t="str">
        <f ca="1">IFERROR(__xludf.DUMMYFUNCTION("""COMPUTED_VALUE"""),"Intel HD Graphics 520")</f>
        <v>Intel HD Graphics 520</v>
      </c>
      <c r="K1093" s="2" t="str">
        <f ca="1">IFERROR(__xludf.DUMMYFUNCTION("""COMPUTED_VALUE"""),"No OS")</f>
        <v>No OS</v>
      </c>
      <c r="L1093" s="2" t="str">
        <f ca="1">IFERROR(__xludf.DUMMYFUNCTION("""COMPUTED_VALUE"""),"1.86kg")</f>
        <v>1.86kg</v>
      </c>
      <c r="M1093" s="2">
        <f ca="1">IFERROR(__xludf.DUMMYFUNCTION("""COMPUTED_VALUE"""),345.99)</f>
        <v>345.99</v>
      </c>
    </row>
    <row r="1094" spans="1:13">
      <c r="A1094" s="2">
        <f ca="1">IFERROR(__xludf.DUMMYFUNCTION("""COMPUTED_VALUE"""),1107)</f>
        <v>1107</v>
      </c>
      <c r="B1094" s="2" t="str">
        <f ca="1">IFERROR(__xludf.DUMMYFUNCTION("""COMPUTED_VALUE"""),"Asus")</f>
        <v>Asus</v>
      </c>
      <c r="C1094" s="2" t="str">
        <f ca="1">IFERROR(__xludf.DUMMYFUNCTION("""COMPUTED_VALUE"""),"Rog GL702VM-GC354T")</f>
        <v>Rog GL702VM-GC354T</v>
      </c>
      <c r="D1094" s="2" t="str">
        <f ca="1">IFERROR(__xludf.DUMMYFUNCTION("""COMPUTED_VALUE"""),"Gaming")</f>
        <v>Gaming</v>
      </c>
      <c r="E1094" s="2">
        <f ca="1">IFERROR(__xludf.DUMMYFUNCTION("""COMPUTED_VALUE"""),17.3)</f>
        <v>17.3</v>
      </c>
      <c r="F1094" s="2" t="str">
        <f ca="1">IFERROR(__xludf.DUMMYFUNCTION("""COMPUTED_VALUE"""),"IPS Panel Full HD 1920x1080")</f>
        <v>IPS Panel Full HD 1920x1080</v>
      </c>
      <c r="G1094" s="2" t="str">
        <f ca="1">IFERROR(__xludf.DUMMYFUNCTION("""COMPUTED_VALUE"""),"Intel Core i7 7700HQ 2.8GHz")</f>
        <v>Intel Core i7 7700HQ 2.8GHz</v>
      </c>
      <c r="H1094" s="2" t="str">
        <f ca="1">IFERROR(__xludf.DUMMYFUNCTION("""COMPUTED_VALUE"""),"8GB")</f>
        <v>8GB</v>
      </c>
      <c r="I1094" s="2" t="str">
        <f ca="1">IFERROR(__xludf.DUMMYFUNCTION("""COMPUTED_VALUE"""),"256GB SSD +  1TB HDD")</f>
        <v>256GB SSD +  1TB HDD</v>
      </c>
      <c r="J1094" s="2" t="str">
        <f ca="1">IFERROR(__xludf.DUMMYFUNCTION("""COMPUTED_VALUE"""),"Nvidia GeForce GTX 1060")</f>
        <v>Nvidia GeForce GTX 1060</v>
      </c>
      <c r="K1094" s="2" t="str">
        <f ca="1">IFERROR(__xludf.DUMMYFUNCTION("""COMPUTED_VALUE"""),"Windows 10")</f>
        <v>Windows 10</v>
      </c>
      <c r="L1094" s="2" t="str">
        <f ca="1">IFERROR(__xludf.DUMMYFUNCTION("""COMPUTED_VALUE"""),"2.7kg")</f>
        <v>2.7kg</v>
      </c>
      <c r="M1094" s="2">
        <f ca="1">IFERROR(__xludf.DUMMYFUNCTION("""COMPUTED_VALUE"""),1599)</f>
        <v>1599</v>
      </c>
    </row>
    <row r="1095" spans="1:13">
      <c r="A1095" s="2">
        <f ca="1">IFERROR(__xludf.DUMMYFUNCTION("""COMPUTED_VALUE"""),1108)</f>
        <v>1108</v>
      </c>
      <c r="B1095" s="2" t="str">
        <f ca="1">IFERROR(__xludf.DUMMYFUNCTION("""COMPUTED_VALUE"""),"Dell")</f>
        <v>Dell</v>
      </c>
      <c r="C1095" s="2" t="str">
        <f ca="1">IFERROR(__xludf.DUMMYFUNCTION("""COMPUTED_VALUE"""),"Inspiron 5370")</f>
        <v>Inspiron 5370</v>
      </c>
      <c r="D1095" s="2" t="str">
        <f ca="1">IFERROR(__xludf.DUMMYFUNCTION("""COMPUTED_VALUE"""),"Ultrabook")</f>
        <v>Ultrabook</v>
      </c>
      <c r="E1095" s="2">
        <f ca="1">IFERROR(__xludf.DUMMYFUNCTION("""COMPUTED_VALUE"""),13.3)</f>
        <v>13.3</v>
      </c>
      <c r="F1095" s="2" t="str">
        <f ca="1">IFERROR(__xludf.DUMMYFUNCTION("""COMPUTED_VALUE"""),"IPS Panel Full HD 1920x1080")</f>
        <v>IPS Panel Full HD 1920x1080</v>
      </c>
      <c r="G1095" s="2" t="str">
        <f ca="1">IFERROR(__xludf.DUMMYFUNCTION("""COMPUTED_VALUE"""),"Intel Core i5 8250U 1.6GHz")</f>
        <v>Intel Core i5 8250U 1.6GHz</v>
      </c>
      <c r="H1095" s="2" t="str">
        <f ca="1">IFERROR(__xludf.DUMMYFUNCTION("""COMPUTED_VALUE"""),"4GB")</f>
        <v>4GB</v>
      </c>
      <c r="I1095" s="2" t="str">
        <f ca="1">IFERROR(__xludf.DUMMYFUNCTION("""COMPUTED_VALUE"""),"256GB SSD")</f>
        <v>256GB SSD</v>
      </c>
      <c r="J1095" s="2" t="str">
        <f ca="1">IFERROR(__xludf.DUMMYFUNCTION("""COMPUTED_VALUE"""),"AMD Radeon 530")</f>
        <v>AMD Radeon 530</v>
      </c>
      <c r="K1095" s="2" t="str">
        <f ca="1">IFERROR(__xludf.DUMMYFUNCTION("""COMPUTED_VALUE"""),"Windows 10")</f>
        <v>Windows 10</v>
      </c>
      <c r="L1095" s="2" t="str">
        <f ca="1">IFERROR(__xludf.DUMMYFUNCTION("""COMPUTED_VALUE"""),"1.4kg")</f>
        <v>1.4kg</v>
      </c>
      <c r="M1095" s="2">
        <f ca="1">IFERROR(__xludf.DUMMYFUNCTION("""COMPUTED_VALUE"""),818.35)</f>
        <v>818.35</v>
      </c>
    </row>
    <row r="1096" spans="1:13">
      <c r="A1096" s="2">
        <f ca="1">IFERROR(__xludf.DUMMYFUNCTION("""COMPUTED_VALUE"""),1109)</f>
        <v>1109</v>
      </c>
      <c r="B1096" s="2" t="str">
        <f ca="1">IFERROR(__xludf.DUMMYFUNCTION("""COMPUTED_VALUE"""),"HP")</f>
        <v>HP</v>
      </c>
      <c r="C1096" s="2" t="str">
        <f ca="1">IFERROR(__xludf.DUMMYFUNCTION("""COMPUTED_VALUE"""),"Elitebook 820")</f>
        <v>Elitebook 820</v>
      </c>
      <c r="D1096" s="2" t="str">
        <f ca="1">IFERROR(__xludf.DUMMYFUNCTION("""COMPUTED_VALUE"""),"Netbook")</f>
        <v>Netbook</v>
      </c>
      <c r="E1096" s="2">
        <f ca="1">IFERROR(__xludf.DUMMYFUNCTION("""COMPUTED_VALUE"""),12.5)</f>
        <v>12.5</v>
      </c>
      <c r="F1096" s="2" t="str">
        <f ca="1">IFERROR(__xludf.DUMMYFUNCTION("""COMPUTED_VALUE"""),"1366x768")</f>
        <v>1366x768</v>
      </c>
      <c r="G1096" s="2" t="str">
        <f ca="1">IFERROR(__xludf.DUMMYFUNCTION("""COMPUTED_VALUE"""),"Intel Core i5 6200U 2.3GHz")</f>
        <v>Intel Core i5 6200U 2.3GHz</v>
      </c>
      <c r="H1096" s="2" t="str">
        <f ca="1">IFERROR(__xludf.DUMMYFUNCTION("""COMPUTED_VALUE"""),"4GB")</f>
        <v>4GB</v>
      </c>
      <c r="I1096" s="2" t="str">
        <f ca="1">IFERROR(__xludf.DUMMYFUNCTION("""COMPUTED_VALUE"""),"128GB SSD")</f>
        <v>128GB SSD</v>
      </c>
      <c r="J1096" s="2" t="str">
        <f ca="1">IFERROR(__xludf.DUMMYFUNCTION("""COMPUTED_VALUE"""),"Intel HD Graphics 520")</f>
        <v>Intel HD Graphics 520</v>
      </c>
      <c r="K1096" s="2" t="str">
        <f ca="1">IFERROR(__xludf.DUMMYFUNCTION("""COMPUTED_VALUE"""),"Windows 7")</f>
        <v>Windows 7</v>
      </c>
      <c r="L1096" s="2" t="str">
        <f ca="1">IFERROR(__xludf.DUMMYFUNCTION("""COMPUTED_VALUE"""),"2.4kg")</f>
        <v>2.4kg</v>
      </c>
      <c r="M1096" s="2">
        <f ca="1">IFERROR(__xludf.DUMMYFUNCTION("""COMPUTED_VALUE"""),1599)</f>
        <v>1599</v>
      </c>
    </row>
    <row r="1097" spans="1:13">
      <c r="A1097" s="2">
        <f ca="1">IFERROR(__xludf.DUMMYFUNCTION("""COMPUTED_VALUE"""),1110)</f>
        <v>1110</v>
      </c>
      <c r="B1097" s="2" t="str">
        <f ca="1">IFERROR(__xludf.DUMMYFUNCTION("""COMPUTED_VALUE"""),"Acer")</f>
        <v>Acer</v>
      </c>
      <c r="C1097" s="2" t="str">
        <f ca="1">IFERROR(__xludf.DUMMYFUNCTION("""COMPUTED_VALUE"""),"Aspire F5-573G")</f>
        <v>Aspire F5-573G</v>
      </c>
      <c r="D1097" s="2" t="str">
        <f ca="1">IFERROR(__xludf.DUMMYFUNCTION("""COMPUTED_VALUE"""),"Notebook")</f>
        <v>Notebook</v>
      </c>
      <c r="E1097" s="2">
        <f ca="1">IFERROR(__xludf.DUMMYFUNCTION("""COMPUTED_VALUE"""),15.6)</f>
        <v>15.6</v>
      </c>
      <c r="F1097" s="2" t="str">
        <f ca="1">IFERROR(__xludf.DUMMYFUNCTION("""COMPUTED_VALUE"""),"Full HD 1920x1080")</f>
        <v>Full HD 1920x1080</v>
      </c>
      <c r="G1097" s="2" t="str">
        <f ca="1">IFERROR(__xludf.DUMMYFUNCTION("""COMPUTED_VALUE"""),"Intel Core i5 7200U 2.5GHz")</f>
        <v>Intel Core i5 7200U 2.5GHz</v>
      </c>
      <c r="H1097" s="2" t="str">
        <f ca="1">IFERROR(__xludf.DUMMYFUNCTION("""COMPUTED_VALUE"""),"8GB")</f>
        <v>8GB</v>
      </c>
      <c r="I1097" s="2" t="str">
        <f ca="1">IFERROR(__xludf.DUMMYFUNCTION("""COMPUTED_VALUE"""),"256GB SSD +  1TB HDD")</f>
        <v>256GB SSD +  1TB HDD</v>
      </c>
      <c r="J1097" s="2" t="str">
        <f ca="1">IFERROR(__xludf.DUMMYFUNCTION("""COMPUTED_VALUE"""),"Nvidia GeForce GTX 950M")</f>
        <v>Nvidia GeForce GTX 950M</v>
      </c>
      <c r="K1097" s="2" t="str">
        <f ca="1">IFERROR(__xludf.DUMMYFUNCTION("""COMPUTED_VALUE"""),"Windows 10")</f>
        <v>Windows 10</v>
      </c>
      <c r="L1097" s="2" t="str">
        <f ca="1">IFERROR(__xludf.DUMMYFUNCTION("""COMPUTED_VALUE"""),"2.4kg")</f>
        <v>2.4kg</v>
      </c>
      <c r="M1097" s="2">
        <f ca="1">IFERROR(__xludf.DUMMYFUNCTION("""COMPUTED_VALUE"""),799)</f>
        <v>799</v>
      </c>
    </row>
    <row r="1098" spans="1:13">
      <c r="A1098" s="2">
        <f ca="1">IFERROR(__xludf.DUMMYFUNCTION("""COMPUTED_VALUE"""),1111)</f>
        <v>1111</v>
      </c>
      <c r="B1098" s="2" t="str">
        <f ca="1">IFERROR(__xludf.DUMMYFUNCTION("""COMPUTED_VALUE"""),"Dell")</f>
        <v>Dell</v>
      </c>
      <c r="C1098" s="2" t="str">
        <f ca="1">IFERROR(__xludf.DUMMYFUNCTION("""COMPUTED_VALUE"""),"Inspiron 5567")</f>
        <v>Inspiron 5567</v>
      </c>
      <c r="D1098" s="2" t="str">
        <f ca="1">IFERROR(__xludf.DUMMYFUNCTION("""COMPUTED_VALUE"""),"Notebook")</f>
        <v>Notebook</v>
      </c>
      <c r="E1098" s="2">
        <f ca="1">IFERROR(__xludf.DUMMYFUNCTION("""COMPUTED_VALUE"""),15.6)</f>
        <v>15.6</v>
      </c>
      <c r="F1098" s="2" t="str">
        <f ca="1">IFERROR(__xludf.DUMMYFUNCTION("""COMPUTED_VALUE"""),"Full HD 1920x1080")</f>
        <v>Full HD 1920x1080</v>
      </c>
      <c r="G1098" s="2" t="str">
        <f ca="1">IFERROR(__xludf.DUMMYFUNCTION("""COMPUTED_VALUE"""),"Intel Core i5 7200U 2.5GHz")</f>
        <v>Intel Core i5 7200U 2.5GHz</v>
      </c>
      <c r="H1098" s="2" t="str">
        <f ca="1">IFERROR(__xludf.DUMMYFUNCTION("""COMPUTED_VALUE"""),"8GB")</f>
        <v>8GB</v>
      </c>
      <c r="I1098" s="2" t="str">
        <f ca="1">IFERROR(__xludf.DUMMYFUNCTION("""COMPUTED_VALUE"""),"1TB HDD")</f>
        <v>1TB HDD</v>
      </c>
      <c r="J1098" s="2" t="str">
        <f ca="1">IFERROR(__xludf.DUMMYFUNCTION("""COMPUTED_VALUE"""),"AMD Radeon R7 M445")</f>
        <v>AMD Radeon R7 M445</v>
      </c>
      <c r="K1098" s="2" t="str">
        <f ca="1">IFERROR(__xludf.DUMMYFUNCTION("""COMPUTED_VALUE"""),"Windows 10")</f>
        <v>Windows 10</v>
      </c>
      <c r="L1098" s="2" t="str">
        <f ca="1">IFERROR(__xludf.DUMMYFUNCTION("""COMPUTED_VALUE"""),"2.36kg")</f>
        <v>2.36kg</v>
      </c>
      <c r="M1098" s="2">
        <f ca="1">IFERROR(__xludf.DUMMYFUNCTION("""COMPUTED_VALUE"""),638.8)</f>
        <v>638.79999999999995</v>
      </c>
    </row>
    <row r="1099" spans="1:13">
      <c r="A1099" s="2">
        <f ca="1">IFERROR(__xludf.DUMMYFUNCTION("""COMPUTED_VALUE"""),1112)</f>
        <v>1112</v>
      </c>
      <c r="B1099" s="2" t="str">
        <f ca="1">IFERROR(__xludf.DUMMYFUNCTION("""COMPUTED_VALUE"""),"MSI")</f>
        <v>MSI</v>
      </c>
      <c r="C1099" s="2" t="str">
        <f ca="1">IFERROR(__xludf.DUMMYFUNCTION("""COMPUTED_VALUE"""),"GS70 Stealth")</f>
        <v>GS70 Stealth</v>
      </c>
      <c r="D1099" s="2" t="str">
        <f ca="1">IFERROR(__xludf.DUMMYFUNCTION("""COMPUTED_VALUE"""),"Gaming")</f>
        <v>Gaming</v>
      </c>
      <c r="E1099" s="2">
        <f ca="1">IFERROR(__xludf.DUMMYFUNCTION("""COMPUTED_VALUE"""),17.3)</f>
        <v>17.3</v>
      </c>
      <c r="F1099" s="2" t="str">
        <f ca="1">IFERROR(__xludf.DUMMYFUNCTION("""COMPUTED_VALUE"""),"Full HD 1920x1080")</f>
        <v>Full HD 1920x1080</v>
      </c>
      <c r="G1099" s="2" t="str">
        <f ca="1">IFERROR(__xludf.DUMMYFUNCTION("""COMPUTED_VALUE"""),"Intel Core i7 6700HQ 2.6GHz")</f>
        <v>Intel Core i7 6700HQ 2.6GHz</v>
      </c>
      <c r="H1099" s="2" t="str">
        <f ca="1">IFERROR(__xludf.DUMMYFUNCTION("""COMPUTED_VALUE"""),"8GB")</f>
        <v>8GB</v>
      </c>
      <c r="I1099" s="2" t="str">
        <f ca="1">IFERROR(__xludf.DUMMYFUNCTION("""COMPUTED_VALUE"""),"256GB SSD")</f>
        <v>256GB SSD</v>
      </c>
      <c r="J1099" s="2" t="str">
        <f ca="1">IFERROR(__xludf.DUMMYFUNCTION("""COMPUTED_VALUE"""),"Nvidia GeForce GTX 965M")</f>
        <v>Nvidia GeForce GTX 965M</v>
      </c>
      <c r="K1099" s="2" t="str">
        <f ca="1">IFERROR(__xludf.DUMMYFUNCTION("""COMPUTED_VALUE"""),"Windows 10")</f>
        <v>Windows 10</v>
      </c>
      <c r="L1099" s="2" t="str">
        <f ca="1">IFERROR(__xludf.DUMMYFUNCTION("""COMPUTED_VALUE"""),"2.6kg")</f>
        <v>2.6kg</v>
      </c>
      <c r="M1099" s="2">
        <f ca="1">IFERROR(__xludf.DUMMYFUNCTION("""COMPUTED_VALUE"""),1599)</f>
        <v>1599</v>
      </c>
    </row>
    <row r="1100" spans="1:13">
      <c r="A1100" s="2">
        <f ca="1">IFERROR(__xludf.DUMMYFUNCTION("""COMPUTED_VALUE"""),1113)</f>
        <v>1113</v>
      </c>
      <c r="B1100" s="2" t="str">
        <f ca="1">IFERROR(__xludf.DUMMYFUNCTION("""COMPUTED_VALUE"""),"HP")</f>
        <v>HP</v>
      </c>
      <c r="C1100" s="2" t="str">
        <f ca="1">IFERROR(__xludf.DUMMYFUNCTION("""COMPUTED_VALUE"""),"250 G5")</f>
        <v>250 G5</v>
      </c>
      <c r="D1100" s="2" t="str">
        <f ca="1">IFERROR(__xludf.DUMMYFUNCTION("""COMPUTED_VALUE"""),"Notebook")</f>
        <v>Notebook</v>
      </c>
      <c r="E1100" s="2">
        <f ca="1">IFERROR(__xludf.DUMMYFUNCTION("""COMPUTED_VALUE"""),15.6)</f>
        <v>15.6</v>
      </c>
      <c r="F1100" s="2" t="str">
        <f ca="1">IFERROR(__xludf.DUMMYFUNCTION("""COMPUTED_VALUE"""),"1366x768")</f>
        <v>1366x768</v>
      </c>
      <c r="G1100" s="2" t="str">
        <f ca="1">IFERROR(__xludf.DUMMYFUNCTION("""COMPUTED_VALUE"""),"Intel Pentium Quad Core N3710 1.6GHz")</f>
        <v>Intel Pentium Quad Core N3710 1.6GHz</v>
      </c>
      <c r="H1100" s="2" t="str">
        <f ca="1">IFERROR(__xludf.DUMMYFUNCTION("""COMPUTED_VALUE"""),"4GB")</f>
        <v>4GB</v>
      </c>
      <c r="I1100" s="2" t="str">
        <f ca="1">IFERROR(__xludf.DUMMYFUNCTION("""COMPUTED_VALUE"""),"1TB HDD")</f>
        <v>1TB HDD</v>
      </c>
      <c r="J1100" s="2" t="str">
        <f ca="1">IFERROR(__xludf.DUMMYFUNCTION("""COMPUTED_VALUE"""),"Intel HD Graphics 405")</f>
        <v>Intel HD Graphics 405</v>
      </c>
      <c r="K1100" s="2" t="str">
        <f ca="1">IFERROR(__xludf.DUMMYFUNCTION("""COMPUTED_VALUE"""),"Windows 10")</f>
        <v>Windows 10</v>
      </c>
      <c r="L1100" s="2" t="str">
        <f ca="1">IFERROR(__xludf.DUMMYFUNCTION("""COMPUTED_VALUE"""),"1.96kg")</f>
        <v>1.96kg</v>
      </c>
      <c r="M1100" s="2">
        <f ca="1">IFERROR(__xludf.DUMMYFUNCTION("""COMPUTED_VALUE"""),500)</f>
        <v>500</v>
      </c>
    </row>
    <row r="1101" spans="1:13">
      <c r="A1101" s="2">
        <f ca="1">IFERROR(__xludf.DUMMYFUNCTION("""COMPUTED_VALUE"""),1114)</f>
        <v>1114</v>
      </c>
      <c r="B1101" s="2" t="str">
        <f ca="1">IFERROR(__xludf.DUMMYFUNCTION("""COMPUTED_VALUE"""),"Asus")</f>
        <v>Asus</v>
      </c>
      <c r="C1101" s="2" t="str">
        <f ca="1">IFERROR(__xludf.DUMMYFUNCTION("""COMPUTED_VALUE"""),"G752VY-GC162T (i7-6700HQ/16GB/1TB")</f>
        <v>G752VY-GC162T (i7-6700HQ/16GB/1TB</v>
      </c>
      <c r="D1101" s="2" t="str">
        <f ca="1">IFERROR(__xludf.DUMMYFUNCTION("""COMPUTED_VALUE"""),"Gaming")</f>
        <v>Gaming</v>
      </c>
      <c r="E1101" s="2">
        <f ca="1">IFERROR(__xludf.DUMMYFUNCTION("""COMPUTED_VALUE"""),17.3)</f>
        <v>17.3</v>
      </c>
      <c r="F1101" s="2" t="str">
        <f ca="1">IFERROR(__xludf.DUMMYFUNCTION("""COMPUTED_VALUE"""),"IPS Panel Full HD 1920x1080")</f>
        <v>IPS Panel Full HD 1920x1080</v>
      </c>
      <c r="G1101" s="2" t="str">
        <f ca="1">IFERROR(__xludf.DUMMYFUNCTION("""COMPUTED_VALUE"""),"Intel Core i7 6700HQ 2.6GHz")</f>
        <v>Intel Core i7 6700HQ 2.6GHz</v>
      </c>
      <c r="H1101" s="2" t="str">
        <f ca="1">IFERROR(__xludf.DUMMYFUNCTION("""COMPUTED_VALUE"""),"16GB")</f>
        <v>16GB</v>
      </c>
      <c r="I1101" s="2" t="str">
        <f ca="1">IFERROR(__xludf.DUMMYFUNCTION("""COMPUTED_VALUE"""),"128GB SSD +  1TB HDD")</f>
        <v>128GB SSD +  1TB HDD</v>
      </c>
      <c r="J1101" s="2" t="str">
        <f ca="1">IFERROR(__xludf.DUMMYFUNCTION("""COMPUTED_VALUE"""),"Nvidia GeForce GTX 980M")</f>
        <v>Nvidia GeForce GTX 980M</v>
      </c>
      <c r="K1101" s="2" t="str">
        <f ca="1">IFERROR(__xludf.DUMMYFUNCTION("""COMPUTED_VALUE"""),"Windows 10")</f>
        <v>Windows 10</v>
      </c>
      <c r="L1101" s="2" t="str">
        <f ca="1">IFERROR(__xludf.DUMMYFUNCTION("""COMPUTED_VALUE"""),"4.3kg")</f>
        <v>4.3kg</v>
      </c>
      <c r="M1101" s="2">
        <f ca="1">IFERROR(__xludf.DUMMYFUNCTION("""COMPUTED_VALUE"""),2299)</f>
        <v>2299</v>
      </c>
    </row>
    <row r="1102" spans="1:13">
      <c r="A1102" s="2">
        <f ca="1">IFERROR(__xludf.DUMMYFUNCTION("""COMPUTED_VALUE"""),1115)</f>
        <v>1115</v>
      </c>
      <c r="B1102" s="2" t="str">
        <f ca="1">IFERROR(__xludf.DUMMYFUNCTION("""COMPUTED_VALUE"""),"Dell")</f>
        <v>Dell</v>
      </c>
      <c r="C1102" s="2" t="str">
        <f ca="1">IFERROR(__xludf.DUMMYFUNCTION("""COMPUTED_VALUE"""),"Latitude E5270")</f>
        <v>Latitude E5270</v>
      </c>
      <c r="D1102" s="2" t="str">
        <f ca="1">IFERROR(__xludf.DUMMYFUNCTION("""COMPUTED_VALUE"""),"Ultrabook")</f>
        <v>Ultrabook</v>
      </c>
      <c r="E1102" s="2">
        <f ca="1">IFERROR(__xludf.DUMMYFUNCTION("""COMPUTED_VALUE"""),12.5)</f>
        <v>12.5</v>
      </c>
      <c r="F1102" s="2" t="str">
        <f ca="1">IFERROR(__xludf.DUMMYFUNCTION("""COMPUTED_VALUE"""),"1366x768")</f>
        <v>1366x768</v>
      </c>
      <c r="G1102" s="2" t="str">
        <f ca="1">IFERROR(__xludf.DUMMYFUNCTION("""COMPUTED_VALUE"""),"Intel Core i3 6100U 2.3GHz")</f>
        <v>Intel Core i3 6100U 2.3GHz</v>
      </c>
      <c r="H1102" s="2" t="str">
        <f ca="1">IFERROR(__xludf.DUMMYFUNCTION("""COMPUTED_VALUE"""),"4GB")</f>
        <v>4GB</v>
      </c>
      <c r="I1102" s="2" t="str">
        <f ca="1">IFERROR(__xludf.DUMMYFUNCTION("""COMPUTED_VALUE"""),"500GB HDD")</f>
        <v>500GB HDD</v>
      </c>
      <c r="J1102" s="2" t="str">
        <f ca="1">IFERROR(__xludf.DUMMYFUNCTION("""COMPUTED_VALUE"""),"Intel HD Graphics 520")</f>
        <v>Intel HD Graphics 520</v>
      </c>
      <c r="K1102" s="2" t="str">
        <f ca="1">IFERROR(__xludf.DUMMYFUNCTION("""COMPUTED_VALUE"""),"Windows 7")</f>
        <v>Windows 7</v>
      </c>
      <c r="L1102" s="2" t="str">
        <f ca="1">IFERROR(__xludf.DUMMYFUNCTION("""COMPUTED_VALUE"""),"1.5kg")</f>
        <v>1.5kg</v>
      </c>
      <c r="M1102" s="2">
        <f ca="1">IFERROR(__xludf.DUMMYFUNCTION("""COMPUTED_VALUE"""),1135.15)</f>
        <v>1135.1500000000001</v>
      </c>
    </row>
    <row r="1103" spans="1:13">
      <c r="A1103" s="2">
        <f ca="1">IFERROR(__xludf.DUMMYFUNCTION("""COMPUTED_VALUE"""),1116)</f>
        <v>1116</v>
      </c>
      <c r="B1103" s="2" t="str">
        <f ca="1">IFERROR(__xludf.DUMMYFUNCTION("""COMPUTED_VALUE"""),"Dell")</f>
        <v>Dell</v>
      </c>
      <c r="C1103" s="2" t="str">
        <f ca="1">IFERROR(__xludf.DUMMYFUNCTION("""COMPUTED_VALUE"""),"Latitude E5270")</f>
        <v>Latitude E5270</v>
      </c>
      <c r="D1103" s="2" t="str">
        <f ca="1">IFERROR(__xludf.DUMMYFUNCTION("""COMPUTED_VALUE"""),"Ultrabook")</f>
        <v>Ultrabook</v>
      </c>
      <c r="E1103" s="2">
        <f ca="1">IFERROR(__xludf.DUMMYFUNCTION("""COMPUTED_VALUE"""),12.5)</f>
        <v>12.5</v>
      </c>
      <c r="F1103" s="2" t="str">
        <f ca="1">IFERROR(__xludf.DUMMYFUNCTION("""COMPUTED_VALUE"""),"1366x768")</f>
        <v>1366x768</v>
      </c>
      <c r="G1103" s="2" t="str">
        <f ca="1">IFERROR(__xludf.DUMMYFUNCTION("""COMPUTED_VALUE"""),"Intel Core i3 6100U 2.3GHz")</f>
        <v>Intel Core i3 6100U 2.3GHz</v>
      </c>
      <c r="H1103" s="2" t="str">
        <f ca="1">IFERROR(__xludf.DUMMYFUNCTION("""COMPUTED_VALUE"""),"4GB")</f>
        <v>4GB</v>
      </c>
      <c r="I1103" s="2" t="str">
        <f ca="1">IFERROR(__xludf.DUMMYFUNCTION("""COMPUTED_VALUE"""),"128GB SSD")</f>
        <v>128GB SSD</v>
      </c>
      <c r="J1103" s="2" t="str">
        <f ca="1">IFERROR(__xludf.DUMMYFUNCTION("""COMPUTED_VALUE"""),"Intel HD Graphics 520")</f>
        <v>Intel HD Graphics 520</v>
      </c>
      <c r="K1103" s="2" t="str">
        <f ca="1">IFERROR(__xludf.DUMMYFUNCTION("""COMPUTED_VALUE"""),"Windows 7")</f>
        <v>Windows 7</v>
      </c>
      <c r="L1103" s="2" t="str">
        <f ca="1">IFERROR(__xludf.DUMMYFUNCTION("""COMPUTED_VALUE"""),"1.5kg")</f>
        <v>1.5kg</v>
      </c>
      <c r="M1103" s="2">
        <f ca="1">IFERROR(__xludf.DUMMYFUNCTION("""COMPUTED_VALUE"""),1166.97)</f>
        <v>1166.97</v>
      </c>
    </row>
    <row r="1104" spans="1:13">
      <c r="A1104" s="2">
        <f ca="1">IFERROR(__xludf.DUMMYFUNCTION("""COMPUTED_VALUE"""),1117)</f>
        <v>1117</v>
      </c>
      <c r="B1104" s="2" t="str">
        <f ca="1">IFERROR(__xludf.DUMMYFUNCTION("""COMPUTED_VALUE"""),"Acer")</f>
        <v>Acer</v>
      </c>
      <c r="C1104" s="2" t="str">
        <f ca="1">IFERROR(__xludf.DUMMYFUNCTION("""COMPUTED_VALUE"""),"Chromebook 15")</f>
        <v>Chromebook 15</v>
      </c>
      <c r="D1104" s="2" t="str">
        <f ca="1">IFERROR(__xludf.DUMMYFUNCTION("""COMPUTED_VALUE"""),"Notebook")</f>
        <v>Notebook</v>
      </c>
      <c r="E1104" s="2">
        <f ca="1">IFERROR(__xludf.DUMMYFUNCTION("""COMPUTED_VALUE"""),15.6)</f>
        <v>15.6</v>
      </c>
      <c r="F1104" s="2" t="str">
        <f ca="1">IFERROR(__xludf.DUMMYFUNCTION("""COMPUTED_VALUE"""),"1366x768")</f>
        <v>1366x768</v>
      </c>
      <c r="G1104" s="2" t="str">
        <f ca="1">IFERROR(__xludf.DUMMYFUNCTION("""COMPUTED_VALUE"""),"Intel Celeron Dual Core 3205U 1.5GHz")</f>
        <v>Intel Celeron Dual Core 3205U 1.5GHz</v>
      </c>
      <c r="H1104" s="2" t="str">
        <f ca="1">IFERROR(__xludf.DUMMYFUNCTION("""COMPUTED_VALUE"""),"4GB")</f>
        <v>4GB</v>
      </c>
      <c r="I1104" s="2" t="str">
        <f ca="1">IFERROR(__xludf.DUMMYFUNCTION("""COMPUTED_VALUE"""),"16GB SSD")</f>
        <v>16GB SSD</v>
      </c>
      <c r="J1104" s="2" t="str">
        <f ca="1">IFERROR(__xludf.DUMMYFUNCTION("""COMPUTED_VALUE"""),"Intel HD Graphics")</f>
        <v>Intel HD Graphics</v>
      </c>
      <c r="K1104" s="2" t="str">
        <f ca="1">IFERROR(__xludf.DUMMYFUNCTION("""COMPUTED_VALUE"""),"Chrome OS")</f>
        <v>Chrome OS</v>
      </c>
      <c r="L1104" s="2" t="str">
        <f ca="1">IFERROR(__xludf.DUMMYFUNCTION("""COMPUTED_VALUE"""),"2.20kg")</f>
        <v>2.20kg</v>
      </c>
      <c r="M1104" s="2">
        <f ca="1">IFERROR(__xludf.DUMMYFUNCTION("""COMPUTED_VALUE"""),209)</f>
        <v>209</v>
      </c>
    </row>
    <row r="1105" spans="1:13">
      <c r="A1105" s="2">
        <f ca="1">IFERROR(__xludf.DUMMYFUNCTION("""COMPUTED_VALUE"""),1118)</f>
        <v>1118</v>
      </c>
      <c r="B1105" s="2" t="str">
        <f ca="1">IFERROR(__xludf.DUMMYFUNCTION("""COMPUTED_VALUE"""),"HP")</f>
        <v>HP</v>
      </c>
      <c r="C1105" s="2" t="str">
        <f ca="1">IFERROR(__xludf.DUMMYFUNCTION("""COMPUTED_VALUE"""),"ZBook 17")</f>
        <v>ZBook 17</v>
      </c>
      <c r="D1105" s="2" t="str">
        <f ca="1">IFERROR(__xludf.DUMMYFUNCTION("""COMPUTED_VALUE"""),"Workstation")</f>
        <v>Workstation</v>
      </c>
      <c r="E1105" s="2">
        <f ca="1">IFERROR(__xludf.DUMMYFUNCTION("""COMPUTED_VALUE"""),17.3)</f>
        <v>17.3</v>
      </c>
      <c r="F1105" s="2" t="str">
        <f ca="1">IFERROR(__xludf.DUMMYFUNCTION("""COMPUTED_VALUE"""),"IPS Panel Full HD 1920x1080")</f>
        <v>IPS Panel Full HD 1920x1080</v>
      </c>
      <c r="G1105" s="2" t="str">
        <f ca="1">IFERROR(__xludf.DUMMYFUNCTION("""COMPUTED_VALUE"""),"Intel Core i7 6700HQ 2.6GHz")</f>
        <v>Intel Core i7 6700HQ 2.6GHz</v>
      </c>
      <c r="H1105" s="2" t="str">
        <f ca="1">IFERROR(__xludf.DUMMYFUNCTION("""COMPUTED_VALUE"""),"8GB")</f>
        <v>8GB</v>
      </c>
      <c r="I1105" s="2" t="str">
        <f ca="1">IFERROR(__xludf.DUMMYFUNCTION("""COMPUTED_VALUE"""),"1TB HDD")</f>
        <v>1TB HDD</v>
      </c>
      <c r="J1105" s="2" t="str">
        <f ca="1">IFERROR(__xludf.DUMMYFUNCTION("""COMPUTED_VALUE"""),"AMD FirePro W6150M")</f>
        <v>AMD FirePro W6150M</v>
      </c>
      <c r="K1105" s="2" t="str">
        <f ca="1">IFERROR(__xludf.DUMMYFUNCTION("""COMPUTED_VALUE"""),"Windows 7")</f>
        <v>Windows 7</v>
      </c>
      <c r="L1105" s="2" t="str">
        <f ca="1">IFERROR(__xludf.DUMMYFUNCTION("""COMPUTED_VALUE"""),"3.0kg")</f>
        <v>3.0kg</v>
      </c>
      <c r="M1105" s="2">
        <f ca="1">IFERROR(__xludf.DUMMYFUNCTION("""COMPUTED_VALUE"""),2899)</f>
        <v>2899</v>
      </c>
    </row>
    <row r="1106" spans="1:13">
      <c r="A1106" s="2">
        <f ca="1">IFERROR(__xludf.DUMMYFUNCTION("""COMPUTED_VALUE"""),1119)</f>
        <v>1119</v>
      </c>
      <c r="B1106" s="2" t="str">
        <f ca="1">IFERROR(__xludf.DUMMYFUNCTION("""COMPUTED_VALUE"""),"Lenovo")</f>
        <v>Lenovo</v>
      </c>
      <c r="C1106" s="2" t="str">
        <f ca="1">IFERROR(__xludf.DUMMYFUNCTION("""COMPUTED_VALUE"""),"Legion Y520-15IKBN")</f>
        <v>Legion Y520-15IKBN</v>
      </c>
      <c r="D1106" s="2" t="str">
        <f ca="1">IFERROR(__xludf.DUMMYFUNCTION("""COMPUTED_VALUE"""),"Gaming")</f>
        <v>Gaming</v>
      </c>
      <c r="E1106" s="2">
        <f ca="1">IFERROR(__xludf.DUMMYFUNCTION("""COMPUTED_VALUE"""),15.6)</f>
        <v>15.6</v>
      </c>
      <c r="F1106" s="2" t="str">
        <f ca="1">IFERROR(__xludf.DUMMYFUNCTION("""COMPUTED_VALUE"""),"Full HD 1920x1080")</f>
        <v>Full HD 1920x1080</v>
      </c>
      <c r="G1106" s="2" t="str">
        <f ca="1">IFERROR(__xludf.DUMMYFUNCTION("""COMPUTED_VALUE"""),"Intel Core i7 7700HQ 2.8GHz")</f>
        <v>Intel Core i7 7700HQ 2.8GHz</v>
      </c>
      <c r="H1106" s="2" t="str">
        <f ca="1">IFERROR(__xludf.DUMMYFUNCTION("""COMPUTED_VALUE"""),"16GB")</f>
        <v>16GB</v>
      </c>
      <c r="I1106" s="2" t="str">
        <f ca="1">IFERROR(__xludf.DUMMYFUNCTION("""COMPUTED_VALUE"""),"512GB SSD")</f>
        <v>512GB SSD</v>
      </c>
      <c r="J1106" s="2" t="str">
        <f ca="1">IFERROR(__xludf.DUMMYFUNCTION("""COMPUTED_VALUE"""),"Nvidia GeForce GTX 1050 Ti")</f>
        <v>Nvidia GeForce GTX 1050 Ti</v>
      </c>
      <c r="K1106" s="2" t="str">
        <f ca="1">IFERROR(__xludf.DUMMYFUNCTION("""COMPUTED_VALUE"""),"Windows 10")</f>
        <v>Windows 10</v>
      </c>
      <c r="L1106" s="2" t="str">
        <f ca="1">IFERROR(__xludf.DUMMYFUNCTION("""COMPUTED_VALUE"""),"2.4kg")</f>
        <v>2.4kg</v>
      </c>
      <c r="M1106" s="2">
        <f ca="1">IFERROR(__xludf.DUMMYFUNCTION("""COMPUTED_VALUE"""),1199)</f>
        <v>1199</v>
      </c>
    </row>
    <row r="1107" spans="1:13">
      <c r="A1107" s="2">
        <f ca="1">IFERROR(__xludf.DUMMYFUNCTION("""COMPUTED_VALUE"""),1120)</f>
        <v>1120</v>
      </c>
      <c r="B1107" s="2" t="str">
        <f ca="1">IFERROR(__xludf.DUMMYFUNCTION("""COMPUTED_VALUE"""),"Dell")</f>
        <v>Dell</v>
      </c>
      <c r="C1107" s="2" t="str">
        <f ca="1">IFERROR(__xludf.DUMMYFUNCTION("""COMPUTED_VALUE"""),"Latitude E5270")</f>
        <v>Latitude E5270</v>
      </c>
      <c r="D1107" s="2" t="str">
        <f ca="1">IFERROR(__xludf.DUMMYFUNCTION("""COMPUTED_VALUE"""),"Ultrabook")</f>
        <v>Ultrabook</v>
      </c>
      <c r="E1107" s="2">
        <f ca="1">IFERROR(__xludf.DUMMYFUNCTION("""COMPUTED_VALUE"""),12.5)</f>
        <v>12.5</v>
      </c>
      <c r="F1107" s="2" t="str">
        <f ca="1">IFERROR(__xludf.DUMMYFUNCTION("""COMPUTED_VALUE"""),"1366x768")</f>
        <v>1366x768</v>
      </c>
      <c r="G1107" s="2" t="str">
        <f ca="1">IFERROR(__xludf.DUMMYFUNCTION("""COMPUTED_VALUE"""),"Intel Core i5 6200U 2.3GHz")</f>
        <v>Intel Core i5 6200U 2.3GHz</v>
      </c>
      <c r="H1107" s="2" t="str">
        <f ca="1">IFERROR(__xludf.DUMMYFUNCTION("""COMPUTED_VALUE"""),"8GB")</f>
        <v>8GB</v>
      </c>
      <c r="I1107" s="2" t="str">
        <f ca="1">IFERROR(__xludf.DUMMYFUNCTION("""COMPUTED_VALUE"""),"256GB SSD")</f>
        <v>256GB SSD</v>
      </c>
      <c r="J1107" s="2" t="str">
        <f ca="1">IFERROR(__xludf.DUMMYFUNCTION("""COMPUTED_VALUE"""),"Intel HD Graphics 520")</f>
        <v>Intel HD Graphics 520</v>
      </c>
      <c r="K1107" s="2" t="str">
        <f ca="1">IFERROR(__xludf.DUMMYFUNCTION("""COMPUTED_VALUE"""),"Windows 7")</f>
        <v>Windows 7</v>
      </c>
      <c r="L1107" s="2" t="str">
        <f ca="1">IFERROR(__xludf.DUMMYFUNCTION("""COMPUTED_VALUE"""),"1.5kg")</f>
        <v>1.5kg</v>
      </c>
      <c r="M1107" s="2">
        <f ca="1">IFERROR(__xludf.DUMMYFUNCTION("""COMPUTED_VALUE"""),1413.1)</f>
        <v>1413.1</v>
      </c>
    </row>
    <row r="1108" spans="1:13">
      <c r="A1108" s="2">
        <f ca="1">IFERROR(__xludf.DUMMYFUNCTION("""COMPUTED_VALUE"""),1121)</f>
        <v>1121</v>
      </c>
      <c r="B1108" s="2" t="str">
        <f ca="1">IFERROR(__xludf.DUMMYFUNCTION("""COMPUTED_VALUE"""),"MSI")</f>
        <v>MSI</v>
      </c>
      <c r="C1108" s="2" t="str">
        <f ca="1">IFERROR(__xludf.DUMMYFUNCTION("""COMPUTED_VALUE"""),"GE72 Apache")</f>
        <v>GE72 Apache</v>
      </c>
      <c r="D1108" s="2" t="str">
        <f ca="1">IFERROR(__xludf.DUMMYFUNCTION("""COMPUTED_VALUE"""),"Gaming")</f>
        <v>Gaming</v>
      </c>
      <c r="E1108" s="2">
        <f ca="1">IFERROR(__xludf.DUMMYFUNCTION("""COMPUTED_VALUE"""),17.3)</f>
        <v>17.3</v>
      </c>
      <c r="F1108" s="2" t="str">
        <f ca="1">IFERROR(__xludf.DUMMYFUNCTION("""COMPUTED_VALUE"""),"Full HD 1920x1080")</f>
        <v>Full HD 1920x1080</v>
      </c>
      <c r="G1108" s="2" t="str">
        <f ca="1">IFERROR(__xludf.DUMMYFUNCTION("""COMPUTED_VALUE"""),"Intel Core i7 6700HQ 2.6GHz")</f>
        <v>Intel Core i7 6700HQ 2.6GHz</v>
      </c>
      <c r="H1108" s="2" t="str">
        <f ca="1">IFERROR(__xludf.DUMMYFUNCTION("""COMPUTED_VALUE"""),"8GB")</f>
        <v>8GB</v>
      </c>
      <c r="I1108" s="2" t="str">
        <f ca="1">IFERROR(__xludf.DUMMYFUNCTION("""COMPUTED_VALUE"""),"128GB SSD +  1TB HDD")</f>
        <v>128GB SSD +  1TB HDD</v>
      </c>
      <c r="J1108" s="2" t="str">
        <f ca="1">IFERROR(__xludf.DUMMYFUNCTION("""COMPUTED_VALUE"""),"Nvidia GeForce GTX 960M")</f>
        <v>Nvidia GeForce GTX 960M</v>
      </c>
      <c r="K1108" s="2" t="str">
        <f ca="1">IFERROR(__xludf.DUMMYFUNCTION("""COMPUTED_VALUE"""),"Windows 10")</f>
        <v>Windows 10</v>
      </c>
      <c r="L1108" s="2" t="str">
        <f ca="1">IFERROR(__xludf.DUMMYFUNCTION("""COMPUTED_VALUE"""),"2.9kg")</f>
        <v>2.9kg</v>
      </c>
      <c r="M1108" s="2">
        <f ca="1">IFERROR(__xludf.DUMMYFUNCTION("""COMPUTED_VALUE"""),1511.19)</f>
        <v>1511.19</v>
      </c>
    </row>
    <row r="1109" spans="1:13">
      <c r="A1109" s="2">
        <f ca="1">IFERROR(__xludf.DUMMYFUNCTION("""COMPUTED_VALUE"""),1122)</f>
        <v>1122</v>
      </c>
      <c r="B1109" s="2" t="str">
        <f ca="1">IFERROR(__xludf.DUMMYFUNCTION("""COMPUTED_VALUE"""),"Lenovo")</f>
        <v>Lenovo</v>
      </c>
      <c r="C1109" s="2" t="str">
        <f ca="1">IFERROR(__xludf.DUMMYFUNCTION("""COMPUTED_VALUE"""),"Yoga 500-15ISK")</f>
        <v>Yoga 500-15ISK</v>
      </c>
      <c r="D1109" s="2" t="str">
        <f ca="1">IFERROR(__xludf.DUMMYFUNCTION("""COMPUTED_VALUE"""),"2 in 1 Convertible")</f>
        <v>2 in 1 Convertible</v>
      </c>
      <c r="E1109" s="2">
        <f ca="1">IFERROR(__xludf.DUMMYFUNCTION("""COMPUTED_VALUE"""),15.6)</f>
        <v>15.6</v>
      </c>
      <c r="F1109" s="2" t="str">
        <f ca="1">IFERROR(__xludf.DUMMYFUNCTION("""COMPUTED_VALUE"""),"IPS Panel Full HD / Touchscreen 1920x1080")</f>
        <v>IPS Panel Full HD / Touchscreen 1920x1080</v>
      </c>
      <c r="G1109" s="2" t="str">
        <f ca="1">IFERROR(__xludf.DUMMYFUNCTION("""COMPUTED_VALUE"""),"Intel Core i5 6200U 2.3GHz")</f>
        <v>Intel Core i5 6200U 2.3GHz</v>
      </c>
      <c r="H1109" s="2" t="str">
        <f ca="1">IFERROR(__xludf.DUMMYFUNCTION("""COMPUTED_VALUE"""),"4GB")</f>
        <v>4GB</v>
      </c>
      <c r="I1109" s="2" t="str">
        <f ca="1">IFERROR(__xludf.DUMMYFUNCTION("""COMPUTED_VALUE"""),"256GB SSD")</f>
        <v>256GB SSD</v>
      </c>
      <c r="J1109" s="2" t="str">
        <f ca="1">IFERROR(__xludf.DUMMYFUNCTION("""COMPUTED_VALUE"""),"Intel HD Graphics 520")</f>
        <v>Intel HD Graphics 520</v>
      </c>
      <c r="K1109" s="2" t="str">
        <f ca="1">IFERROR(__xludf.DUMMYFUNCTION("""COMPUTED_VALUE"""),"Windows 10")</f>
        <v>Windows 10</v>
      </c>
      <c r="L1109" s="2" t="str">
        <f ca="1">IFERROR(__xludf.DUMMYFUNCTION("""COMPUTED_VALUE"""),"2.1kg")</f>
        <v>2.1kg</v>
      </c>
      <c r="M1109" s="2">
        <f ca="1">IFERROR(__xludf.DUMMYFUNCTION("""COMPUTED_VALUE"""),867)</f>
        <v>867</v>
      </c>
    </row>
    <row r="1110" spans="1:13">
      <c r="A1110" s="2">
        <f ca="1">IFERROR(__xludf.DUMMYFUNCTION("""COMPUTED_VALUE"""),1123)</f>
        <v>1123</v>
      </c>
      <c r="B1110" s="2" t="str">
        <f ca="1">IFERROR(__xludf.DUMMYFUNCTION("""COMPUTED_VALUE"""),"HP")</f>
        <v>HP</v>
      </c>
      <c r="C1110" s="2" t="str">
        <f ca="1">IFERROR(__xludf.DUMMYFUNCTION("""COMPUTED_VALUE"""),"15-bw011nv (A6-9220/4GB/1TB/FHD/W10)")</f>
        <v>15-bw011nv (A6-9220/4GB/1TB/FHD/W10)</v>
      </c>
      <c r="D1110" s="2" t="str">
        <f ca="1">IFERROR(__xludf.DUMMYFUNCTION("""COMPUTED_VALUE"""),"Notebook")</f>
        <v>Notebook</v>
      </c>
      <c r="E1110" s="2">
        <f ca="1">IFERROR(__xludf.DUMMYFUNCTION("""COMPUTED_VALUE"""),15.6)</f>
        <v>15.6</v>
      </c>
      <c r="F1110" s="2" t="str">
        <f ca="1">IFERROR(__xludf.DUMMYFUNCTION("""COMPUTED_VALUE"""),"Full HD 1920x1080")</f>
        <v>Full HD 1920x1080</v>
      </c>
      <c r="G1110" s="2" t="str">
        <f ca="1">IFERROR(__xludf.DUMMYFUNCTION("""COMPUTED_VALUE"""),"AMD A6-Series 9220 2.5GHz")</f>
        <v>AMD A6-Series 9220 2.5GHz</v>
      </c>
      <c r="H1110" s="2" t="str">
        <f ca="1">IFERROR(__xludf.DUMMYFUNCTION("""COMPUTED_VALUE"""),"4GB")</f>
        <v>4GB</v>
      </c>
      <c r="I1110" s="2" t="str">
        <f ca="1">IFERROR(__xludf.DUMMYFUNCTION("""COMPUTED_VALUE"""),"1TB HDD")</f>
        <v>1TB HDD</v>
      </c>
      <c r="J1110" s="2" t="str">
        <f ca="1">IFERROR(__xludf.DUMMYFUNCTION("""COMPUTED_VALUE"""),"AMD Radeon R4")</f>
        <v>AMD Radeon R4</v>
      </c>
      <c r="K1110" s="2" t="str">
        <f ca="1">IFERROR(__xludf.DUMMYFUNCTION("""COMPUTED_VALUE"""),"Windows 10")</f>
        <v>Windows 10</v>
      </c>
      <c r="L1110" s="2" t="str">
        <f ca="1">IFERROR(__xludf.DUMMYFUNCTION("""COMPUTED_VALUE"""),"2.1kg")</f>
        <v>2.1kg</v>
      </c>
      <c r="M1110" s="2">
        <f ca="1">IFERROR(__xludf.DUMMYFUNCTION("""COMPUTED_VALUE"""),398)</f>
        <v>398</v>
      </c>
    </row>
    <row r="1111" spans="1:13">
      <c r="A1111" s="2">
        <f ca="1">IFERROR(__xludf.DUMMYFUNCTION("""COMPUTED_VALUE"""),1124)</f>
        <v>1124</v>
      </c>
      <c r="B1111" s="2" t="str">
        <f ca="1">IFERROR(__xludf.DUMMYFUNCTION("""COMPUTED_VALUE"""),"Asus")</f>
        <v>Asus</v>
      </c>
      <c r="C1111" s="2" t="str">
        <f ca="1">IFERROR(__xludf.DUMMYFUNCTION("""COMPUTED_VALUE"""),"Rog GL552VW-CN470T")</f>
        <v>Rog GL552VW-CN470T</v>
      </c>
      <c r="D1111" s="2" t="str">
        <f ca="1">IFERROR(__xludf.DUMMYFUNCTION("""COMPUTED_VALUE"""),"Gaming")</f>
        <v>Gaming</v>
      </c>
      <c r="E1111" s="2">
        <f ca="1">IFERROR(__xludf.DUMMYFUNCTION("""COMPUTED_VALUE"""),15.6)</f>
        <v>15.6</v>
      </c>
      <c r="F1111" s="2" t="str">
        <f ca="1">IFERROR(__xludf.DUMMYFUNCTION("""COMPUTED_VALUE"""),"IPS Panel Full HD 1920x1080")</f>
        <v>IPS Panel Full HD 1920x1080</v>
      </c>
      <c r="G1111" s="2" t="str">
        <f ca="1">IFERROR(__xludf.DUMMYFUNCTION("""COMPUTED_VALUE"""),"Intel Core i7 6700HQ 2.6GHz")</f>
        <v>Intel Core i7 6700HQ 2.6GHz</v>
      </c>
      <c r="H1111" s="2" t="str">
        <f ca="1">IFERROR(__xludf.DUMMYFUNCTION("""COMPUTED_VALUE"""),"16GB")</f>
        <v>16GB</v>
      </c>
      <c r="I1111" s="2" t="str">
        <f ca="1">IFERROR(__xludf.DUMMYFUNCTION("""COMPUTED_VALUE"""),"128GB SSD +  1TB HDD")</f>
        <v>128GB SSD +  1TB HDD</v>
      </c>
      <c r="J1111" s="2" t="str">
        <f ca="1">IFERROR(__xludf.DUMMYFUNCTION("""COMPUTED_VALUE"""),"Nvidia GeForce GTX 960M")</f>
        <v>Nvidia GeForce GTX 960M</v>
      </c>
      <c r="K1111" s="2" t="str">
        <f ca="1">IFERROR(__xludf.DUMMYFUNCTION("""COMPUTED_VALUE"""),"Windows 10")</f>
        <v>Windows 10</v>
      </c>
      <c r="L1111" s="2" t="str">
        <f ca="1">IFERROR(__xludf.DUMMYFUNCTION("""COMPUTED_VALUE"""),"2.59kg")</f>
        <v>2.59kg</v>
      </c>
      <c r="M1111" s="2">
        <f ca="1">IFERROR(__xludf.DUMMYFUNCTION("""COMPUTED_VALUE"""),1339)</f>
        <v>1339</v>
      </c>
    </row>
    <row r="1112" spans="1:13">
      <c r="A1112" s="2">
        <f ca="1">IFERROR(__xludf.DUMMYFUNCTION("""COMPUTED_VALUE"""),1125)</f>
        <v>1125</v>
      </c>
      <c r="B1112" s="2" t="str">
        <f ca="1">IFERROR(__xludf.DUMMYFUNCTION("""COMPUTED_VALUE"""),"HP")</f>
        <v>HP</v>
      </c>
      <c r="C1112" s="2" t="str">
        <f ca="1">IFERROR(__xludf.DUMMYFUNCTION("""COMPUTED_VALUE"""),"EliteBook 1030")</f>
        <v>EliteBook 1030</v>
      </c>
      <c r="D1112" s="2" t="str">
        <f ca="1">IFERROR(__xludf.DUMMYFUNCTION("""COMPUTED_VALUE"""),"Notebook")</f>
        <v>Notebook</v>
      </c>
      <c r="E1112" s="2">
        <f ca="1">IFERROR(__xludf.DUMMYFUNCTION("""COMPUTED_VALUE"""),13.3)</f>
        <v>13.3</v>
      </c>
      <c r="F1112" s="2" t="str">
        <f ca="1">IFERROR(__xludf.DUMMYFUNCTION("""COMPUTED_VALUE"""),"Quad HD+ / Touchscreen 3200x1800")</f>
        <v>Quad HD+ / Touchscreen 3200x1800</v>
      </c>
      <c r="G1112" s="2" t="str">
        <f ca="1">IFERROR(__xludf.DUMMYFUNCTION("""COMPUTED_VALUE"""),"Intel Core M 6Y54 1.1GHz")</f>
        <v>Intel Core M 6Y54 1.1GHz</v>
      </c>
      <c r="H1112" s="2" t="str">
        <f ca="1">IFERROR(__xludf.DUMMYFUNCTION("""COMPUTED_VALUE"""),"8GB")</f>
        <v>8GB</v>
      </c>
      <c r="I1112" s="2" t="str">
        <f ca="1">IFERROR(__xludf.DUMMYFUNCTION("""COMPUTED_VALUE"""),"256GB SSD")</f>
        <v>256GB SSD</v>
      </c>
      <c r="J1112" s="2" t="str">
        <f ca="1">IFERROR(__xludf.DUMMYFUNCTION("""COMPUTED_VALUE"""),"Intel HD Graphics 515")</f>
        <v>Intel HD Graphics 515</v>
      </c>
      <c r="K1112" s="2" t="str">
        <f ca="1">IFERROR(__xludf.DUMMYFUNCTION("""COMPUTED_VALUE"""),"Windows 10")</f>
        <v>Windows 10</v>
      </c>
      <c r="L1112" s="2" t="str">
        <f ca="1">IFERROR(__xludf.DUMMYFUNCTION("""COMPUTED_VALUE"""),"1.16kg")</f>
        <v>1.16kg</v>
      </c>
      <c r="M1112" s="2">
        <f ca="1">IFERROR(__xludf.DUMMYFUNCTION("""COMPUTED_VALUE"""),1699)</f>
        <v>1699</v>
      </c>
    </row>
    <row r="1113" spans="1:13">
      <c r="A1113" s="2">
        <f ca="1">IFERROR(__xludf.DUMMYFUNCTION("""COMPUTED_VALUE"""),1126)</f>
        <v>1126</v>
      </c>
      <c r="B1113" s="2" t="str">
        <f ca="1">IFERROR(__xludf.DUMMYFUNCTION("""COMPUTED_VALUE"""),"Dell")</f>
        <v>Dell</v>
      </c>
      <c r="C1113" s="2" t="str">
        <f ca="1">IFERROR(__xludf.DUMMYFUNCTION("""COMPUTED_VALUE"""),"Vostro 3559")</f>
        <v>Vostro 3559</v>
      </c>
      <c r="D1113" s="2" t="str">
        <f ca="1">IFERROR(__xludf.DUMMYFUNCTION("""COMPUTED_VALUE"""),"Notebook")</f>
        <v>Notebook</v>
      </c>
      <c r="E1113" s="2">
        <f ca="1">IFERROR(__xludf.DUMMYFUNCTION("""COMPUTED_VALUE"""),15.6)</f>
        <v>15.6</v>
      </c>
      <c r="F1113" s="2" t="str">
        <f ca="1">IFERROR(__xludf.DUMMYFUNCTION("""COMPUTED_VALUE"""),"1366x768")</f>
        <v>1366x768</v>
      </c>
      <c r="G1113" s="2" t="str">
        <f ca="1">IFERROR(__xludf.DUMMYFUNCTION("""COMPUTED_VALUE"""),"Intel Core i5 6200U 2.3GHz")</f>
        <v>Intel Core i5 6200U 2.3GHz</v>
      </c>
      <c r="H1113" s="2" t="str">
        <f ca="1">IFERROR(__xludf.DUMMYFUNCTION("""COMPUTED_VALUE"""),"4GB")</f>
        <v>4GB</v>
      </c>
      <c r="I1113" s="2" t="str">
        <f ca="1">IFERROR(__xludf.DUMMYFUNCTION("""COMPUTED_VALUE"""),"500GB HDD")</f>
        <v>500GB HDD</v>
      </c>
      <c r="J1113" s="2" t="str">
        <f ca="1">IFERROR(__xludf.DUMMYFUNCTION("""COMPUTED_VALUE"""),"AMD Radeon R5 M315")</f>
        <v>AMD Radeon R5 M315</v>
      </c>
      <c r="K1113" s="2" t="str">
        <f ca="1">IFERROR(__xludf.DUMMYFUNCTION("""COMPUTED_VALUE"""),"Windows 7")</f>
        <v>Windows 7</v>
      </c>
      <c r="L1113" s="2" t="str">
        <f ca="1">IFERROR(__xludf.DUMMYFUNCTION("""COMPUTED_VALUE"""),"2.24kg")</f>
        <v>2.24kg</v>
      </c>
      <c r="M1113" s="2">
        <f ca="1">IFERROR(__xludf.DUMMYFUNCTION("""COMPUTED_VALUE"""),769.15)</f>
        <v>769.15</v>
      </c>
    </row>
    <row r="1114" spans="1:13">
      <c r="A1114" s="2">
        <f ca="1">IFERROR(__xludf.DUMMYFUNCTION("""COMPUTED_VALUE"""),1127)</f>
        <v>1127</v>
      </c>
      <c r="B1114" s="2" t="str">
        <f ca="1">IFERROR(__xludf.DUMMYFUNCTION("""COMPUTED_VALUE"""),"Lenovo")</f>
        <v>Lenovo</v>
      </c>
      <c r="C1114" s="2" t="str">
        <f ca="1">IFERROR(__xludf.DUMMYFUNCTION("""COMPUTED_VALUE"""),"V110-15ISK (i3-6006U/4GB/128GB/W10)")</f>
        <v>V110-15ISK (i3-6006U/4GB/128GB/W10)</v>
      </c>
      <c r="D1114" s="2" t="str">
        <f ca="1">IFERROR(__xludf.DUMMYFUNCTION("""COMPUTED_VALUE"""),"Notebook")</f>
        <v>Notebook</v>
      </c>
      <c r="E1114" s="2">
        <f ca="1">IFERROR(__xludf.DUMMYFUNCTION("""COMPUTED_VALUE"""),15.6)</f>
        <v>15.6</v>
      </c>
      <c r="F1114" s="2" t="str">
        <f ca="1">IFERROR(__xludf.DUMMYFUNCTION("""COMPUTED_VALUE"""),"1366x768")</f>
        <v>1366x768</v>
      </c>
      <c r="G1114" s="2" t="str">
        <f ca="1">IFERROR(__xludf.DUMMYFUNCTION("""COMPUTED_VALUE"""),"Intel Core i3 6006U 2.0GHz")</f>
        <v>Intel Core i3 6006U 2.0GHz</v>
      </c>
      <c r="H1114" s="2" t="str">
        <f ca="1">IFERROR(__xludf.DUMMYFUNCTION("""COMPUTED_VALUE"""),"4GB")</f>
        <v>4GB</v>
      </c>
      <c r="I1114" s="2" t="str">
        <f ca="1">IFERROR(__xludf.DUMMYFUNCTION("""COMPUTED_VALUE"""),"128GB SSD")</f>
        <v>128GB SSD</v>
      </c>
      <c r="J1114" s="2" t="str">
        <f ca="1">IFERROR(__xludf.DUMMYFUNCTION("""COMPUTED_VALUE"""),"Intel HD Graphics 520")</f>
        <v>Intel HD Graphics 520</v>
      </c>
      <c r="K1114" s="2" t="str">
        <f ca="1">IFERROR(__xludf.DUMMYFUNCTION("""COMPUTED_VALUE"""),"Windows 10")</f>
        <v>Windows 10</v>
      </c>
      <c r="L1114" s="2" t="str">
        <f ca="1">IFERROR(__xludf.DUMMYFUNCTION("""COMPUTED_VALUE"""),"2.1kg")</f>
        <v>2.1kg</v>
      </c>
      <c r="M1114" s="2">
        <f ca="1">IFERROR(__xludf.DUMMYFUNCTION("""COMPUTED_VALUE"""),429)</f>
        <v>429</v>
      </c>
    </row>
    <row r="1115" spans="1:13">
      <c r="A1115" s="2">
        <f ca="1">IFERROR(__xludf.DUMMYFUNCTION("""COMPUTED_VALUE"""),1128)</f>
        <v>1128</v>
      </c>
      <c r="B1115" s="2" t="str">
        <f ca="1">IFERROR(__xludf.DUMMYFUNCTION("""COMPUTED_VALUE"""),"HP")</f>
        <v>HP</v>
      </c>
      <c r="C1115" s="2" t="str">
        <f ca="1">IFERROR(__xludf.DUMMYFUNCTION("""COMPUTED_VALUE"""),"Spectre Pro")</f>
        <v>Spectre Pro</v>
      </c>
      <c r="D1115" s="2" t="str">
        <f ca="1">IFERROR(__xludf.DUMMYFUNCTION("""COMPUTED_VALUE"""),"Ultrabook")</f>
        <v>Ultrabook</v>
      </c>
      <c r="E1115" s="2">
        <f ca="1">IFERROR(__xludf.DUMMYFUNCTION("""COMPUTED_VALUE"""),13.3)</f>
        <v>13.3</v>
      </c>
      <c r="F1115" s="2" t="str">
        <f ca="1">IFERROR(__xludf.DUMMYFUNCTION("""COMPUTED_VALUE"""),"Full HD 1920x1080")</f>
        <v>Full HD 1920x1080</v>
      </c>
      <c r="G1115" s="2" t="str">
        <f ca="1">IFERROR(__xludf.DUMMYFUNCTION("""COMPUTED_VALUE"""),"Intel Core i7 6500U 2.5GHz")</f>
        <v>Intel Core i7 6500U 2.5GHz</v>
      </c>
      <c r="H1115" s="2" t="str">
        <f ca="1">IFERROR(__xludf.DUMMYFUNCTION("""COMPUTED_VALUE"""),"8GB")</f>
        <v>8GB</v>
      </c>
      <c r="I1115" s="2" t="str">
        <f ca="1">IFERROR(__xludf.DUMMYFUNCTION("""COMPUTED_VALUE"""),"512GB SSD")</f>
        <v>512GB SSD</v>
      </c>
      <c r="J1115" s="2" t="str">
        <f ca="1">IFERROR(__xludf.DUMMYFUNCTION("""COMPUTED_VALUE"""),"Intel HD Graphics 520")</f>
        <v>Intel HD Graphics 520</v>
      </c>
      <c r="K1115" s="2" t="str">
        <f ca="1">IFERROR(__xludf.DUMMYFUNCTION("""COMPUTED_VALUE"""),"Windows 10")</f>
        <v>Windows 10</v>
      </c>
      <c r="L1115" s="2" t="str">
        <f ca="1">IFERROR(__xludf.DUMMYFUNCTION("""COMPUTED_VALUE"""),"1.16kg")</f>
        <v>1.16kg</v>
      </c>
      <c r="M1115" s="2">
        <f ca="1">IFERROR(__xludf.DUMMYFUNCTION("""COMPUTED_VALUE"""),1969)</f>
        <v>1969</v>
      </c>
    </row>
    <row r="1116" spans="1:13">
      <c r="A1116" s="2">
        <f ca="1">IFERROR(__xludf.DUMMYFUNCTION("""COMPUTED_VALUE"""),1129)</f>
        <v>1129</v>
      </c>
      <c r="B1116" s="2" t="str">
        <f ca="1">IFERROR(__xludf.DUMMYFUNCTION("""COMPUTED_VALUE"""),"Lenovo")</f>
        <v>Lenovo</v>
      </c>
      <c r="C1116" s="2" t="str">
        <f ca="1">IFERROR(__xludf.DUMMYFUNCTION("""COMPUTED_VALUE"""),"Yoga Book")</f>
        <v>Yoga Book</v>
      </c>
      <c r="D1116" s="2" t="str">
        <f ca="1">IFERROR(__xludf.DUMMYFUNCTION("""COMPUTED_VALUE"""),"2 in 1 Convertible")</f>
        <v>2 in 1 Convertible</v>
      </c>
      <c r="E1116" s="2">
        <f ca="1">IFERROR(__xludf.DUMMYFUNCTION("""COMPUTED_VALUE"""),10.1)</f>
        <v>10.1</v>
      </c>
      <c r="F1116" s="2" t="str">
        <f ca="1">IFERROR(__xludf.DUMMYFUNCTION("""COMPUTED_VALUE"""),"IPS Panel Touchscreen 1920x1200")</f>
        <v>IPS Panel Touchscreen 1920x1200</v>
      </c>
      <c r="G1116" s="2" t="str">
        <f ca="1">IFERROR(__xludf.DUMMYFUNCTION("""COMPUTED_VALUE"""),"Intel Atom x5-Z8550 1.44GHz")</f>
        <v>Intel Atom x5-Z8550 1.44GHz</v>
      </c>
      <c r="H1116" s="2" t="str">
        <f ca="1">IFERROR(__xludf.DUMMYFUNCTION("""COMPUTED_VALUE"""),"4GB")</f>
        <v>4GB</v>
      </c>
      <c r="I1116" s="2" t="str">
        <f ca="1">IFERROR(__xludf.DUMMYFUNCTION("""COMPUTED_VALUE"""),"64GB Flash Storage")</f>
        <v>64GB Flash Storage</v>
      </c>
      <c r="J1116" s="2" t="str">
        <f ca="1">IFERROR(__xludf.DUMMYFUNCTION("""COMPUTED_VALUE"""),"Intel HD Graphics 400")</f>
        <v>Intel HD Graphics 400</v>
      </c>
      <c r="K1116" s="2" t="str">
        <f ca="1">IFERROR(__xludf.DUMMYFUNCTION("""COMPUTED_VALUE"""),"Android")</f>
        <v>Android</v>
      </c>
      <c r="L1116" s="2" t="str">
        <f ca="1">IFERROR(__xludf.DUMMYFUNCTION("""COMPUTED_VALUE"""),"0.69kg")</f>
        <v>0.69kg</v>
      </c>
      <c r="M1116" s="2">
        <f ca="1">IFERROR(__xludf.DUMMYFUNCTION("""COMPUTED_VALUE"""),549)</f>
        <v>549</v>
      </c>
    </row>
    <row r="1117" spans="1:13">
      <c r="A1117" s="2">
        <f ca="1">IFERROR(__xludf.DUMMYFUNCTION("""COMPUTED_VALUE"""),1130)</f>
        <v>1130</v>
      </c>
      <c r="B1117" s="2" t="str">
        <f ca="1">IFERROR(__xludf.DUMMYFUNCTION("""COMPUTED_VALUE"""),"Dell")</f>
        <v>Dell</v>
      </c>
      <c r="C1117" s="2" t="str">
        <f ca="1">IFERROR(__xludf.DUMMYFUNCTION("""COMPUTED_VALUE"""),"XPS 13")</f>
        <v>XPS 13</v>
      </c>
      <c r="D1117" s="2" t="str">
        <f ca="1">IFERROR(__xludf.DUMMYFUNCTION("""COMPUTED_VALUE"""),"Ultrabook")</f>
        <v>Ultrabook</v>
      </c>
      <c r="E1117" s="2">
        <f ca="1">IFERROR(__xludf.DUMMYFUNCTION("""COMPUTED_VALUE"""),13.3)</f>
        <v>13.3</v>
      </c>
      <c r="F1117" s="2" t="str">
        <f ca="1">IFERROR(__xludf.DUMMYFUNCTION("""COMPUTED_VALUE"""),"Full HD 1920x1080")</f>
        <v>Full HD 1920x1080</v>
      </c>
      <c r="G1117" s="2" t="str">
        <f ca="1">IFERROR(__xludf.DUMMYFUNCTION("""COMPUTED_VALUE"""),"Intel Core i7 7560U 2.4GHz")</f>
        <v>Intel Core i7 7560U 2.4GHz</v>
      </c>
      <c r="H1117" s="2" t="str">
        <f ca="1">IFERROR(__xludf.DUMMYFUNCTION("""COMPUTED_VALUE"""),"8GB")</f>
        <v>8GB</v>
      </c>
      <c r="I1117" s="2" t="str">
        <f ca="1">IFERROR(__xludf.DUMMYFUNCTION("""COMPUTED_VALUE"""),"256GB SSD")</f>
        <v>256GB SSD</v>
      </c>
      <c r="J1117" s="2" t="str">
        <f ca="1">IFERROR(__xludf.DUMMYFUNCTION("""COMPUTED_VALUE"""),"Intel Iris Plus Graphics 640")</f>
        <v>Intel Iris Plus Graphics 640</v>
      </c>
      <c r="K1117" s="2" t="str">
        <f ca="1">IFERROR(__xludf.DUMMYFUNCTION("""COMPUTED_VALUE"""),"Windows 10")</f>
        <v>Windows 10</v>
      </c>
      <c r="L1117" s="2" t="str">
        <f ca="1">IFERROR(__xludf.DUMMYFUNCTION("""COMPUTED_VALUE"""),"1.23kg")</f>
        <v>1.23kg</v>
      </c>
      <c r="M1117" s="2">
        <f ca="1">IFERROR(__xludf.DUMMYFUNCTION("""COMPUTED_VALUE"""),1379)</f>
        <v>1379</v>
      </c>
    </row>
    <row r="1118" spans="1:13">
      <c r="A1118" s="2">
        <f ca="1">IFERROR(__xludf.DUMMYFUNCTION("""COMPUTED_VALUE"""),1131)</f>
        <v>1131</v>
      </c>
      <c r="B1118" s="2" t="str">
        <f ca="1">IFERROR(__xludf.DUMMYFUNCTION("""COMPUTED_VALUE"""),"Lenovo")</f>
        <v>Lenovo</v>
      </c>
      <c r="C1118" s="2" t="str">
        <f ca="1">IFERROR(__xludf.DUMMYFUNCTION("""COMPUTED_VALUE"""),"IdeaPad Y900-17ISK")</f>
        <v>IdeaPad Y900-17ISK</v>
      </c>
      <c r="D1118" s="2" t="str">
        <f ca="1">IFERROR(__xludf.DUMMYFUNCTION("""COMPUTED_VALUE"""),"Gaming")</f>
        <v>Gaming</v>
      </c>
      <c r="E1118" s="2">
        <f ca="1">IFERROR(__xludf.DUMMYFUNCTION("""COMPUTED_VALUE"""),17.3)</f>
        <v>17.3</v>
      </c>
      <c r="F1118" s="2" t="str">
        <f ca="1">IFERROR(__xludf.DUMMYFUNCTION("""COMPUTED_VALUE"""),"IPS Panel Full HD 1920x1080")</f>
        <v>IPS Panel Full HD 1920x1080</v>
      </c>
      <c r="G1118" s="2" t="str">
        <f ca="1">IFERROR(__xludf.DUMMYFUNCTION("""COMPUTED_VALUE"""),"Intel Core i7 6820HK 2.7GHz")</f>
        <v>Intel Core i7 6820HK 2.7GHz</v>
      </c>
      <c r="H1118" s="2" t="str">
        <f ca="1">IFERROR(__xludf.DUMMYFUNCTION("""COMPUTED_VALUE"""),"16GB")</f>
        <v>16GB</v>
      </c>
      <c r="I1118" s="2" t="str">
        <f ca="1">IFERROR(__xludf.DUMMYFUNCTION("""COMPUTED_VALUE"""),"256GB SSD +  1.0TB Hybrid")</f>
        <v>256GB SSD +  1.0TB Hybrid</v>
      </c>
      <c r="J1118" s="2" t="str">
        <f ca="1">IFERROR(__xludf.DUMMYFUNCTION("""COMPUTED_VALUE"""),"Nvidia GeForce GTX 980M")</f>
        <v>Nvidia GeForce GTX 980M</v>
      </c>
      <c r="K1118" s="2" t="str">
        <f ca="1">IFERROR(__xludf.DUMMYFUNCTION("""COMPUTED_VALUE"""),"Windows 10")</f>
        <v>Windows 10</v>
      </c>
      <c r="L1118" s="2" t="str">
        <f ca="1">IFERROR(__xludf.DUMMYFUNCTION("""COMPUTED_VALUE"""),"4.6kg")</f>
        <v>4.6kg</v>
      </c>
      <c r="M1118" s="2">
        <f ca="1">IFERROR(__xludf.DUMMYFUNCTION("""COMPUTED_VALUE"""),2749.99)</f>
        <v>2749.99</v>
      </c>
    </row>
    <row r="1119" spans="1:13">
      <c r="A1119" s="2">
        <f ca="1">IFERROR(__xludf.DUMMYFUNCTION("""COMPUTED_VALUE"""),1132)</f>
        <v>1132</v>
      </c>
      <c r="B1119" s="2" t="str">
        <f ca="1">IFERROR(__xludf.DUMMYFUNCTION("""COMPUTED_VALUE"""),"Razer")</f>
        <v>Razer</v>
      </c>
      <c r="C1119" s="2" t="str">
        <f ca="1">IFERROR(__xludf.DUMMYFUNCTION("""COMPUTED_VALUE"""),"Blade Stealth")</f>
        <v>Blade Stealth</v>
      </c>
      <c r="D1119" s="2" t="str">
        <f ca="1">IFERROR(__xludf.DUMMYFUNCTION("""COMPUTED_VALUE"""),"Ultrabook")</f>
        <v>Ultrabook</v>
      </c>
      <c r="E1119" s="2">
        <f ca="1">IFERROR(__xludf.DUMMYFUNCTION("""COMPUTED_VALUE"""),12.5)</f>
        <v>12.5</v>
      </c>
      <c r="F1119" s="2" t="str">
        <f ca="1">IFERROR(__xludf.DUMMYFUNCTION("""COMPUTED_VALUE"""),"Touchscreen / 4K Ultra HD 3840x2160")</f>
        <v>Touchscreen / 4K Ultra HD 3840x2160</v>
      </c>
      <c r="G1119" s="2" t="str">
        <f ca="1">IFERROR(__xludf.DUMMYFUNCTION("""COMPUTED_VALUE"""),"Intel Core i7 6500U 2.5GHz")</f>
        <v>Intel Core i7 6500U 2.5GHz</v>
      </c>
      <c r="H1119" s="2" t="str">
        <f ca="1">IFERROR(__xludf.DUMMYFUNCTION("""COMPUTED_VALUE"""),"8GB")</f>
        <v>8GB</v>
      </c>
      <c r="I1119" s="2" t="str">
        <f ca="1">IFERROR(__xludf.DUMMYFUNCTION("""COMPUTED_VALUE"""),"256GB SSD")</f>
        <v>256GB SSD</v>
      </c>
      <c r="J1119" s="2" t="str">
        <f ca="1">IFERROR(__xludf.DUMMYFUNCTION("""COMPUTED_VALUE"""),"Intel HD Graphics 520")</f>
        <v>Intel HD Graphics 520</v>
      </c>
      <c r="K1119" s="2" t="str">
        <f ca="1">IFERROR(__xludf.DUMMYFUNCTION("""COMPUTED_VALUE"""),"Windows 10")</f>
        <v>Windows 10</v>
      </c>
      <c r="L1119" s="2" t="str">
        <f ca="1">IFERROR(__xludf.DUMMYFUNCTION("""COMPUTED_VALUE"""),"1.25kg")</f>
        <v>1.25kg</v>
      </c>
      <c r="M1119" s="2">
        <f ca="1">IFERROR(__xludf.DUMMYFUNCTION("""COMPUTED_VALUE"""),1029)</f>
        <v>1029</v>
      </c>
    </row>
    <row r="1120" spans="1:13">
      <c r="A1120" s="2">
        <f ca="1">IFERROR(__xludf.DUMMYFUNCTION("""COMPUTED_VALUE"""),1133)</f>
        <v>1133</v>
      </c>
      <c r="B1120" s="2" t="str">
        <f ca="1">IFERROR(__xludf.DUMMYFUNCTION("""COMPUTED_VALUE"""),"Toshiba")</f>
        <v>Toshiba</v>
      </c>
      <c r="C1120" s="2" t="str">
        <f ca="1">IFERROR(__xludf.DUMMYFUNCTION("""COMPUTED_VALUE"""),"Portege X30-D-10K")</f>
        <v>Portege X30-D-10K</v>
      </c>
      <c r="D1120" s="2" t="str">
        <f ca="1">IFERROR(__xludf.DUMMYFUNCTION("""COMPUTED_VALUE"""),"Ultrabook")</f>
        <v>Ultrabook</v>
      </c>
      <c r="E1120" s="2">
        <f ca="1">IFERROR(__xludf.DUMMYFUNCTION("""COMPUTED_VALUE"""),13.3)</f>
        <v>13.3</v>
      </c>
      <c r="F1120" s="2" t="str">
        <f ca="1">IFERROR(__xludf.DUMMYFUNCTION("""COMPUTED_VALUE"""),"Full HD 1920x1080")</f>
        <v>Full HD 1920x1080</v>
      </c>
      <c r="G1120" s="2" t="str">
        <f ca="1">IFERROR(__xludf.DUMMYFUNCTION("""COMPUTED_VALUE"""),"Intel Core i7 7500U 2.7GHz")</f>
        <v>Intel Core i7 7500U 2.7GHz</v>
      </c>
      <c r="H1120" s="2" t="str">
        <f ca="1">IFERROR(__xludf.DUMMYFUNCTION("""COMPUTED_VALUE"""),"16GB")</f>
        <v>16GB</v>
      </c>
      <c r="I1120" s="2" t="str">
        <f ca="1">IFERROR(__xludf.DUMMYFUNCTION("""COMPUTED_VALUE"""),"512GB SSD")</f>
        <v>512GB SSD</v>
      </c>
      <c r="J1120" s="2" t="str">
        <f ca="1">IFERROR(__xludf.DUMMYFUNCTION("""COMPUTED_VALUE"""),"Intel HD Graphics 620")</f>
        <v>Intel HD Graphics 620</v>
      </c>
      <c r="K1120" s="2" t="str">
        <f ca="1">IFERROR(__xludf.DUMMYFUNCTION("""COMPUTED_VALUE"""),"Windows 10")</f>
        <v>Windows 10</v>
      </c>
      <c r="L1120" s="2" t="str">
        <f ca="1">IFERROR(__xludf.DUMMYFUNCTION("""COMPUTED_VALUE"""),"1.05kg")</f>
        <v>1.05kg</v>
      </c>
      <c r="M1120" s="2">
        <f ca="1">IFERROR(__xludf.DUMMYFUNCTION("""COMPUTED_VALUE"""),2226)</f>
        <v>2226</v>
      </c>
    </row>
    <row r="1121" spans="1:13">
      <c r="A1121" s="2">
        <f ca="1">IFERROR(__xludf.DUMMYFUNCTION("""COMPUTED_VALUE"""),1134)</f>
        <v>1134</v>
      </c>
      <c r="B1121" s="2" t="str">
        <f ca="1">IFERROR(__xludf.DUMMYFUNCTION("""COMPUTED_VALUE"""),"Asus")</f>
        <v>Asus</v>
      </c>
      <c r="C1121" s="2" t="str">
        <f ca="1">IFERROR(__xludf.DUMMYFUNCTION("""COMPUTED_VALUE"""),"Rog GL752VW-T4308T")</f>
        <v>Rog GL752VW-T4308T</v>
      </c>
      <c r="D1121" s="2" t="str">
        <f ca="1">IFERROR(__xludf.DUMMYFUNCTION("""COMPUTED_VALUE"""),"Gaming")</f>
        <v>Gaming</v>
      </c>
      <c r="E1121" s="2">
        <f ca="1">IFERROR(__xludf.DUMMYFUNCTION("""COMPUTED_VALUE"""),17.3)</f>
        <v>17.3</v>
      </c>
      <c r="F1121" s="2" t="str">
        <f ca="1">IFERROR(__xludf.DUMMYFUNCTION("""COMPUTED_VALUE"""),"Full HD 1920x1080")</f>
        <v>Full HD 1920x1080</v>
      </c>
      <c r="G1121" s="2" t="str">
        <f ca="1">IFERROR(__xludf.DUMMYFUNCTION("""COMPUTED_VALUE"""),"Intel Core i7 6700HQ 2.6GHz")</f>
        <v>Intel Core i7 6700HQ 2.6GHz</v>
      </c>
      <c r="H1121" s="2" t="str">
        <f ca="1">IFERROR(__xludf.DUMMYFUNCTION("""COMPUTED_VALUE"""),"8GB")</f>
        <v>8GB</v>
      </c>
      <c r="I1121" s="2" t="str">
        <f ca="1">IFERROR(__xludf.DUMMYFUNCTION("""COMPUTED_VALUE"""),"128GB SSD +  1TB HDD")</f>
        <v>128GB SSD +  1TB HDD</v>
      </c>
      <c r="J1121" s="2" t="str">
        <f ca="1">IFERROR(__xludf.DUMMYFUNCTION("""COMPUTED_VALUE"""),"Nvidia GeForce GTX 960M")</f>
        <v>Nvidia GeForce GTX 960M</v>
      </c>
      <c r="K1121" s="2" t="str">
        <f ca="1">IFERROR(__xludf.DUMMYFUNCTION("""COMPUTED_VALUE"""),"Windows 10")</f>
        <v>Windows 10</v>
      </c>
      <c r="L1121" s="2" t="str">
        <f ca="1">IFERROR(__xludf.DUMMYFUNCTION("""COMPUTED_VALUE"""),"3.52kg")</f>
        <v>3.52kg</v>
      </c>
      <c r="M1121" s="2">
        <f ca="1">IFERROR(__xludf.DUMMYFUNCTION("""COMPUTED_VALUE"""),1312.49)</f>
        <v>1312.49</v>
      </c>
    </row>
    <row r="1122" spans="1:13">
      <c r="A1122" s="2">
        <f ca="1">IFERROR(__xludf.DUMMYFUNCTION("""COMPUTED_VALUE"""),1135)</f>
        <v>1135</v>
      </c>
      <c r="B1122" s="2" t="str">
        <f ca="1">IFERROR(__xludf.DUMMYFUNCTION("""COMPUTED_VALUE"""),"Vero")</f>
        <v>Vero</v>
      </c>
      <c r="C1122" s="2" t="str">
        <f ca="1">IFERROR(__xludf.DUMMYFUNCTION("""COMPUTED_VALUE"""),"V131 (X5-Z8350/4GB/32GB/FHD/W10)")</f>
        <v>V131 (X5-Z8350/4GB/32GB/FHD/W10)</v>
      </c>
      <c r="D1122" s="2" t="str">
        <f ca="1">IFERROR(__xludf.DUMMYFUNCTION("""COMPUTED_VALUE"""),"Notebook")</f>
        <v>Notebook</v>
      </c>
      <c r="E1122" s="2">
        <f ca="1">IFERROR(__xludf.DUMMYFUNCTION("""COMPUTED_VALUE"""),13.3)</f>
        <v>13.3</v>
      </c>
      <c r="F1122" s="2" t="str">
        <f ca="1">IFERROR(__xludf.DUMMYFUNCTION("""COMPUTED_VALUE"""),"Full HD 1920x1080")</f>
        <v>Full HD 1920x1080</v>
      </c>
      <c r="G1122" s="2" t="str">
        <f ca="1">IFERROR(__xludf.DUMMYFUNCTION("""COMPUTED_VALUE"""),"Intel Atom X5-Z8350 1.44GHz")</f>
        <v>Intel Atom X5-Z8350 1.44GHz</v>
      </c>
      <c r="H1122" s="2" t="str">
        <f ca="1">IFERROR(__xludf.DUMMYFUNCTION("""COMPUTED_VALUE"""),"4GB")</f>
        <v>4GB</v>
      </c>
      <c r="I1122" s="2" t="str">
        <f ca="1">IFERROR(__xludf.DUMMYFUNCTION("""COMPUTED_VALUE"""),"32GB Flash Storage")</f>
        <v>32GB Flash Storage</v>
      </c>
      <c r="J1122" s="2" t="str">
        <f ca="1">IFERROR(__xludf.DUMMYFUNCTION("""COMPUTED_VALUE"""),"Intel HD Graphics 400")</f>
        <v>Intel HD Graphics 400</v>
      </c>
      <c r="K1122" s="2" t="str">
        <f ca="1">IFERROR(__xludf.DUMMYFUNCTION("""COMPUTED_VALUE"""),"Windows 10")</f>
        <v>Windows 10</v>
      </c>
      <c r="L1122" s="2" t="str">
        <f ca="1">IFERROR(__xludf.DUMMYFUNCTION("""COMPUTED_VALUE"""),"1.35kg")</f>
        <v>1.35kg</v>
      </c>
      <c r="M1122" s="2">
        <f ca="1">IFERROR(__xludf.DUMMYFUNCTION("""COMPUTED_VALUE"""),196)</f>
        <v>196</v>
      </c>
    </row>
    <row r="1123" spans="1:13">
      <c r="A1123" s="2">
        <f ca="1">IFERROR(__xludf.DUMMYFUNCTION("""COMPUTED_VALUE"""),1136)</f>
        <v>1136</v>
      </c>
      <c r="B1123" s="2" t="str">
        <f ca="1">IFERROR(__xludf.DUMMYFUNCTION("""COMPUTED_VALUE"""),"HP")</f>
        <v>HP</v>
      </c>
      <c r="C1123" s="2" t="str">
        <f ca="1">IFERROR(__xludf.DUMMYFUNCTION("""COMPUTED_VALUE"""),"Spectre Pro")</f>
        <v>Spectre Pro</v>
      </c>
      <c r="D1123" s="2" t="str">
        <f ca="1">IFERROR(__xludf.DUMMYFUNCTION("""COMPUTED_VALUE"""),"Notebook")</f>
        <v>Notebook</v>
      </c>
      <c r="E1123" s="2">
        <f ca="1">IFERROR(__xludf.DUMMYFUNCTION("""COMPUTED_VALUE"""),13.3)</f>
        <v>13.3</v>
      </c>
      <c r="F1123" s="2" t="str">
        <f ca="1">IFERROR(__xludf.DUMMYFUNCTION("""COMPUTED_VALUE"""),"Full HD 1920x1080")</f>
        <v>Full HD 1920x1080</v>
      </c>
      <c r="G1123" s="2" t="str">
        <f ca="1">IFERROR(__xludf.DUMMYFUNCTION("""COMPUTED_VALUE"""),"Intel Core i5 6200U 2.3GHz")</f>
        <v>Intel Core i5 6200U 2.3GHz</v>
      </c>
      <c r="H1123" s="2" t="str">
        <f ca="1">IFERROR(__xludf.DUMMYFUNCTION("""COMPUTED_VALUE"""),"8GB")</f>
        <v>8GB</v>
      </c>
      <c r="I1123" s="2" t="str">
        <f ca="1">IFERROR(__xludf.DUMMYFUNCTION("""COMPUTED_VALUE"""),"256GB SSD")</f>
        <v>256GB SSD</v>
      </c>
      <c r="J1123" s="2" t="str">
        <f ca="1">IFERROR(__xludf.DUMMYFUNCTION("""COMPUTED_VALUE"""),"Intel HD Graphics 520")</f>
        <v>Intel HD Graphics 520</v>
      </c>
      <c r="K1123" s="2" t="str">
        <f ca="1">IFERROR(__xludf.DUMMYFUNCTION("""COMPUTED_VALUE"""),"Windows 10")</f>
        <v>Windows 10</v>
      </c>
      <c r="L1123" s="2" t="str">
        <f ca="1">IFERROR(__xludf.DUMMYFUNCTION("""COMPUTED_VALUE"""),"1.16kg")</f>
        <v>1.16kg</v>
      </c>
      <c r="M1123" s="2">
        <f ca="1">IFERROR(__xludf.DUMMYFUNCTION("""COMPUTED_VALUE"""),1690)</f>
        <v>1690</v>
      </c>
    </row>
    <row r="1124" spans="1:13">
      <c r="A1124" s="2">
        <f ca="1">IFERROR(__xludf.DUMMYFUNCTION("""COMPUTED_VALUE"""),1137)</f>
        <v>1137</v>
      </c>
      <c r="B1124" s="2" t="str">
        <f ca="1">IFERROR(__xludf.DUMMYFUNCTION("""COMPUTED_VALUE"""),"HP")</f>
        <v>HP</v>
      </c>
      <c r="C1124" s="2" t="str">
        <f ca="1">IFERROR(__xludf.DUMMYFUNCTION("""COMPUTED_VALUE"""),"EliteBook 1040")</f>
        <v>EliteBook 1040</v>
      </c>
      <c r="D1124" s="2" t="str">
        <f ca="1">IFERROR(__xludf.DUMMYFUNCTION("""COMPUTED_VALUE"""),"Notebook")</f>
        <v>Notebook</v>
      </c>
      <c r="E1124" s="2">
        <f ca="1">IFERROR(__xludf.DUMMYFUNCTION("""COMPUTED_VALUE"""),14)</f>
        <v>14</v>
      </c>
      <c r="F1124" s="2" t="str">
        <f ca="1">IFERROR(__xludf.DUMMYFUNCTION("""COMPUTED_VALUE"""),"Full HD 1920x1080")</f>
        <v>Full HD 1920x1080</v>
      </c>
      <c r="G1124" s="2" t="str">
        <f ca="1">IFERROR(__xludf.DUMMYFUNCTION("""COMPUTED_VALUE"""),"Intel Core i5 6200U 2.3GHz")</f>
        <v>Intel Core i5 6200U 2.3GHz</v>
      </c>
      <c r="H1124" s="2" t="str">
        <f ca="1">IFERROR(__xludf.DUMMYFUNCTION("""COMPUTED_VALUE"""),"8GB")</f>
        <v>8GB</v>
      </c>
      <c r="I1124" s="2" t="str">
        <f ca="1">IFERROR(__xludf.DUMMYFUNCTION("""COMPUTED_VALUE"""),"256GB SSD")</f>
        <v>256GB SSD</v>
      </c>
      <c r="J1124" s="2" t="str">
        <f ca="1">IFERROR(__xludf.DUMMYFUNCTION("""COMPUTED_VALUE"""),"Intel HD Graphics 520")</f>
        <v>Intel HD Graphics 520</v>
      </c>
      <c r="K1124" s="2" t="str">
        <f ca="1">IFERROR(__xludf.DUMMYFUNCTION("""COMPUTED_VALUE"""),"Windows 7")</f>
        <v>Windows 7</v>
      </c>
      <c r="L1124" s="2" t="str">
        <f ca="1">IFERROR(__xludf.DUMMYFUNCTION("""COMPUTED_VALUE"""),"1.43kg")</f>
        <v>1.43kg</v>
      </c>
      <c r="M1124" s="2">
        <f ca="1">IFERROR(__xludf.DUMMYFUNCTION("""COMPUTED_VALUE"""),1513)</f>
        <v>1513</v>
      </c>
    </row>
    <row r="1125" spans="1:13">
      <c r="A1125" s="2">
        <f ca="1">IFERROR(__xludf.DUMMYFUNCTION("""COMPUTED_VALUE"""),1138)</f>
        <v>1138</v>
      </c>
      <c r="B1125" s="2" t="str">
        <f ca="1">IFERROR(__xludf.DUMMYFUNCTION("""COMPUTED_VALUE"""),"Dell")</f>
        <v>Dell</v>
      </c>
      <c r="C1125" s="2" t="str">
        <f ca="1">IFERROR(__xludf.DUMMYFUNCTION("""COMPUTED_VALUE"""),"Latitude E5570")</f>
        <v>Latitude E5570</v>
      </c>
      <c r="D1125" s="2" t="str">
        <f ca="1">IFERROR(__xludf.DUMMYFUNCTION("""COMPUTED_VALUE"""),"Notebook")</f>
        <v>Notebook</v>
      </c>
      <c r="E1125" s="2">
        <f ca="1">IFERROR(__xludf.DUMMYFUNCTION("""COMPUTED_VALUE"""),15.6)</f>
        <v>15.6</v>
      </c>
      <c r="F1125" s="2" t="str">
        <f ca="1">IFERROR(__xludf.DUMMYFUNCTION("""COMPUTED_VALUE"""),"1366x768")</f>
        <v>1366x768</v>
      </c>
      <c r="G1125" s="2" t="str">
        <f ca="1">IFERROR(__xludf.DUMMYFUNCTION("""COMPUTED_VALUE"""),"Intel Core i5 6200U 2.3GHz")</f>
        <v>Intel Core i5 6200U 2.3GHz</v>
      </c>
      <c r="H1125" s="2" t="str">
        <f ca="1">IFERROR(__xludf.DUMMYFUNCTION("""COMPUTED_VALUE"""),"4GB")</f>
        <v>4GB</v>
      </c>
      <c r="I1125" s="2" t="str">
        <f ca="1">IFERROR(__xludf.DUMMYFUNCTION("""COMPUTED_VALUE"""),"500GB HDD")</f>
        <v>500GB HDD</v>
      </c>
      <c r="J1125" s="2" t="str">
        <f ca="1">IFERROR(__xludf.DUMMYFUNCTION("""COMPUTED_VALUE"""),"Intel HD Graphics 520")</f>
        <v>Intel HD Graphics 520</v>
      </c>
      <c r="K1125" s="2" t="str">
        <f ca="1">IFERROR(__xludf.DUMMYFUNCTION("""COMPUTED_VALUE"""),"Linux")</f>
        <v>Linux</v>
      </c>
      <c r="L1125" s="2" t="str">
        <f ca="1">IFERROR(__xludf.DUMMYFUNCTION("""COMPUTED_VALUE"""),"2.09kg")</f>
        <v>2.09kg</v>
      </c>
      <c r="M1125" s="2">
        <f ca="1">IFERROR(__xludf.DUMMYFUNCTION("""COMPUTED_VALUE"""),523.63)</f>
        <v>523.63</v>
      </c>
    </row>
    <row r="1126" spans="1:13">
      <c r="A1126" s="2">
        <f ca="1">IFERROR(__xludf.DUMMYFUNCTION("""COMPUTED_VALUE"""),1139)</f>
        <v>1139</v>
      </c>
      <c r="B1126" s="2" t="str">
        <f ca="1">IFERROR(__xludf.DUMMYFUNCTION("""COMPUTED_VALUE"""),"Asus")</f>
        <v>Asus</v>
      </c>
      <c r="C1126" s="2" t="str">
        <f ca="1">IFERROR(__xludf.DUMMYFUNCTION("""COMPUTED_VALUE"""),"VivoBook Max")</f>
        <v>VivoBook Max</v>
      </c>
      <c r="D1126" s="2" t="str">
        <f ca="1">IFERROR(__xludf.DUMMYFUNCTION("""COMPUTED_VALUE"""),"Notebook")</f>
        <v>Notebook</v>
      </c>
      <c r="E1126" s="2">
        <f ca="1">IFERROR(__xludf.DUMMYFUNCTION("""COMPUTED_VALUE"""),15.6)</f>
        <v>15.6</v>
      </c>
      <c r="F1126" s="2" t="str">
        <f ca="1">IFERROR(__xludf.DUMMYFUNCTION("""COMPUTED_VALUE"""),"1366x768")</f>
        <v>1366x768</v>
      </c>
      <c r="G1126" s="2" t="str">
        <f ca="1">IFERROR(__xludf.DUMMYFUNCTION("""COMPUTED_VALUE"""),"Intel Core i3 7100U 2.4GHz")</f>
        <v>Intel Core i3 7100U 2.4GHz</v>
      </c>
      <c r="H1126" s="2" t="str">
        <f ca="1">IFERROR(__xludf.DUMMYFUNCTION("""COMPUTED_VALUE"""),"4GB")</f>
        <v>4GB</v>
      </c>
      <c r="I1126" s="2" t="str">
        <f ca="1">IFERROR(__xludf.DUMMYFUNCTION("""COMPUTED_VALUE"""),"1TB HDD")</f>
        <v>1TB HDD</v>
      </c>
      <c r="J1126" s="2" t="str">
        <f ca="1">IFERROR(__xludf.DUMMYFUNCTION("""COMPUTED_VALUE"""),"Intel HD Graphics 620")</f>
        <v>Intel HD Graphics 620</v>
      </c>
      <c r="K1126" s="2" t="str">
        <f ca="1">IFERROR(__xludf.DUMMYFUNCTION("""COMPUTED_VALUE"""),"Windows 10")</f>
        <v>Windows 10</v>
      </c>
      <c r="L1126" s="2" t="str">
        <f ca="1">IFERROR(__xludf.DUMMYFUNCTION("""COMPUTED_VALUE"""),"2kg")</f>
        <v>2kg</v>
      </c>
      <c r="M1126" s="2">
        <f ca="1">IFERROR(__xludf.DUMMYFUNCTION("""COMPUTED_VALUE"""),435)</f>
        <v>435</v>
      </c>
    </row>
    <row r="1127" spans="1:13">
      <c r="A1127" s="2">
        <f ca="1">IFERROR(__xludf.DUMMYFUNCTION("""COMPUTED_VALUE"""),1140)</f>
        <v>1140</v>
      </c>
      <c r="B1127" s="2" t="str">
        <f ca="1">IFERROR(__xludf.DUMMYFUNCTION("""COMPUTED_VALUE"""),"Lenovo")</f>
        <v>Lenovo</v>
      </c>
      <c r="C1127" s="2" t="str">
        <f ca="1">IFERROR(__xludf.DUMMYFUNCTION("""COMPUTED_VALUE"""),"ThinkPad Yoga")</f>
        <v>ThinkPad Yoga</v>
      </c>
      <c r="D1127" s="2" t="str">
        <f ca="1">IFERROR(__xludf.DUMMYFUNCTION("""COMPUTED_VALUE"""),"2 in 1 Convertible")</f>
        <v>2 in 1 Convertible</v>
      </c>
      <c r="E1127" s="2">
        <f ca="1">IFERROR(__xludf.DUMMYFUNCTION("""COMPUTED_VALUE"""),14)</f>
        <v>14</v>
      </c>
      <c r="F1127" s="2" t="str">
        <f ca="1">IFERROR(__xludf.DUMMYFUNCTION("""COMPUTED_VALUE"""),"IPS Panel Full HD / Touchscreen 1920x1080")</f>
        <v>IPS Panel Full HD / Touchscreen 1920x1080</v>
      </c>
      <c r="G1127" s="2" t="str">
        <f ca="1">IFERROR(__xludf.DUMMYFUNCTION("""COMPUTED_VALUE"""),"Intel Core i7 6500U 2.5GHz")</f>
        <v>Intel Core i7 6500U 2.5GHz</v>
      </c>
      <c r="H1127" s="2" t="str">
        <f ca="1">IFERROR(__xludf.DUMMYFUNCTION("""COMPUTED_VALUE"""),"8GB")</f>
        <v>8GB</v>
      </c>
      <c r="I1127" s="2" t="str">
        <f ca="1">IFERROR(__xludf.DUMMYFUNCTION("""COMPUTED_VALUE"""),"256GB SSD")</f>
        <v>256GB SSD</v>
      </c>
      <c r="J1127" s="2" t="str">
        <f ca="1">IFERROR(__xludf.DUMMYFUNCTION("""COMPUTED_VALUE"""),"Intel HD Graphics 520")</f>
        <v>Intel HD Graphics 520</v>
      </c>
      <c r="K1127" s="2" t="str">
        <f ca="1">IFERROR(__xludf.DUMMYFUNCTION("""COMPUTED_VALUE"""),"Windows 10")</f>
        <v>Windows 10</v>
      </c>
      <c r="L1127" s="2" t="str">
        <f ca="1">IFERROR(__xludf.DUMMYFUNCTION("""COMPUTED_VALUE"""),"1.8kg")</f>
        <v>1.8kg</v>
      </c>
      <c r="M1127" s="2">
        <f ca="1">IFERROR(__xludf.DUMMYFUNCTION("""COMPUTED_VALUE"""),1669)</f>
        <v>1669</v>
      </c>
    </row>
    <row r="1128" spans="1:13">
      <c r="A1128" s="2">
        <f ca="1">IFERROR(__xludf.DUMMYFUNCTION("""COMPUTED_VALUE"""),1141)</f>
        <v>1141</v>
      </c>
      <c r="B1128" s="2" t="str">
        <f ca="1">IFERROR(__xludf.DUMMYFUNCTION("""COMPUTED_VALUE"""),"Lenovo")</f>
        <v>Lenovo</v>
      </c>
      <c r="C1128" s="2" t="str">
        <f ca="1">IFERROR(__xludf.DUMMYFUNCTION("""COMPUTED_VALUE"""),"Yoga Book")</f>
        <v>Yoga Book</v>
      </c>
      <c r="D1128" s="2" t="str">
        <f ca="1">IFERROR(__xludf.DUMMYFUNCTION("""COMPUTED_VALUE"""),"2 in 1 Convertible")</f>
        <v>2 in 1 Convertible</v>
      </c>
      <c r="E1128" s="2">
        <f ca="1">IFERROR(__xludf.DUMMYFUNCTION("""COMPUTED_VALUE"""),10.1)</f>
        <v>10.1</v>
      </c>
      <c r="F1128" s="2" t="str">
        <f ca="1">IFERROR(__xludf.DUMMYFUNCTION("""COMPUTED_VALUE"""),"IPS Panel Touchscreen 1920x1200")</f>
        <v>IPS Panel Touchscreen 1920x1200</v>
      </c>
      <c r="G1128" s="2" t="str">
        <f ca="1">IFERROR(__xludf.DUMMYFUNCTION("""COMPUTED_VALUE"""),"Intel Atom x5-Z8550 1.44GHz")</f>
        <v>Intel Atom x5-Z8550 1.44GHz</v>
      </c>
      <c r="H1128" s="2" t="str">
        <f ca="1">IFERROR(__xludf.DUMMYFUNCTION("""COMPUTED_VALUE"""),"4GB")</f>
        <v>4GB</v>
      </c>
      <c r="I1128" s="2" t="str">
        <f ca="1">IFERROR(__xludf.DUMMYFUNCTION("""COMPUTED_VALUE"""),"64GB Flash Storage")</f>
        <v>64GB Flash Storage</v>
      </c>
      <c r="J1128" s="2" t="str">
        <f ca="1">IFERROR(__xludf.DUMMYFUNCTION("""COMPUTED_VALUE"""),"Intel HD Graphics 400")</f>
        <v>Intel HD Graphics 400</v>
      </c>
      <c r="K1128" s="2" t="str">
        <f ca="1">IFERROR(__xludf.DUMMYFUNCTION("""COMPUTED_VALUE"""),"Windows 10")</f>
        <v>Windows 10</v>
      </c>
      <c r="L1128" s="2" t="str">
        <f ca="1">IFERROR(__xludf.DUMMYFUNCTION("""COMPUTED_VALUE"""),"0.69kg")</f>
        <v>0.69kg</v>
      </c>
      <c r="M1128" s="2">
        <f ca="1">IFERROR(__xludf.DUMMYFUNCTION("""COMPUTED_VALUE"""),479)</f>
        <v>479</v>
      </c>
    </row>
    <row r="1129" spans="1:13">
      <c r="A1129" s="2">
        <f ca="1">IFERROR(__xludf.DUMMYFUNCTION("""COMPUTED_VALUE"""),1142)</f>
        <v>1142</v>
      </c>
      <c r="B1129" s="2" t="str">
        <f ca="1">IFERROR(__xludf.DUMMYFUNCTION("""COMPUTED_VALUE"""),"HP")</f>
        <v>HP</v>
      </c>
      <c r="C1129" s="2" t="str">
        <f ca="1">IFERROR(__xludf.DUMMYFUNCTION("""COMPUTED_VALUE"""),"EliteBook 820")</f>
        <v>EliteBook 820</v>
      </c>
      <c r="D1129" s="2" t="str">
        <f ca="1">IFERROR(__xludf.DUMMYFUNCTION("""COMPUTED_VALUE"""),"Ultrabook")</f>
        <v>Ultrabook</v>
      </c>
      <c r="E1129" s="2">
        <f ca="1">IFERROR(__xludf.DUMMYFUNCTION("""COMPUTED_VALUE"""),12.5)</f>
        <v>12.5</v>
      </c>
      <c r="F1129" s="2" t="str">
        <f ca="1">IFERROR(__xludf.DUMMYFUNCTION("""COMPUTED_VALUE"""),"1366x768")</f>
        <v>1366x768</v>
      </c>
      <c r="G1129" s="2" t="str">
        <f ca="1">IFERROR(__xludf.DUMMYFUNCTION("""COMPUTED_VALUE"""),"Intel Core i5 6300U 2.4GHz")</f>
        <v>Intel Core i5 6300U 2.4GHz</v>
      </c>
      <c r="H1129" s="2" t="str">
        <f ca="1">IFERROR(__xludf.DUMMYFUNCTION("""COMPUTED_VALUE"""),"8GB")</f>
        <v>8GB</v>
      </c>
      <c r="I1129" s="2" t="str">
        <f ca="1">IFERROR(__xludf.DUMMYFUNCTION("""COMPUTED_VALUE"""),"256GB SSD")</f>
        <v>256GB SSD</v>
      </c>
      <c r="J1129" s="2" t="str">
        <f ca="1">IFERROR(__xludf.DUMMYFUNCTION("""COMPUTED_VALUE"""),"Intel HD Graphics 520")</f>
        <v>Intel HD Graphics 520</v>
      </c>
      <c r="K1129" s="2" t="str">
        <f ca="1">IFERROR(__xludf.DUMMYFUNCTION("""COMPUTED_VALUE"""),"Windows 7")</f>
        <v>Windows 7</v>
      </c>
      <c r="L1129" s="2" t="str">
        <f ca="1">IFERROR(__xludf.DUMMYFUNCTION("""COMPUTED_VALUE"""),"1.26kg")</f>
        <v>1.26kg</v>
      </c>
      <c r="M1129" s="2">
        <f ca="1">IFERROR(__xludf.DUMMYFUNCTION("""COMPUTED_VALUE"""),1895)</f>
        <v>1895</v>
      </c>
    </row>
    <row r="1130" spans="1:13">
      <c r="A1130" s="2">
        <f ca="1">IFERROR(__xludf.DUMMYFUNCTION("""COMPUTED_VALUE"""),1143)</f>
        <v>1143</v>
      </c>
      <c r="B1130" s="2" t="str">
        <f ca="1">IFERROR(__xludf.DUMMYFUNCTION("""COMPUTED_VALUE"""),"Lenovo")</f>
        <v>Lenovo</v>
      </c>
      <c r="C1130" s="2" t="str">
        <f ca="1">IFERROR(__xludf.DUMMYFUNCTION("""COMPUTED_VALUE"""),"Legion Y520-15IKBN")</f>
        <v>Legion Y520-15IKBN</v>
      </c>
      <c r="D1130" s="2" t="str">
        <f ca="1">IFERROR(__xludf.DUMMYFUNCTION("""COMPUTED_VALUE"""),"Gaming")</f>
        <v>Gaming</v>
      </c>
      <c r="E1130" s="2">
        <f ca="1">IFERROR(__xludf.DUMMYFUNCTION("""COMPUTED_VALUE"""),15.6)</f>
        <v>15.6</v>
      </c>
      <c r="F1130" s="2" t="str">
        <f ca="1">IFERROR(__xludf.DUMMYFUNCTION("""COMPUTED_VALUE"""),"IPS Panel Full HD 1920x1080")</f>
        <v>IPS Panel Full HD 1920x1080</v>
      </c>
      <c r="G1130" s="2" t="str">
        <f ca="1">IFERROR(__xludf.DUMMYFUNCTION("""COMPUTED_VALUE"""),"Intel Core i5 7300HQ 2.5GHz")</f>
        <v>Intel Core i5 7300HQ 2.5GHz</v>
      </c>
      <c r="H1130" s="2" t="str">
        <f ca="1">IFERROR(__xludf.DUMMYFUNCTION("""COMPUTED_VALUE"""),"8GB")</f>
        <v>8GB</v>
      </c>
      <c r="I1130" s="2" t="str">
        <f ca="1">IFERROR(__xludf.DUMMYFUNCTION("""COMPUTED_VALUE"""),"128GB SSD +  1TB HDD")</f>
        <v>128GB SSD +  1TB HDD</v>
      </c>
      <c r="J1130" s="2" t="str">
        <f ca="1">IFERROR(__xludf.DUMMYFUNCTION("""COMPUTED_VALUE"""),"Nvidia GeForce GTX 1060")</f>
        <v>Nvidia GeForce GTX 1060</v>
      </c>
      <c r="K1130" s="2" t="str">
        <f ca="1">IFERROR(__xludf.DUMMYFUNCTION("""COMPUTED_VALUE"""),"No OS")</f>
        <v>No OS</v>
      </c>
      <c r="L1130" s="2" t="str">
        <f ca="1">IFERROR(__xludf.DUMMYFUNCTION("""COMPUTED_VALUE"""),"2.4kg")</f>
        <v>2.4kg</v>
      </c>
      <c r="M1130" s="2">
        <f ca="1">IFERROR(__xludf.DUMMYFUNCTION("""COMPUTED_VALUE"""),989)</f>
        <v>989</v>
      </c>
    </row>
    <row r="1131" spans="1:13">
      <c r="A1131" s="2">
        <f ca="1">IFERROR(__xludf.DUMMYFUNCTION("""COMPUTED_VALUE"""),1144)</f>
        <v>1144</v>
      </c>
      <c r="B1131" s="2" t="str">
        <f ca="1">IFERROR(__xludf.DUMMYFUNCTION("""COMPUTED_VALUE"""),"HP")</f>
        <v>HP</v>
      </c>
      <c r="C1131" s="2" t="str">
        <f ca="1">IFERROR(__xludf.DUMMYFUNCTION("""COMPUTED_VALUE"""),"Omen -")</f>
        <v>Omen -</v>
      </c>
      <c r="D1131" s="2" t="str">
        <f ca="1">IFERROR(__xludf.DUMMYFUNCTION("""COMPUTED_VALUE"""),"Gaming")</f>
        <v>Gaming</v>
      </c>
      <c r="E1131" s="2">
        <f ca="1">IFERROR(__xludf.DUMMYFUNCTION("""COMPUTED_VALUE"""),17.3)</f>
        <v>17.3</v>
      </c>
      <c r="F1131" s="2" t="str">
        <f ca="1">IFERROR(__xludf.DUMMYFUNCTION("""COMPUTED_VALUE"""),"IPS Panel Full HD 1920x1080")</f>
        <v>IPS Panel Full HD 1920x1080</v>
      </c>
      <c r="G1131" s="2" t="str">
        <f ca="1">IFERROR(__xludf.DUMMYFUNCTION("""COMPUTED_VALUE"""),"Intel Core i5 6300HQ 2.3GHz")</f>
        <v>Intel Core i5 6300HQ 2.3GHz</v>
      </c>
      <c r="H1131" s="2" t="str">
        <f ca="1">IFERROR(__xludf.DUMMYFUNCTION("""COMPUTED_VALUE"""),"8GB")</f>
        <v>8GB</v>
      </c>
      <c r="I1131" s="2" t="str">
        <f ca="1">IFERROR(__xludf.DUMMYFUNCTION("""COMPUTED_VALUE"""),"128GB SSD +  1TB HDD")</f>
        <v>128GB SSD +  1TB HDD</v>
      </c>
      <c r="J1131" s="2" t="str">
        <f ca="1">IFERROR(__xludf.DUMMYFUNCTION("""COMPUTED_VALUE"""),"Nvidia GeForce GTX 1060")</f>
        <v>Nvidia GeForce GTX 1060</v>
      </c>
      <c r="K1131" s="2" t="str">
        <f ca="1">IFERROR(__xludf.DUMMYFUNCTION("""COMPUTED_VALUE"""),"Windows 10")</f>
        <v>Windows 10</v>
      </c>
      <c r="L1131" s="2" t="str">
        <f ca="1">IFERROR(__xludf.DUMMYFUNCTION("""COMPUTED_VALUE"""),"3.35kg")</f>
        <v>3.35kg</v>
      </c>
      <c r="M1131" s="2">
        <f ca="1">IFERROR(__xludf.DUMMYFUNCTION("""COMPUTED_VALUE"""),1129)</f>
        <v>1129</v>
      </c>
    </row>
    <row r="1132" spans="1:13">
      <c r="A1132" s="2">
        <f ca="1">IFERROR(__xludf.DUMMYFUNCTION("""COMPUTED_VALUE"""),1145)</f>
        <v>1145</v>
      </c>
      <c r="B1132" s="2" t="str">
        <f ca="1">IFERROR(__xludf.DUMMYFUNCTION("""COMPUTED_VALUE"""),"HP")</f>
        <v>HP</v>
      </c>
      <c r="C1132" s="2" t="str">
        <f ca="1">IFERROR(__xludf.DUMMYFUNCTION("""COMPUTED_VALUE"""),"15-bs078cl (i7-7500U/8GB/2TB/W10)")</f>
        <v>15-bs078cl (i7-7500U/8GB/2TB/W10)</v>
      </c>
      <c r="D1132" s="2" t="str">
        <f ca="1">IFERROR(__xludf.DUMMYFUNCTION("""COMPUTED_VALUE"""),"Notebook")</f>
        <v>Notebook</v>
      </c>
      <c r="E1132" s="2">
        <f ca="1">IFERROR(__xludf.DUMMYFUNCTION("""COMPUTED_VALUE"""),15.6)</f>
        <v>15.6</v>
      </c>
      <c r="F1132" s="2" t="str">
        <f ca="1">IFERROR(__xludf.DUMMYFUNCTION("""COMPUTED_VALUE"""),"1366x768")</f>
        <v>1366x768</v>
      </c>
      <c r="G1132" s="2" t="str">
        <f ca="1">IFERROR(__xludf.DUMMYFUNCTION("""COMPUTED_VALUE"""),"Intel Core i7 7500U 2.7GHz")</f>
        <v>Intel Core i7 7500U 2.7GHz</v>
      </c>
      <c r="H1132" s="2" t="str">
        <f ca="1">IFERROR(__xludf.DUMMYFUNCTION("""COMPUTED_VALUE"""),"8GB")</f>
        <v>8GB</v>
      </c>
      <c r="I1132" s="2" t="str">
        <f ca="1">IFERROR(__xludf.DUMMYFUNCTION("""COMPUTED_VALUE"""),"2TB HDD")</f>
        <v>2TB HDD</v>
      </c>
      <c r="J1132" s="2" t="str">
        <f ca="1">IFERROR(__xludf.DUMMYFUNCTION("""COMPUTED_VALUE"""),"Intel HD Graphics 620")</f>
        <v>Intel HD Graphics 620</v>
      </c>
      <c r="K1132" s="2" t="str">
        <f ca="1">IFERROR(__xludf.DUMMYFUNCTION("""COMPUTED_VALUE"""),"Windows 10")</f>
        <v>Windows 10</v>
      </c>
      <c r="L1132" s="2" t="str">
        <f ca="1">IFERROR(__xludf.DUMMYFUNCTION("""COMPUTED_VALUE"""),"2.04kg")</f>
        <v>2.04kg</v>
      </c>
      <c r="M1132" s="2">
        <f ca="1">IFERROR(__xludf.DUMMYFUNCTION("""COMPUTED_VALUE"""),629)</f>
        <v>629</v>
      </c>
    </row>
    <row r="1133" spans="1:13">
      <c r="A1133" s="2">
        <f ca="1">IFERROR(__xludf.DUMMYFUNCTION("""COMPUTED_VALUE"""),1146)</f>
        <v>1146</v>
      </c>
      <c r="B1133" s="2" t="str">
        <f ca="1">IFERROR(__xludf.DUMMYFUNCTION("""COMPUTED_VALUE"""),"Lenovo")</f>
        <v>Lenovo</v>
      </c>
      <c r="C1133" s="2" t="str">
        <f ca="1">IFERROR(__xludf.DUMMYFUNCTION("""COMPUTED_VALUE"""),"ThinkPad P40")</f>
        <v>ThinkPad P40</v>
      </c>
      <c r="D1133" s="2" t="str">
        <f ca="1">IFERROR(__xludf.DUMMYFUNCTION("""COMPUTED_VALUE"""),"2 in 1 Convertible")</f>
        <v>2 in 1 Convertible</v>
      </c>
      <c r="E1133" s="2">
        <f ca="1">IFERROR(__xludf.DUMMYFUNCTION("""COMPUTED_VALUE"""),14)</f>
        <v>14</v>
      </c>
      <c r="F1133" s="2" t="str">
        <f ca="1">IFERROR(__xludf.DUMMYFUNCTION("""COMPUTED_VALUE"""),"IPS Panel Full HD / Touchscreen 1920x1080")</f>
        <v>IPS Panel Full HD / Touchscreen 1920x1080</v>
      </c>
      <c r="G1133" s="2" t="str">
        <f ca="1">IFERROR(__xludf.DUMMYFUNCTION("""COMPUTED_VALUE"""),"Intel Core i7 6600U 2.6GHz")</f>
        <v>Intel Core i7 6600U 2.6GHz</v>
      </c>
      <c r="H1133" s="2" t="str">
        <f ca="1">IFERROR(__xludf.DUMMYFUNCTION("""COMPUTED_VALUE"""),"8GB")</f>
        <v>8GB</v>
      </c>
      <c r="I1133" s="2" t="str">
        <f ca="1">IFERROR(__xludf.DUMMYFUNCTION("""COMPUTED_VALUE"""),"512GB SSD")</f>
        <v>512GB SSD</v>
      </c>
      <c r="J1133" s="2" t="str">
        <f ca="1">IFERROR(__xludf.DUMMYFUNCTION("""COMPUTED_VALUE"""),"Nvidia Quadro M500M")</f>
        <v>Nvidia Quadro M500M</v>
      </c>
      <c r="K1133" s="2" t="str">
        <f ca="1">IFERROR(__xludf.DUMMYFUNCTION("""COMPUTED_VALUE"""),"Windows 7")</f>
        <v>Windows 7</v>
      </c>
      <c r="L1133" s="2" t="str">
        <f ca="1">IFERROR(__xludf.DUMMYFUNCTION("""COMPUTED_VALUE"""),"1.8kg")</f>
        <v>1.8kg</v>
      </c>
      <c r="M1133" s="2">
        <f ca="1">IFERROR(__xludf.DUMMYFUNCTION("""COMPUTED_VALUE"""),2050.38)</f>
        <v>2050.38</v>
      </c>
    </row>
    <row r="1134" spans="1:13">
      <c r="A1134" s="2">
        <f ca="1">IFERROR(__xludf.DUMMYFUNCTION("""COMPUTED_VALUE"""),1147)</f>
        <v>1147</v>
      </c>
      <c r="B1134" s="2" t="str">
        <f ca="1">IFERROR(__xludf.DUMMYFUNCTION("""COMPUTED_VALUE"""),"Asus")</f>
        <v>Asus</v>
      </c>
      <c r="C1134" s="2" t="str">
        <f ca="1">IFERROR(__xludf.DUMMYFUNCTION("""COMPUTED_VALUE"""),"L403NA-GA013TS (N3350/4GB/32GB/W10)")</f>
        <v>L403NA-GA013TS (N3350/4GB/32GB/W10)</v>
      </c>
      <c r="D1134" s="2" t="str">
        <f ca="1">IFERROR(__xludf.DUMMYFUNCTION("""COMPUTED_VALUE"""),"Notebook")</f>
        <v>Notebook</v>
      </c>
      <c r="E1134" s="2">
        <f ca="1">IFERROR(__xludf.DUMMYFUNCTION("""COMPUTED_VALUE"""),14)</f>
        <v>14</v>
      </c>
      <c r="F1134" s="2" t="str">
        <f ca="1">IFERROR(__xludf.DUMMYFUNCTION("""COMPUTED_VALUE"""),"1366x768")</f>
        <v>1366x768</v>
      </c>
      <c r="G1134" s="2" t="str">
        <f ca="1">IFERROR(__xludf.DUMMYFUNCTION("""COMPUTED_VALUE"""),"Intel Celeron Dual Core N3350 1.1GHz")</f>
        <v>Intel Celeron Dual Core N3350 1.1GHz</v>
      </c>
      <c r="H1134" s="2" t="str">
        <f ca="1">IFERROR(__xludf.DUMMYFUNCTION("""COMPUTED_VALUE"""),"4GB")</f>
        <v>4GB</v>
      </c>
      <c r="I1134" s="2" t="str">
        <f ca="1">IFERROR(__xludf.DUMMYFUNCTION("""COMPUTED_VALUE"""),"32GB Flash Storage")</f>
        <v>32GB Flash Storage</v>
      </c>
      <c r="J1134" s="2" t="str">
        <f ca="1">IFERROR(__xludf.DUMMYFUNCTION("""COMPUTED_VALUE"""),"Intel HD Graphics 500")</f>
        <v>Intel HD Graphics 500</v>
      </c>
      <c r="K1134" s="2" t="str">
        <f ca="1">IFERROR(__xludf.DUMMYFUNCTION("""COMPUTED_VALUE"""),"Windows 10")</f>
        <v>Windows 10</v>
      </c>
      <c r="L1134" s="2" t="str">
        <f ca="1">IFERROR(__xludf.DUMMYFUNCTION("""COMPUTED_VALUE"""),"1.5kg")</f>
        <v>1.5kg</v>
      </c>
      <c r="M1134" s="2">
        <f ca="1">IFERROR(__xludf.DUMMYFUNCTION("""COMPUTED_VALUE"""),278)</f>
        <v>278</v>
      </c>
    </row>
    <row r="1135" spans="1:13">
      <c r="A1135" s="2">
        <f ca="1">IFERROR(__xludf.DUMMYFUNCTION("""COMPUTED_VALUE"""),1148)</f>
        <v>1148</v>
      </c>
      <c r="B1135" s="2" t="str">
        <f ca="1">IFERROR(__xludf.DUMMYFUNCTION("""COMPUTED_VALUE"""),"HP")</f>
        <v>HP</v>
      </c>
      <c r="C1135" s="2" t="str">
        <f ca="1">IFERROR(__xludf.DUMMYFUNCTION("""COMPUTED_VALUE"""),"250 G6")</f>
        <v>250 G6</v>
      </c>
      <c r="D1135" s="2" t="str">
        <f ca="1">IFERROR(__xludf.DUMMYFUNCTION("""COMPUTED_VALUE"""),"Ultrabook")</f>
        <v>Ultrabook</v>
      </c>
      <c r="E1135" s="2">
        <f ca="1">IFERROR(__xludf.DUMMYFUNCTION("""COMPUTED_VALUE"""),15.6)</f>
        <v>15.6</v>
      </c>
      <c r="F1135" s="2" t="str">
        <f ca="1">IFERROR(__xludf.DUMMYFUNCTION("""COMPUTED_VALUE"""),"Full HD 1920x1080")</f>
        <v>Full HD 1920x1080</v>
      </c>
      <c r="G1135" s="2" t="str">
        <f ca="1">IFERROR(__xludf.DUMMYFUNCTION("""COMPUTED_VALUE"""),"Intel Core i7 7500U 2.7GHz")</f>
        <v>Intel Core i7 7500U 2.7GHz</v>
      </c>
      <c r="H1135" s="2" t="str">
        <f ca="1">IFERROR(__xludf.DUMMYFUNCTION("""COMPUTED_VALUE"""),"8GB")</f>
        <v>8GB</v>
      </c>
      <c r="I1135" s="2" t="str">
        <f ca="1">IFERROR(__xludf.DUMMYFUNCTION("""COMPUTED_VALUE"""),"256GB SSD")</f>
        <v>256GB SSD</v>
      </c>
      <c r="J1135" s="2" t="str">
        <f ca="1">IFERROR(__xludf.DUMMYFUNCTION("""COMPUTED_VALUE"""),"Intel HD Graphics 620")</f>
        <v>Intel HD Graphics 620</v>
      </c>
      <c r="K1135" s="2" t="str">
        <f ca="1">IFERROR(__xludf.DUMMYFUNCTION("""COMPUTED_VALUE"""),"Windows 10")</f>
        <v>Windows 10</v>
      </c>
      <c r="L1135" s="2" t="str">
        <f ca="1">IFERROR(__xludf.DUMMYFUNCTION("""COMPUTED_VALUE"""),"1.84kg")</f>
        <v>1.84kg</v>
      </c>
      <c r="M1135" s="2">
        <f ca="1">IFERROR(__xludf.DUMMYFUNCTION("""COMPUTED_VALUE"""),752)</f>
        <v>752</v>
      </c>
    </row>
    <row r="1136" spans="1:13">
      <c r="A1136" s="2">
        <f ca="1">IFERROR(__xludf.DUMMYFUNCTION("""COMPUTED_VALUE"""),1149)</f>
        <v>1149</v>
      </c>
      <c r="B1136" s="2" t="str">
        <f ca="1">IFERROR(__xludf.DUMMYFUNCTION("""COMPUTED_VALUE"""),"Acer")</f>
        <v>Acer</v>
      </c>
      <c r="C1136" s="2" t="str">
        <f ca="1">IFERROR(__xludf.DUMMYFUNCTION("""COMPUTED_VALUE"""),"Aspire E5-576G")</f>
        <v>Aspire E5-576G</v>
      </c>
      <c r="D1136" s="2" t="str">
        <f ca="1">IFERROR(__xludf.DUMMYFUNCTION("""COMPUTED_VALUE"""),"Notebook")</f>
        <v>Notebook</v>
      </c>
      <c r="E1136" s="2">
        <f ca="1">IFERROR(__xludf.DUMMYFUNCTION("""COMPUTED_VALUE"""),15.6)</f>
        <v>15.6</v>
      </c>
      <c r="F1136" s="2" t="str">
        <f ca="1">IFERROR(__xludf.DUMMYFUNCTION("""COMPUTED_VALUE"""),"Full HD 1920x1080")</f>
        <v>Full HD 1920x1080</v>
      </c>
      <c r="G1136" s="2" t="str">
        <f ca="1">IFERROR(__xludf.DUMMYFUNCTION("""COMPUTED_VALUE"""),"Intel Core i5 7200U 2.5GHz")</f>
        <v>Intel Core i5 7200U 2.5GHz</v>
      </c>
      <c r="H1136" s="2" t="str">
        <f ca="1">IFERROR(__xludf.DUMMYFUNCTION("""COMPUTED_VALUE"""),"4GB")</f>
        <v>4GB</v>
      </c>
      <c r="I1136" s="2" t="str">
        <f ca="1">IFERROR(__xludf.DUMMYFUNCTION("""COMPUTED_VALUE"""),"1TB HDD")</f>
        <v>1TB HDD</v>
      </c>
      <c r="J1136" s="2" t="str">
        <f ca="1">IFERROR(__xludf.DUMMYFUNCTION("""COMPUTED_VALUE"""),"Nvidia GeForce 940MX")</f>
        <v>Nvidia GeForce 940MX</v>
      </c>
      <c r="K1136" s="2" t="str">
        <f ca="1">IFERROR(__xludf.DUMMYFUNCTION("""COMPUTED_VALUE"""),"Windows 10")</f>
        <v>Windows 10</v>
      </c>
      <c r="L1136" s="2" t="str">
        <f ca="1">IFERROR(__xludf.DUMMYFUNCTION("""COMPUTED_VALUE"""),"2.23kg")</f>
        <v>2.23kg</v>
      </c>
      <c r="M1136" s="2">
        <f ca="1">IFERROR(__xludf.DUMMYFUNCTION("""COMPUTED_VALUE"""),616)</f>
        <v>616</v>
      </c>
    </row>
    <row r="1137" spans="1:13">
      <c r="A1137" s="2">
        <f ca="1">IFERROR(__xludf.DUMMYFUNCTION("""COMPUTED_VALUE"""),1150)</f>
        <v>1150</v>
      </c>
      <c r="B1137" s="2" t="str">
        <f ca="1">IFERROR(__xludf.DUMMYFUNCTION("""COMPUTED_VALUE"""),"Lenovo")</f>
        <v>Lenovo</v>
      </c>
      <c r="C1137" s="2" t="str">
        <f ca="1">IFERROR(__xludf.DUMMYFUNCTION("""COMPUTED_VALUE"""),"IdeaPad 500-15ISK")</f>
        <v>IdeaPad 500-15ISK</v>
      </c>
      <c r="D1137" s="2" t="str">
        <f ca="1">IFERROR(__xludf.DUMMYFUNCTION("""COMPUTED_VALUE"""),"Notebook")</f>
        <v>Notebook</v>
      </c>
      <c r="E1137" s="2">
        <f ca="1">IFERROR(__xludf.DUMMYFUNCTION("""COMPUTED_VALUE"""),15.6)</f>
        <v>15.6</v>
      </c>
      <c r="F1137" s="2" t="str">
        <f ca="1">IFERROR(__xludf.DUMMYFUNCTION("""COMPUTED_VALUE"""),"Full HD 1920x1080")</f>
        <v>Full HD 1920x1080</v>
      </c>
      <c r="G1137" s="2" t="str">
        <f ca="1">IFERROR(__xludf.DUMMYFUNCTION("""COMPUTED_VALUE"""),"Intel Core i7 6500U 2.5GHz")</f>
        <v>Intel Core i7 6500U 2.5GHz</v>
      </c>
      <c r="H1137" s="2" t="str">
        <f ca="1">IFERROR(__xludf.DUMMYFUNCTION("""COMPUTED_VALUE"""),"16GB")</f>
        <v>16GB</v>
      </c>
      <c r="I1137" s="2" t="str">
        <f ca="1">IFERROR(__xludf.DUMMYFUNCTION("""COMPUTED_VALUE"""),"1.0TB Hybrid")</f>
        <v>1.0TB Hybrid</v>
      </c>
      <c r="J1137" s="2" t="str">
        <f ca="1">IFERROR(__xludf.DUMMYFUNCTION("""COMPUTED_VALUE"""),"AMD Radeon R7 M360")</f>
        <v>AMD Radeon R7 M360</v>
      </c>
      <c r="K1137" s="2" t="str">
        <f ca="1">IFERROR(__xludf.DUMMYFUNCTION("""COMPUTED_VALUE"""),"Windows 10")</f>
        <v>Windows 10</v>
      </c>
      <c r="L1137" s="2" t="str">
        <f ca="1">IFERROR(__xludf.DUMMYFUNCTION("""COMPUTED_VALUE"""),"2.5kg")</f>
        <v>2.5kg</v>
      </c>
      <c r="M1137" s="2">
        <f ca="1">IFERROR(__xludf.DUMMYFUNCTION("""COMPUTED_VALUE"""),1099)</f>
        <v>1099</v>
      </c>
    </row>
    <row r="1138" spans="1:13">
      <c r="A1138" s="2">
        <f ca="1">IFERROR(__xludf.DUMMYFUNCTION("""COMPUTED_VALUE"""),1151)</f>
        <v>1151</v>
      </c>
      <c r="B1138" s="2" t="str">
        <f ca="1">IFERROR(__xludf.DUMMYFUNCTION("""COMPUTED_VALUE"""),"HP")</f>
        <v>HP</v>
      </c>
      <c r="C1138" s="2" t="str">
        <f ca="1">IFERROR(__xludf.DUMMYFUNCTION("""COMPUTED_VALUE"""),"ZBook 17")</f>
        <v>ZBook 17</v>
      </c>
      <c r="D1138" s="2" t="str">
        <f ca="1">IFERROR(__xludf.DUMMYFUNCTION("""COMPUTED_VALUE"""),"Workstation")</f>
        <v>Workstation</v>
      </c>
      <c r="E1138" s="2">
        <f ca="1">IFERROR(__xludf.DUMMYFUNCTION("""COMPUTED_VALUE"""),17.3)</f>
        <v>17.3</v>
      </c>
      <c r="F1138" s="2" t="str">
        <f ca="1">IFERROR(__xludf.DUMMYFUNCTION("""COMPUTED_VALUE"""),"IPS Panel Full HD 1920x1080")</f>
        <v>IPS Panel Full HD 1920x1080</v>
      </c>
      <c r="G1138" s="2" t="str">
        <f ca="1">IFERROR(__xludf.DUMMYFUNCTION("""COMPUTED_VALUE"""),"Intel Core i7 6700HQ 2.6GHz")</f>
        <v>Intel Core i7 6700HQ 2.6GHz</v>
      </c>
      <c r="H1138" s="2" t="str">
        <f ca="1">IFERROR(__xludf.DUMMYFUNCTION("""COMPUTED_VALUE"""),"8GB")</f>
        <v>8GB</v>
      </c>
      <c r="I1138" s="2" t="str">
        <f ca="1">IFERROR(__xludf.DUMMYFUNCTION("""COMPUTED_VALUE"""),"256GB SSD")</f>
        <v>256GB SSD</v>
      </c>
      <c r="J1138" s="2" t="str">
        <f ca="1">IFERROR(__xludf.DUMMYFUNCTION("""COMPUTED_VALUE"""),"Nvidia Quadro M3000M")</f>
        <v>Nvidia Quadro M3000M</v>
      </c>
      <c r="K1138" s="2" t="str">
        <f ca="1">IFERROR(__xludf.DUMMYFUNCTION("""COMPUTED_VALUE"""),"Windows 7")</f>
        <v>Windows 7</v>
      </c>
      <c r="L1138" s="2" t="str">
        <f ca="1">IFERROR(__xludf.DUMMYFUNCTION("""COMPUTED_VALUE"""),"3kg")</f>
        <v>3kg</v>
      </c>
      <c r="M1138" s="2">
        <f ca="1">IFERROR(__xludf.DUMMYFUNCTION("""COMPUTED_VALUE"""),3949.4)</f>
        <v>3949.4</v>
      </c>
    </row>
    <row r="1139" spans="1:13">
      <c r="A1139" s="2">
        <f ca="1">IFERROR(__xludf.DUMMYFUNCTION("""COMPUTED_VALUE"""),1153)</f>
        <v>1153</v>
      </c>
      <c r="B1139" s="2" t="str">
        <f ca="1">IFERROR(__xludf.DUMMYFUNCTION("""COMPUTED_VALUE"""),"Dell")</f>
        <v>Dell</v>
      </c>
      <c r="C1139" s="2" t="str">
        <f ca="1">IFERROR(__xludf.DUMMYFUNCTION("""COMPUTED_VALUE"""),"Inspiron 5567")</f>
        <v>Inspiron 5567</v>
      </c>
      <c r="D1139" s="2" t="str">
        <f ca="1">IFERROR(__xludf.DUMMYFUNCTION("""COMPUTED_VALUE"""),"Notebook")</f>
        <v>Notebook</v>
      </c>
      <c r="E1139" s="2">
        <f ca="1">IFERROR(__xludf.DUMMYFUNCTION("""COMPUTED_VALUE"""),15.6)</f>
        <v>15.6</v>
      </c>
      <c r="F1139" s="2" t="str">
        <f ca="1">IFERROR(__xludf.DUMMYFUNCTION("""COMPUTED_VALUE"""),"1366x768")</f>
        <v>1366x768</v>
      </c>
      <c r="G1139" s="2" t="str">
        <f ca="1">IFERROR(__xludf.DUMMYFUNCTION("""COMPUTED_VALUE"""),"Intel Core i5 7200U 2.5GHz")</f>
        <v>Intel Core i5 7200U 2.5GHz</v>
      </c>
      <c r="H1139" s="2" t="str">
        <f ca="1">IFERROR(__xludf.DUMMYFUNCTION("""COMPUTED_VALUE"""),"8GB")</f>
        <v>8GB</v>
      </c>
      <c r="I1139" s="2" t="str">
        <f ca="1">IFERROR(__xludf.DUMMYFUNCTION("""COMPUTED_VALUE"""),"1TB HDD")</f>
        <v>1TB HDD</v>
      </c>
      <c r="J1139" s="2" t="str">
        <f ca="1">IFERROR(__xludf.DUMMYFUNCTION("""COMPUTED_VALUE"""),"AMD Radeon R7 M445")</f>
        <v>AMD Radeon R7 M445</v>
      </c>
      <c r="K1139" s="2" t="str">
        <f ca="1">IFERROR(__xludf.DUMMYFUNCTION("""COMPUTED_VALUE"""),"Windows 10")</f>
        <v>Windows 10</v>
      </c>
      <c r="L1139" s="2" t="str">
        <f ca="1">IFERROR(__xludf.DUMMYFUNCTION("""COMPUTED_VALUE"""),"2.5kg")</f>
        <v>2.5kg</v>
      </c>
      <c r="M1139" s="2">
        <f ca="1">IFERROR(__xludf.DUMMYFUNCTION("""COMPUTED_VALUE"""),784)</f>
        <v>784</v>
      </c>
    </row>
    <row r="1140" spans="1:13">
      <c r="A1140" s="2">
        <f ca="1">IFERROR(__xludf.DUMMYFUNCTION("""COMPUTED_VALUE"""),1154)</f>
        <v>1154</v>
      </c>
      <c r="B1140" s="2" t="str">
        <f ca="1">IFERROR(__xludf.DUMMYFUNCTION("""COMPUTED_VALUE"""),"MSI")</f>
        <v>MSI</v>
      </c>
      <c r="C1140" s="2" t="str">
        <f ca="1">IFERROR(__xludf.DUMMYFUNCTION("""COMPUTED_VALUE"""),"GT72S Dominator")</f>
        <v>GT72S Dominator</v>
      </c>
      <c r="D1140" s="2" t="str">
        <f ca="1">IFERROR(__xludf.DUMMYFUNCTION("""COMPUTED_VALUE"""),"Gaming")</f>
        <v>Gaming</v>
      </c>
      <c r="E1140" s="2">
        <f ca="1">IFERROR(__xludf.DUMMYFUNCTION("""COMPUTED_VALUE"""),17.3)</f>
        <v>17.3</v>
      </c>
      <c r="F1140" s="2" t="str">
        <f ca="1">IFERROR(__xludf.DUMMYFUNCTION("""COMPUTED_VALUE"""),"Full HD 1920x1080")</f>
        <v>Full HD 1920x1080</v>
      </c>
      <c r="G1140" s="2" t="str">
        <f ca="1">IFERROR(__xludf.DUMMYFUNCTION("""COMPUTED_VALUE"""),"Intel Core i7 6820HQ 2.7GHz")</f>
        <v>Intel Core i7 6820HQ 2.7GHz</v>
      </c>
      <c r="H1140" s="2" t="str">
        <f ca="1">IFERROR(__xludf.DUMMYFUNCTION("""COMPUTED_VALUE"""),"16GB")</f>
        <v>16GB</v>
      </c>
      <c r="I1140" s="2" t="str">
        <f ca="1">IFERROR(__xludf.DUMMYFUNCTION("""COMPUTED_VALUE"""),"256GB SSD +  1TB HDD")</f>
        <v>256GB SSD +  1TB HDD</v>
      </c>
      <c r="J1140" s="2" t="str">
        <f ca="1">IFERROR(__xludf.DUMMYFUNCTION("""COMPUTED_VALUE"""),"Nvidia GeForce GTX 980M")</f>
        <v>Nvidia GeForce GTX 980M</v>
      </c>
      <c r="K1140" s="2" t="str">
        <f ca="1">IFERROR(__xludf.DUMMYFUNCTION("""COMPUTED_VALUE"""),"Windows 10")</f>
        <v>Windows 10</v>
      </c>
      <c r="L1140" s="2" t="str">
        <f ca="1">IFERROR(__xludf.DUMMYFUNCTION("""COMPUTED_VALUE"""),"3.78kg")</f>
        <v>3.78kg</v>
      </c>
      <c r="M1140" s="2">
        <f ca="1">IFERROR(__xludf.DUMMYFUNCTION("""COMPUTED_VALUE"""),2399)</f>
        <v>2399</v>
      </c>
    </row>
    <row r="1141" spans="1:13">
      <c r="A1141" s="2">
        <f ca="1">IFERROR(__xludf.DUMMYFUNCTION("""COMPUTED_VALUE"""),1155)</f>
        <v>1155</v>
      </c>
      <c r="B1141" s="2" t="str">
        <f ca="1">IFERROR(__xludf.DUMMYFUNCTION("""COMPUTED_VALUE"""),"HP")</f>
        <v>HP</v>
      </c>
      <c r="C1141" s="2" t="str">
        <f ca="1">IFERROR(__xludf.DUMMYFUNCTION("""COMPUTED_VALUE"""),"EliteBook 850")</f>
        <v>EliteBook 850</v>
      </c>
      <c r="D1141" s="2" t="str">
        <f ca="1">IFERROR(__xludf.DUMMYFUNCTION("""COMPUTED_VALUE"""),"Ultrabook")</f>
        <v>Ultrabook</v>
      </c>
      <c r="E1141" s="2">
        <f ca="1">IFERROR(__xludf.DUMMYFUNCTION("""COMPUTED_VALUE"""),15.6)</f>
        <v>15.6</v>
      </c>
      <c r="F1141" s="2" t="str">
        <f ca="1">IFERROR(__xludf.DUMMYFUNCTION("""COMPUTED_VALUE"""),"Full HD 1920x1080")</f>
        <v>Full HD 1920x1080</v>
      </c>
      <c r="G1141" s="2" t="str">
        <f ca="1">IFERROR(__xludf.DUMMYFUNCTION("""COMPUTED_VALUE"""),"Intel Core i7 6500U 2.5GHz")</f>
        <v>Intel Core i7 6500U 2.5GHz</v>
      </c>
      <c r="H1141" s="2" t="str">
        <f ca="1">IFERROR(__xludf.DUMMYFUNCTION("""COMPUTED_VALUE"""),"8GB")</f>
        <v>8GB</v>
      </c>
      <c r="I1141" s="2" t="str">
        <f ca="1">IFERROR(__xludf.DUMMYFUNCTION("""COMPUTED_VALUE"""),"256GB SSD")</f>
        <v>256GB SSD</v>
      </c>
      <c r="J1141" s="2" t="str">
        <f ca="1">IFERROR(__xludf.DUMMYFUNCTION("""COMPUTED_VALUE"""),"Intel HD Graphics 520")</f>
        <v>Intel HD Graphics 520</v>
      </c>
      <c r="K1141" s="2" t="str">
        <f ca="1">IFERROR(__xludf.DUMMYFUNCTION("""COMPUTED_VALUE"""),"Windows 7")</f>
        <v>Windows 7</v>
      </c>
      <c r="L1141" s="2" t="str">
        <f ca="1">IFERROR(__xludf.DUMMYFUNCTION("""COMPUTED_VALUE"""),"1.88kg")</f>
        <v>1.88kg</v>
      </c>
      <c r="M1141" s="2">
        <f ca="1">IFERROR(__xludf.DUMMYFUNCTION("""COMPUTED_VALUE"""),2171.72)</f>
        <v>2171.7199999999998</v>
      </c>
    </row>
    <row r="1142" spans="1:13">
      <c r="A1142" s="2">
        <f ca="1">IFERROR(__xludf.DUMMYFUNCTION("""COMPUTED_VALUE"""),1156)</f>
        <v>1156</v>
      </c>
      <c r="B1142" s="2" t="str">
        <f ca="1">IFERROR(__xludf.DUMMYFUNCTION("""COMPUTED_VALUE"""),"Lenovo")</f>
        <v>Lenovo</v>
      </c>
      <c r="C1142" s="2" t="str">
        <f ca="1">IFERROR(__xludf.DUMMYFUNCTION("""COMPUTED_VALUE"""),"ThinkPad X1")</f>
        <v>ThinkPad X1</v>
      </c>
      <c r="D1142" s="2" t="str">
        <f ca="1">IFERROR(__xludf.DUMMYFUNCTION("""COMPUTED_VALUE"""),"2 in 1 Convertible")</f>
        <v>2 in 1 Convertible</v>
      </c>
      <c r="E1142" s="2">
        <f ca="1">IFERROR(__xludf.DUMMYFUNCTION("""COMPUTED_VALUE"""),14)</f>
        <v>14</v>
      </c>
      <c r="F1142" s="2" t="str">
        <f ca="1">IFERROR(__xludf.DUMMYFUNCTION("""COMPUTED_VALUE"""),"IPS Panel Touchscreen 2560x1440")</f>
        <v>IPS Panel Touchscreen 2560x1440</v>
      </c>
      <c r="G1142" s="2" t="str">
        <f ca="1">IFERROR(__xludf.DUMMYFUNCTION("""COMPUTED_VALUE"""),"Intel Core i7 6600U 2.6GHz")</f>
        <v>Intel Core i7 6600U 2.6GHz</v>
      </c>
      <c r="H1142" s="2" t="str">
        <f ca="1">IFERROR(__xludf.DUMMYFUNCTION("""COMPUTED_VALUE"""),"16GB")</f>
        <v>16GB</v>
      </c>
      <c r="I1142" s="2" t="str">
        <f ca="1">IFERROR(__xludf.DUMMYFUNCTION("""COMPUTED_VALUE"""),"512GB SSD")</f>
        <v>512GB SSD</v>
      </c>
      <c r="J1142" s="2" t="str">
        <f ca="1">IFERROR(__xludf.DUMMYFUNCTION("""COMPUTED_VALUE"""),"Intel HD Graphics 520")</f>
        <v>Intel HD Graphics 520</v>
      </c>
      <c r="K1142" s="2" t="str">
        <f ca="1">IFERROR(__xludf.DUMMYFUNCTION("""COMPUTED_VALUE"""),"Windows 10")</f>
        <v>Windows 10</v>
      </c>
      <c r="L1142" s="2" t="str">
        <f ca="1">IFERROR(__xludf.DUMMYFUNCTION("""COMPUTED_VALUE"""),"2.8kg")</f>
        <v>2.8kg</v>
      </c>
      <c r="M1142" s="2">
        <f ca="1">IFERROR(__xludf.DUMMYFUNCTION("""COMPUTED_VALUE"""),2440)</f>
        <v>2440</v>
      </c>
    </row>
    <row r="1143" spans="1:13">
      <c r="A1143" s="2">
        <f ca="1">IFERROR(__xludf.DUMMYFUNCTION("""COMPUTED_VALUE"""),1157)</f>
        <v>1157</v>
      </c>
      <c r="B1143" s="2" t="str">
        <f ca="1">IFERROR(__xludf.DUMMYFUNCTION("""COMPUTED_VALUE"""),"MSI")</f>
        <v>MSI</v>
      </c>
      <c r="C1143" s="2" t="str">
        <f ca="1">IFERROR(__xludf.DUMMYFUNCTION("""COMPUTED_VALUE"""),"GP62M 7RDX")</f>
        <v>GP62M 7RDX</v>
      </c>
      <c r="D1143" s="2" t="str">
        <f ca="1">IFERROR(__xludf.DUMMYFUNCTION("""COMPUTED_VALUE"""),"Gaming")</f>
        <v>Gaming</v>
      </c>
      <c r="E1143" s="2">
        <f ca="1">IFERROR(__xludf.DUMMYFUNCTION("""COMPUTED_VALUE"""),15.6)</f>
        <v>15.6</v>
      </c>
      <c r="F1143" s="2" t="str">
        <f ca="1">IFERROR(__xludf.DUMMYFUNCTION("""COMPUTED_VALUE"""),"Full HD 1920x1080")</f>
        <v>Full HD 1920x1080</v>
      </c>
      <c r="G1143" s="2" t="str">
        <f ca="1">IFERROR(__xludf.DUMMYFUNCTION("""COMPUTED_VALUE"""),"Intel Core i7 7700HQ 2.8GHz")</f>
        <v>Intel Core i7 7700HQ 2.8GHz</v>
      </c>
      <c r="H1143" s="2" t="str">
        <f ca="1">IFERROR(__xludf.DUMMYFUNCTION("""COMPUTED_VALUE"""),"8GB")</f>
        <v>8GB</v>
      </c>
      <c r="I1143" s="2" t="str">
        <f ca="1">IFERROR(__xludf.DUMMYFUNCTION("""COMPUTED_VALUE"""),"128GB SSD +  1TB HDD")</f>
        <v>128GB SSD +  1TB HDD</v>
      </c>
      <c r="J1143" s="2" t="str">
        <f ca="1">IFERROR(__xludf.DUMMYFUNCTION("""COMPUTED_VALUE"""),"Nvidia GeForce GTX 1050")</f>
        <v>Nvidia GeForce GTX 1050</v>
      </c>
      <c r="K1143" s="2" t="str">
        <f ca="1">IFERROR(__xludf.DUMMYFUNCTION("""COMPUTED_VALUE"""),"Windows 10")</f>
        <v>Windows 10</v>
      </c>
      <c r="L1143" s="2" t="str">
        <f ca="1">IFERROR(__xludf.DUMMYFUNCTION("""COMPUTED_VALUE"""),"2.4kg")</f>
        <v>2.4kg</v>
      </c>
      <c r="M1143" s="2">
        <f ca="1">IFERROR(__xludf.DUMMYFUNCTION("""COMPUTED_VALUE"""),1142.8)</f>
        <v>1142.8</v>
      </c>
    </row>
    <row r="1144" spans="1:13">
      <c r="A1144" s="2">
        <f ca="1">IFERROR(__xludf.DUMMYFUNCTION("""COMPUTED_VALUE"""),1160)</f>
        <v>1160</v>
      </c>
      <c r="B1144" s="2" t="str">
        <f ca="1">IFERROR(__xludf.DUMMYFUNCTION("""COMPUTED_VALUE"""),"HP")</f>
        <v>HP</v>
      </c>
      <c r="C1144" s="2" t="str">
        <f ca="1">IFERROR(__xludf.DUMMYFUNCTION("""COMPUTED_VALUE"""),"Spectre Pro")</f>
        <v>Spectre Pro</v>
      </c>
      <c r="D1144" s="2" t="str">
        <f ca="1">IFERROR(__xludf.DUMMYFUNCTION("""COMPUTED_VALUE"""),"2 in 1 Convertible")</f>
        <v>2 in 1 Convertible</v>
      </c>
      <c r="E1144" s="2">
        <f ca="1">IFERROR(__xludf.DUMMYFUNCTION("""COMPUTED_VALUE"""),13.3)</f>
        <v>13.3</v>
      </c>
      <c r="F1144" s="2" t="str">
        <f ca="1">IFERROR(__xludf.DUMMYFUNCTION("""COMPUTED_VALUE"""),"Full HD / Touchscreen 1920x1080")</f>
        <v>Full HD / Touchscreen 1920x1080</v>
      </c>
      <c r="G1144" s="2" t="str">
        <f ca="1">IFERROR(__xludf.DUMMYFUNCTION("""COMPUTED_VALUE"""),"Intel Core i5 6300U 2.4GHz")</f>
        <v>Intel Core i5 6300U 2.4GHz</v>
      </c>
      <c r="H1144" s="2" t="str">
        <f ca="1">IFERROR(__xludf.DUMMYFUNCTION("""COMPUTED_VALUE"""),"8GB")</f>
        <v>8GB</v>
      </c>
      <c r="I1144" s="2" t="str">
        <f ca="1">IFERROR(__xludf.DUMMYFUNCTION("""COMPUTED_VALUE"""),"256GB SSD")</f>
        <v>256GB SSD</v>
      </c>
      <c r="J1144" s="2" t="str">
        <f ca="1">IFERROR(__xludf.DUMMYFUNCTION("""COMPUTED_VALUE"""),"Intel HD Graphics 520")</f>
        <v>Intel HD Graphics 520</v>
      </c>
      <c r="K1144" s="2" t="str">
        <f ca="1">IFERROR(__xludf.DUMMYFUNCTION("""COMPUTED_VALUE"""),"Windows 10")</f>
        <v>Windows 10</v>
      </c>
      <c r="L1144" s="2" t="str">
        <f ca="1">IFERROR(__xludf.DUMMYFUNCTION("""COMPUTED_VALUE"""),"1.48kg")</f>
        <v>1.48kg</v>
      </c>
      <c r="M1144" s="2">
        <f ca="1">IFERROR(__xludf.DUMMYFUNCTION("""COMPUTED_VALUE"""),1629)</f>
        <v>1629</v>
      </c>
    </row>
    <row r="1145" spans="1:13">
      <c r="A1145" s="2">
        <f ca="1">IFERROR(__xludf.DUMMYFUNCTION("""COMPUTED_VALUE"""),1161)</f>
        <v>1161</v>
      </c>
      <c r="B1145" s="2" t="str">
        <f ca="1">IFERROR(__xludf.DUMMYFUNCTION("""COMPUTED_VALUE"""),"HP")</f>
        <v>HP</v>
      </c>
      <c r="C1145" s="2" t="str">
        <f ca="1">IFERROR(__xludf.DUMMYFUNCTION("""COMPUTED_VALUE"""),"ZBook 15")</f>
        <v>ZBook 15</v>
      </c>
      <c r="D1145" s="2" t="str">
        <f ca="1">IFERROR(__xludf.DUMMYFUNCTION("""COMPUTED_VALUE"""),"Workstation")</f>
        <v>Workstation</v>
      </c>
      <c r="E1145" s="2">
        <f ca="1">IFERROR(__xludf.DUMMYFUNCTION("""COMPUTED_VALUE"""),15.6)</f>
        <v>15.6</v>
      </c>
      <c r="F1145" s="2" t="str">
        <f ca="1">IFERROR(__xludf.DUMMYFUNCTION("""COMPUTED_VALUE"""),"IPS Panel Full HD 1920x1080")</f>
        <v>IPS Panel Full HD 1920x1080</v>
      </c>
      <c r="G1145" s="2" t="str">
        <f ca="1">IFERROR(__xludf.DUMMYFUNCTION("""COMPUTED_VALUE"""),"Intel Core i7 6700HQ 2.6GHz")</f>
        <v>Intel Core i7 6700HQ 2.6GHz</v>
      </c>
      <c r="H1145" s="2" t="str">
        <f ca="1">IFERROR(__xludf.DUMMYFUNCTION("""COMPUTED_VALUE"""),"8GB")</f>
        <v>8GB</v>
      </c>
      <c r="I1145" s="2" t="str">
        <f ca="1">IFERROR(__xludf.DUMMYFUNCTION("""COMPUTED_VALUE"""),"256GB SSD")</f>
        <v>256GB SSD</v>
      </c>
      <c r="J1145" s="2" t="str">
        <f ca="1">IFERROR(__xludf.DUMMYFUNCTION("""COMPUTED_VALUE"""),"Nvidia Quadro M1000M")</f>
        <v>Nvidia Quadro M1000M</v>
      </c>
      <c r="K1145" s="2" t="str">
        <f ca="1">IFERROR(__xludf.DUMMYFUNCTION("""COMPUTED_VALUE"""),"Windows 7")</f>
        <v>Windows 7</v>
      </c>
      <c r="L1145" s="2" t="str">
        <f ca="1">IFERROR(__xludf.DUMMYFUNCTION("""COMPUTED_VALUE"""),"2.59kg")</f>
        <v>2.59kg</v>
      </c>
      <c r="M1145" s="2">
        <f ca="1">IFERROR(__xludf.DUMMYFUNCTION("""COMPUTED_VALUE"""),2229)</f>
        <v>2229</v>
      </c>
    </row>
    <row r="1146" spans="1:13">
      <c r="A1146" s="2">
        <f ca="1">IFERROR(__xludf.DUMMYFUNCTION("""COMPUTED_VALUE"""),1162)</f>
        <v>1162</v>
      </c>
      <c r="B1146" s="2" t="str">
        <f ca="1">IFERROR(__xludf.DUMMYFUNCTION("""COMPUTED_VALUE"""),"HP")</f>
        <v>HP</v>
      </c>
      <c r="C1146" s="2" t="str">
        <f ca="1">IFERROR(__xludf.DUMMYFUNCTION("""COMPUTED_VALUE"""),"Spectre Pro")</f>
        <v>Spectre Pro</v>
      </c>
      <c r="D1146" s="2" t="str">
        <f ca="1">IFERROR(__xludf.DUMMYFUNCTION("""COMPUTED_VALUE"""),"2 in 1 Convertible")</f>
        <v>2 in 1 Convertible</v>
      </c>
      <c r="E1146" s="2">
        <f ca="1">IFERROR(__xludf.DUMMYFUNCTION("""COMPUTED_VALUE"""),13.3)</f>
        <v>13.3</v>
      </c>
      <c r="F1146" s="2" t="str">
        <f ca="1">IFERROR(__xludf.DUMMYFUNCTION("""COMPUTED_VALUE"""),"Touchscreen 2560x1440")</f>
        <v>Touchscreen 2560x1440</v>
      </c>
      <c r="G1146" s="2" t="str">
        <f ca="1">IFERROR(__xludf.DUMMYFUNCTION("""COMPUTED_VALUE"""),"Intel Core i7 6600U 2.6GHz")</f>
        <v>Intel Core i7 6600U 2.6GHz</v>
      </c>
      <c r="H1146" s="2" t="str">
        <f ca="1">IFERROR(__xludf.DUMMYFUNCTION("""COMPUTED_VALUE"""),"8GB")</f>
        <v>8GB</v>
      </c>
      <c r="I1146" s="2" t="str">
        <f ca="1">IFERROR(__xludf.DUMMYFUNCTION("""COMPUTED_VALUE"""),"256GB SSD")</f>
        <v>256GB SSD</v>
      </c>
      <c r="J1146" s="2" t="str">
        <f ca="1">IFERROR(__xludf.DUMMYFUNCTION("""COMPUTED_VALUE"""),"Intel HD Graphics 520")</f>
        <v>Intel HD Graphics 520</v>
      </c>
      <c r="K1146" s="2" t="str">
        <f ca="1">IFERROR(__xludf.DUMMYFUNCTION("""COMPUTED_VALUE"""),"Windows 10")</f>
        <v>Windows 10</v>
      </c>
      <c r="L1146" s="2" t="str">
        <f ca="1">IFERROR(__xludf.DUMMYFUNCTION("""COMPUTED_VALUE"""),"1.48kg")</f>
        <v>1.48kg</v>
      </c>
      <c r="M1146" s="2">
        <f ca="1">IFERROR(__xludf.DUMMYFUNCTION("""COMPUTED_VALUE"""),1799)</f>
        <v>1799</v>
      </c>
    </row>
    <row r="1147" spans="1:13">
      <c r="A1147" s="2">
        <f ca="1">IFERROR(__xludf.DUMMYFUNCTION("""COMPUTED_VALUE"""),1163)</f>
        <v>1163</v>
      </c>
      <c r="B1147" s="2" t="str">
        <f ca="1">IFERROR(__xludf.DUMMYFUNCTION("""COMPUTED_VALUE"""),"HP")</f>
        <v>HP</v>
      </c>
      <c r="C1147" s="2" t="str">
        <f ca="1">IFERROR(__xludf.DUMMYFUNCTION("""COMPUTED_VALUE"""),"ZBook Studio")</f>
        <v>ZBook Studio</v>
      </c>
      <c r="D1147" s="2" t="str">
        <f ca="1">IFERROR(__xludf.DUMMYFUNCTION("""COMPUTED_VALUE"""),"Workstation")</f>
        <v>Workstation</v>
      </c>
      <c r="E1147" s="2">
        <f ca="1">IFERROR(__xludf.DUMMYFUNCTION("""COMPUTED_VALUE"""),15.6)</f>
        <v>15.6</v>
      </c>
      <c r="F1147" s="2" t="str">
        <f ca="1">IFERROR(__xludf.DUMMYFUNCTION("""COMPUTED_VALUE"""),"Full HD 1920x1080")</f>
        <v>Full HD 1920x1080</v>
      </c>
      <c r="G1147" s="2" t="str">
        <f ca="1">IFERROR(__xludf.DUMMYFUNCTION("""COMPUTED_VALUE"""),"Intel Core i7 6700HQ 2.6GHz")</f>
        <v>Intel Core i7 6700HQ 2.6GHz</v>
      </c>
      <c r="H1147" s="2" t="str">
        <f ca="1">IFERROR(__xludf.DUMMYFUNCTION("""COMPUTED_VALUE"""),"8GB")</f>
        <v>8GB</v>
      </c>
      <c r="I1147" s="2" t="str">
        <f ca="1">IFERROR(__xludf.DUMMYFUNCTION("""COMPUTED_VALUE"""),"256GB SSD")</f>
        <v>256GB SSD</v>
      </c>
      <c r="J1147" s="2" t="str">
        <f ca="1">IFERROR(__xludf.DUMMYFUNCTION("""COMPUTED_VALUE"""),"Nvidia Quadro M1000M")</f>
        <v>Nvidia Quadro M1000M</v>
      </c>
      <c r="K1147" s="2" t="str">
        <f ca="1">IFERROR(__xludf.DUMMYFUNCTION("""COMPUTED_VALUE"""),"Windows 7")</f>
        <v>Windows 7</v>
      </c>
      <c r="L1147" s="2" t="str">
        <f ca="1">IFERROR(__xludf.DUMMYFUNCTION("""COMPUTED_VALUE"""),"2.0kg")</f>
        <v>2.0kg</v>
      </c>
      <c r="M1147" s="2">
        <f ca="1">IFERROR(__xludf.DUMMYFUNCTION("""COMPUTED_VALUE"""),1899)</f>
        <v>1899</v>
      </c>
    </row>
    <row r="1148" spans="1:13">
      <c r="A1148" s="2">
        <f ca="1">IFERROR(__xludf.DUMMYFUNCTION("""COMPUTED_VALUE"""),1164)</f>
        <v>1164</v>
      </c>
      <c r="B1148" s="2" t="str">
        <f ca="1">IFERROR(__xludf.DUMMYFUNCTION("""COMPUTED_VALUE"""),"HP")</f>
        <v>HP</v>
      </c>
      <c r="C1148" s="2" t="str">
        <f ca="1">IFERROR(__xludf.DUMMYFUNCTION("""COMPUTED_VALUE"""),"EliteBook 820")</f>
        <v>EliteBook 820</v>
      </c>
      <c r="D1148" s="2" t="str">
        <f ca="1">IFERROR(__xludf.DUMMYFUNCTION("""COMPUTED_VALUE"""),"Ultrabook")</f>
        <v>Ultrabook</v>
      </c>
      <c r="E1148" s="2">
        <f ca="1">IFERROR(__xludf.DUMMYFUNCTION("""COMPUTED_VALUE"""),12.5)</f>
        <v>12.5</v>
      </c>
      <c r="F1148" s="2" t="str">
        <f ca="1">IFERROR(__xludf.DUMMYFUNCTION("""COMPUTED_VALUE"""),"Full HD 1920x1080")</f>
        <v>Full HD 1920x1080</v>
      </c>
      <c r="G1148" s="2" t="str">
        <f ca="1">IFERROR(__xludf.DUMMYFUNCTION("""COMPUTED_VALUE"""),"Intel Core i7 6500U 2.50GHz")</f>
        <v>Intel Core i7 6500U 2.50GHz</v>
      </c>
      <c r="H1148" s="2" t="str">
        <f ca="1">IFERROR(__xludf.DUMMYFUNCTION("""COMPUTED_VALUE"""),"8GB")</f>
        <v>8GB</v>
      </c>
      <c r="I1148" s="2" t="str">
        <f ca="1">IFERROR(__xludf.DUMMYFUNCTION("""COMPUTED_VALUE"""),"256GB SSD")</f>
        <v>256GB SSD</v>
      </c>
      <c r="J1148" s="2" t="str">
        <f ca="1">IFERROR(__xludf.DUMMYFUNCTION("""COMPUTED_VALUE"""),"Intel HD Graphics 520")</f>
        <v>Intel HD Graphics 520</v>
      </c>
      <c r="K1148" s="2" t="str">
        <f ca="1">IFERROR(__xludf.DUMMYFUNCTION("""COMPUTED_VALUE"""),"Windows 7")</f>
        <v>Windows 7</v>
      </c>
      <c r="L1148" s="2" t="str">
        <f ca="1">IFERROR(__xludf.DUMMYFUNCTION("""COMPUTED_VALUE"""),"1.26kg")</f>
        <v>1.26kg</v>
      </c>
      <c r="M1148" s="2">
        <f ca="1">IFERROR(__xludf.DUMMYFUNCTION("""COMPUTED_VALUE"""),2296.95)</f>
        <v>2296.9499999999998</v>
      </c>
    </row>
    <row r="1149" spans="1:13">
      <c r="A1149" s="2">
        <f ca="1">IFERROR(__xludf.DUMMYFUNCTION("""COMPUTED_VALUE"""),1165)</f>
        <v>1165</v>
      </c>
      <c r="B1149" s="2" t="str">
        <f ca="1">IFERROR(__xludf.DUMMYFUNCTION("""COMPUTED_VALUE"""),"Dell")</f>
        <v>Dell</v>
      </c>
      <c r="C1149" s="2" t="str">
        <f ca="1">IFERROR(__xludf.DUMMYFUNCTION("""COMPUTED_VALUE"""),"Vostro 5568")</f>
        <v>Vostro 5568</v>
      </c>
      <c r="D1149" s="2" t="str">
        <f ca="1">IFERROR(__xludf.DUMMYFUNCTION("""COMPUTED_VALUE"""),"Notebook")</f>
        <v>Notebook</v>
      </c>
      <c r="E1149" s="2">
        <f ca="1">IFERROR(__xludf.DUMMYFUNCTION("""COMPUTED_VALUE"""),15.6)</f>
        <v>15.6</v>
      </c>
      <c r="F1149" s="2" t="str">
        <f ca="1">IFERROR(__xludf.DUMMYFUNCTION("""COMPUTED_VALUE"""),"Full HD 1920x1080")</f>
        <v>Full HD 1920x1080</v>
      </c>
      <c r="G1149" s="2" t="str">
        <f ca="1">IFERROR(__xludf.DUMMYFUNCTION("""COMPUTED_VALUE"""),"Intel Core i7 7500U 2.7GHz")</f>
        <v>Intel Core i7 7500U 2.7GHz</v>
      </c>
      <c r="H1149" s="2" t="str">
        <f ca="1">IFERROR(__xludf.DUMMYFUNCTION("""COMPUTED_VALUE"""),"8GB")</f>
        <v>8GB</v>
      </c>
      <c r="I1149" s="2" t="str">
        <f ca="1">IFERROR(__xludf.DUMMYFUNCTION("""COMPUTED_VALUE"""),"256GB SSD")</f>
        <v>256GB SSD</v>
      </c>
      <c r="J1149" s="2" t="str">
        <f ca="1">IFERROR(__xludf.DUMMYFUNCTION("""COMPUTED_VALUE"""),"Nvidia GeForce 940MX")</f>
        <v>Nvidia GeForce 940MX</v>
      </c>
      <c r="K1149" s="2" t="str">
        <f ca="1">IFERROR(__xludf.DUMMYFUNCTION("""COMPUTED_VALUE"""),"Windows 10")</f>
        <v>Windows 10</v>
      </c>
      <c r="L1149" s="2" t="str">
        <f ca="1">IFERROR(__xludf.DUMMYFUNCTION("""COMPUTED_VALUE"""),"2.18kg")</f>
        <v>2.18kg</v>
      </c>
      <c r="M1149" s="2">
        <f ca="1">IFERROR(__xludf.DUMMYFUNCTION("""COMPUTED_VALUE"""),1009.9)</f>
        <v>1009.9</v>
      </c>
    </row>
    <row r="1150" spans="1:13">
      <c r="A1150" s="2">
        <f ca="1">IFERROR(__xludf.DUMMYFUNCTION("""COMPUTED_VALUE"""),1166)</f>
        <v>1166</v>
      </c>
      <c r="B1150" s="2" t="str">
        <f ca="1">IFERROR(__xludf.DUMMYFUNCTION("""COMPUTED_VALUE"""),"HP")</f>
        <v>HP</v>
      </c>
      <c r="C1150" s="2" t="str">
        <f ca="1">IFERROR(__xludf.DUMMYFUNCTION("""COMPUTED_VALUE"""),"EliteBook 850")</f>
        <v>EliteBook 850</v>
      </c>
      <c r="D1150" s="2" t="str">
        <f ca="1">IFERROR(__xludf.DUMMYFUNCTION("""COMPUTED_VALUE"""),"Notebook")</f>
        <v>Notebook</v>
      </c>
      <c r="E1150" s="2">
        <f ca="1">IFERROR(__xludf.DUMMYFUNCTION("""COMPUTED_VALUE"""),15.6)</f>
        <v>15.6</v>
      </c>
      <c r="F1150" s="2" t="str">
        <f ca="1">IFERROR(__xludf.DUMMYFUNCTION("""COMPUTED_VALUE"""),"Full HD 1920x1080")</f>
        <v>Full HD 1920x1080</v>
      </c>
      <c r="G1150" s="2" t="str">
        <f ca="1">IFERROR(__xludf.DUMMYFUNCTION("""COMPUTED_VALUE"""),"Intel Core i5 6200U 2.3GHz")</f>
        <v>Intel Core i5 6200U 2.3GHz</v>
      </c>
      <c r="H1150" s="2" t="str">
        <f ca="1">IFERROR(__xludf.DUMMYFUNCTION("""COMPUTED_VALUE"""),"8GB")</f>
        <v>8GB</v>
      </c>
      <c r="I1150" s="2" t="str">
        <f ca="1">IFERROR(__xludf.DUMMYFUNCTION("""COMPUTED_VALUE"""),"256GB SSD")</f>
        <v>256GB SSD</v>
      </c>
      <c r="J1150" s="2" t="str">
        <f ca="1">IFERROR(__xludf.DUMMYFUNCTION("""COMPUTED_VALUE"""),"Intel HD Graphics 520")</f>
        <v>Intel HD Graphics 520</v>
      </c>
      <c r="K1150" s="2" t="str">
        <f ca="1">IFERROR(__xludf.DUMMYFUNCTION("""COMPUTED_VALUE"""),"Windows 7")</f>
        <v>Windows 7</v>
      </c>
      <c r="L1150" s="2" t="str">
        <f ca="1">IFERROR(__xludf.DUMMYFUNCTION("""COMPUTED_VALUE"""),"1.88kg")</f>
        <v>1.88kg</v>
      </c>
      <c r="M1150" s="2">
        <f ca="1">IFERROR(__xludf.DUMMYFUNCTION("""COMPUTED_VALUE"""),1579)</f>
        <v>1579</v>
      </c>
    </row>
    <row r="1151" spans="1:13">
      <c r="A1151" s="2">
        <f ca="1">IFERROR(__xludf.DUMMYFUNCTION("""COMPUTED_VALUE"""),1167)</f>
        <v>1167</v>
      </c>
      <c r="B1151" s="2" t="str">
        <f ca="1">IFERROR(__xludf.DUMMYFUNCTION("""COMPUTED_VALUE"""),"Lenovo")</f>
        <v>Lenovo</v>
      </c>
      <c r="C1151" s="2" t="str">
        <f ca="1">IFERROR(__xludf.DUMMYFUNCTION("""COMPUTED_VALUE"""),"ThinkPad X1")</f>
        <v>ThinkPad X1</v>
      </c>
      <c r="D1151" s="2" t="str">
        <f ca="1">IFERROR(__xludf.DUMMYFUNCTION("""COMPUTED_VALUE"""),"2 in 1 Convertible")</f>
        <v>2 in 1 Convertible</v>
      </c>
      <c r="E1151" s="2">
        <f ca="1">IFERROR(__xludf.DUMMYFUNCTION("""COMPUTED_VALUE"""),14)</f>
        <v>14</v>
      </c>
      <c r="F1151" s="2" t="str">
        <f ca="1">IFERROR(__xludf.DUMMYFUNCTION("""COMPUTED_VALUE"""),"IPS Panel Touchscreen 2560x1440")</f>
        <v>IPS Panel Touchscreen 2560x1440</v>
      </c>
      <c r="G1151" s="2" t="str">
        <f ca="1">IFERROR(__xludf.DUMMYFUNCTION("""COMPUTED_VALUE"""),"Intel Core i7 6500U 2.5GHz")</f>
        <v>Intel Core i7 6500U 2.5GHz</v>
      </c>
      <c r="H1151" s="2" t="str">
        <f ca="1">IFERROR(__xludf.DUMMYFUNCTION("""COMPUTED_VALUE"""),"8GB")</f>
        <v>8GB</v>
      </c>
      <c r="I1151" s="2" t="str">
        <f ca="1">IFERROR(__xludf.DUMMYFUNCTION("""COMPUTED_VALUE"""),"256GB SSD")</f>
        <v>256GB SSD</v>
      </c>
      <c r="J1151" s="2" t="str">
        <f ca="1">IFERROR(__xludf.DUMMYFUNCTION("""COMPUTED_VALUE"""),"Intel HD Graphics 520")</f>
        <v>Intel HD Graphics 520</v>
      </c>
      <c r="K1151" s="2" t="str">
        <f ca="1">IFERROR(__xludf.DUMMYFUNCTION("""COMPUTED_VALUE"""),"Windows 10")</f>
        <v>Windows 10</v>
      </c>
      <c r="L1151" s="2" t="str">
        <f ca="1">IFERROR(__xludf.DUMMYFUNCTION("""COMPUTED_VALUE"""),"1.27kg")</f>
        <v>1.27kg</v>
      </c>
      <c r="M1151" s="2">
        <f ca="1">IFERROR(__xludf.DUMMYFUNCTION("""COMPUTED_VALUE"""),2339)</f>
        <v>2339</v>
      </c>
    </row>
    <row r="1152" spans="1:13">
      <c r="A1152" s="2">
        <f ca="1">IFERROR(__xludf.DUMMYFUNCTION("""COMPUTED_VALUE"""),1168)</f>
        <v>1168</v>
      </c>
      <c r="B1152" s="2" t="str">
        <f ca="1">IFERROR(__xludf.DUMMYFUNCTION("""COMPUTED_VALUE"""),"Lenovo")</f>
        <v>Lenovo</v>
      </c>
      <c r="C1152" s="2" t="str">
        <f ca="1">IFERROR(__xludf.DUMMYFUNCTION("""COMPUTED_VALUE"""),"V110-15ISK (i3-6006U/4GB/1TB/No")</f>
        <v>V110-15ISK (i3-6006U/4GB/1TB/No</v>
      </c>
      <c r="D1152" s="2" t="str">
        <f ca="1">IFERROR(__xludf.DUMMYFUNCTION("""COMPUTED_VALUE"""),"Notebook")</f>
        <v>Notebook</v>
      </c>
      <c r="E1152" s="2">
        <f ca="1">IFERROR(__xludf.DUMMYFUNCTION("""COMPUTED_VALUE"""),15.6)</f>
        <v>15.6</v>
      </c>
      <c r="F1152" s="2" t="str">
        <f ca="1">IFERROR(__xludf.DUMMYFUNCTION("""COMPUTED_VALUE"""),"1366x768")</f>
        <v>1366x768</v>
      </c>
      <c r="G1152" s="2" t="str">
        <f ca="1">IFERROR(__xludf.DUMMYFUNCTION("""COMPUTED_VALUE"""),"Intel Core i3 6006U 2.0GHz")</f>
        <v>Intel Core i3 6006U 2.0GHz</v>
      </c>
      <c r="H1152" s="2" t="str">
        <f ca="1">IFERROR(__xludf.DUMMYFUNCTION("""COMPUTED_VALUE"""),"4GB")</f>
        <v>4GB</v>
      </c>
      <c r="I1152" s="2" t="str">
        <f ca="1">IFERROR(__xludf.DUMMYFUNCTION("""COMPUTED_VALUE"""),"1TB HDD")</f>
        <v>1TB HDD</v>
      </c>
      <c r="J1152" s="2" t="str">
        <f ca="1">IFERROR(__xludf.DUMMYFUNCTION("""COMPUTED_VALUE"""),"Intel HD Graphics 520")</f>
        <v>Intel HD Graphics 520</v>
      </c>
      <c r="K1152" s="2" t="str">
        <f ca="1">IFERROR(__xludf.DUMMYFUNCTION("""COMPUTED_VALUE"""),"No OS")</f>
        <v>No OS</v>
      </c>
      <c r="L1152" s="2" t="str">
        <f ca="1">IFERROR(__xludf.DUMMYFUNCTION("""COMPUTED_VALUE"""),"1.9kg")</f>
        <v>1.9kg</v>
      </c>
      <c r="M1152" s="2">
        <f ca="1">IFERROR(__xludf.DUMMYFUNCTION("""COMPUTED_VALUE"""),339)</f>
        <v>339</v>
      </c>
    </row>
    <row r="1153" spans="1:13">
      <c r="A1153" s="2">
        <f ca="1">IFERROR(__xludf.DUMMYFUNCTION("""COMPUTED_VALUE"""),1169)</f>
        <v>1169</v>
      </c>
      <c r="B1153" s="2" t="str">
        <f ca="1">IFERROR(__xludf.DUMMYFUNCTION("""COMPUTED_VALUE"""),"HP")</f>
        <v>HP</v>
      </c>
      <c r="C1153" s="2" t="str">
        <f ca="1">IFERROR(__xludf.DUMMYFUNCTION("""COMPUTED_VALUE"""),"15-BA015wm (E2-7110/4GB/500GB/W10)")</f>
        <v>15-BA015wm (E2-7110/4GB/500GB/W10)</v>
      </c>
      <c r="D1153" s="2" t="str">
        <f ca="1">IFERROR(__xludf.DUMMYFUNCTION("""COMPUTED_VALUE"""),"Notebook")</f>
        <v>Notebook</v>
      </c>
      <c r="E1153" s="2">
        <f ca="1">IFERROR(__xludf.DUMMYFUNCTION("""COMPUTED_VALUE"""),15.6)</f>
        <v>15.6</v>
      </c>
      <c r="F1153" s="2" t="str">
        <f ca="1">IFERROR(__xludf.DUMMYFUNCTION("""COMPUTED_VALUE"""),"1366x768")</f>
        <v>1366x768</v>
      </c>
      <c r="G1153" s="2" t="str">
        <f ca="1">IFERROR(__xludf.DUMMYFUNCTION("""COMPUTED_VALUE"""),"AMD E-Series 7110 1.8GHz")</f>
        <v>AMD E-Series 7110 1.8GHz</v>
      </c>
      <c r="H1153" s="2" t="str">
        <f ca="1">IFERROR(__xludf.DUMMYFUNCTION("""COMPUTED_VALUE"""),"4GB")</f>
        <v>4GB</v>
      </c>
      <c r="I1153" s="2" t="str">
        <f ca="1">IFERROR(__xludf.DUMMYFUNCTION("""COMPUTED_VALUE"""),"500GB HDD")</f>
        <v>500GB HDD</v>
      </c>
      <c r="J1153" s="2" t="str">
        <f ca="1">IFERROR(__xludf.DUMMYFUNCTION("""COMPUTED_VALUE"""),"AMD Radeon R2 Graphics")</f>
        <v>AMD Radeon R2 Graphics</v>
      </c>
      <c r="K1153" s="2" t="str">
        <f ca="1">IFERROR(__xludf.DUMMYFUNCTION("""COMPUTED_VALUE"""),"Windows 10")</f>
        <v>Windows 10</v>
      </c>
      <c r="L1153" s="2" t="str">
        <f ca="1">IFERROR(__xludf.DUMMYFUNCTION("""COMPUTED_VALUE"""),"1.86kg")</f>
        <v>1.86kg</v>
      </c>
      <c r="M1153" s="2">
        <f ca="1">IFERROR(__xludf.DUMMYFUNCTION("""COMPUTED_VALUE"""),297)</f>
        <v>297</v>
      </c>
    </row>
    <row r="1154" spans="1:13">
      <c r="A1154" s="2">
        <f ca="1">IFERROR(__xludf.DUMMYFUNCTION("""COMPUTED_VALUE"""),1170)</f>
        <v>1170</v>
      </c>
      <c r="B1154" s="2" t="str">
        <f ca="1">IFERROR(__xludf.DUMMYFUNCTION("""COMPUTED_VALUE"""),"Lenovo")</f>
        <v>Lenovo</v>
      </c>
      <c r="C1154" s="2" t="str">
        <f ca="1">IFERROR(__xludf.DUMMYFUNCTION("""COMPUTED_VALUE"""),"B51-80 (i5-6200U/8GB/1TB/Radeon")</f>
        <v>B51-80 (i5-6200U/8GB/1TB/Radeon</v>
      </c>
      <c r="D1154" s="2" t="str">
        <f ca="1">IFERROR(__xludf.DUMMYFUNCTION("""COMPUTED_VALUE"""),"Notebook")</f>
        <v>Notebook</v>
      </c>
      <c r="E1154" s="2">
        <f ca="1">IFERROR(__xludf.DUMMYFUNCTION("""COMPUTED_VALUE"""),15.6)</f>
        <v>15.6</v>
      </c>
      <c r="F1154" s="2" t="str">
        <f ca="1">IFERROR(__xludf.DUMMYFUNCTION("""COMPUTED_VALUE"""),"Full HD 1920x1080")</f>
        <v>Full HD 1920x1080</v>
      </c>
      <c r="G1154" s="2" t="str">
        <f ca="1">IFERROR(__xludf.DUMMYFUNCTION("""COMPUTED_VALUE"""),"Intel Core i5 6200U 2.3GHz")</f>
        <v>Intel Core i5 6200U 2.3GHz</v>
      </c>
      <c r="H1154" s="2" t="str">
        <f ca="1">IFERROR(__xludf.DUMMYFUNCTION("""COMPUTED_VALUE"""),"8GB")</f>
        <v>8GB</v>
      </c>
      <c r="I1154" s="2" t="str">
        <f ca="1">IFERROR(__xludf.DUMMYFUNCTION("""COMPUTED_VALUE"""),"1TB HDD")</f>
        <v>1TB HDD</v>
      </c>
      <c r="J1154" s="2" t="str">
        <f ca="1">IFERROR(__xludf.DUMMYFUNCTION("""COMPUTED_VALUE"""),"AMD Radeon R5 M330")</f>
        <v>AMD Radeon R5 M330</v>
      </c>
      <c r="K1154" s="2" t="str">
        <f ca="1">IFERROR(__xludf.DUMMYFUNCTION("""COMPUTED_VALUE"""),"No OS")</f>
        <v>No OS</v>
      </c>
      <c r="L1154" s="2" t="str">
        <f ca="1">IFERROR(__xludf.DUMMYFUNCTION("""COMPUTED_VALUE"""),"2.32kg")</f>
        <v>2.32kg</v>
      </c>
      <c r="M1154" s="2">
        <f ca="1">IFERROR(__xludf.DUMMYFUNCTION("""COMPUTED_VALUE"""),599)</f>
        <v>599</v>
      </c>
    </row>
    <row r="1155" spans="1:13">
      <c r="A1155" s="2">
        <f ca="1">IFERROR(__xludf.DUMMYFUNCTION("""COMPUTED_VALUE"""),1171)</f>
        <v>1171</v>
      </c>
      <c r="B1155" s="2" t="str">
        <f ca="1">IFERROR(__xludf.DUMMYFUNCTION("""COMPUTED_VALUE"""),"Dell")</f>
        <v>Dell</v>
      </c>
      <c r="C1155" s="2" t="str">
        <f ca="1">IFERROR(__xludf.DUMMYFUNCTION("""COMPUTED_VALUE"""),"Inspiron 7567")</f>
        <v>Inspiron 7567</v>
      </c>
      <c r="D1155" s="2" t="str">
        <f ca="1">IFERROR(__xludf.DUMMYFUNCTION("""COMPUTED_VALUE"""),"Gaming")</f>
        <v>Gaming</v>
      </c>
      <c r="E1155" s="2">
        <f ca="1">IFERROR(__xludf.DUMMYFUNCTION("""COMPUTED_VALUE"""),15.6)</f>
        <v>15.6</v>
      </c>
      <c r="F1155" s="2" t="str">
        <f ca="1">IFERROR(__xludf.DUMMYFUNCTION("""COMPUTED_VALUE"""),"Full HD 1920x1080")</f>
        <v>Full HD 1920x1080</v>
      </c>
      <c r="G1155" s="2" t="str">
        <f ca="1">IFERROR(__xludf.DUMMYFUNCTION("""COMPUTED_VALUE"""),"Intel Core i7 7700HQ 2.8GHz")</f>
        <v>Intel Core i7 7700HQ 2.8GHz</v>
      </c>
      <c r="H1155" s="2" t="str">
        <f ca="1">IFERROR(__xludf.DUMMYFUNCTION("""COMPUTED_VALUE"""),"8GB")</f>
        <v>8GB</v>
      </c>
      <c r="I1155" s="2" t="str">
        <f ca="1">IFERROR(__xludf.DUMMYFUNCTION("""COMPUTED_VALUE"""),"1TB HDD")</f>
        <v>1TB HDD</v>
      </c>
      <c r="J1155" s="2" t="str">
        <f ca="1">IFERROR(__xludf.DUMMYFUNCTION("""COMPUTED_VALUE"""),"Nvidia GeForce GTX 1050Ti")</f>
        <v>Nvidia GeForce GTX 1050Ti</v>
      </c>
      <c r="K1155" s="2" t="str">
        <f ca="1">IFERROR(__xludf.DUMMYFUNCTION("""COMPUTED_VALUE"""),"Windows 10")</f>
        <v>Windows 10</v>
      </c>
      <c r="L1155" s="2" t="str">
        <f ca="1">IFERROR(__xludf.DUMMYFUNCTION("""COMPUTED_VALUE"""),"2.62kg")</f>
        <v>2.62kg</v>
      </c>
      <c r="M1155" s="2">
        <f ca="1">IFERROR(__xludf.DUMMYFUNCTION("""COMPUTED_VALUE"""),1199)</f>
        <v>1199</v>
      </c>
    </row>
    <row r="1156" spans="1:13">
      <c r="A1156" s="2">
        <f ca="1">IFERROR(__xludf.DUMMYFUNCTION("""COMPUTED_VALUE"""),1172)</f>
        <v>1172</v>
      </c>
      <c r="B1156" s="2" t="str">
        <f ca="1">IFERROR(__xludf.DUMMYFUNCTION("""COMPUTED_VALUE"""),"Dell")</f>
        <v>Dell</v>
      </c>
      <c r="C1156" s="2" t="str">
        <f ca="1">IFERROR(__xludf.DUMMYFUNCTION("""COMPUTED_VALUE"""),"XPS 15")</f>
        <v>XPS 15</v>
      </c>
      <c r="D1156" s="2" t="str">
        <f ca="1">IFERROR(__xludf.DUMMYFUNCTION("""COMPUTED_VALUE"""),"Notebook")</f>
        <v>Notebook</v>
      </c>
      <c r="E1156" s="2">
        <f ca="1">IFERROR(__xludf.DUMMYFUNCTION("""COMPUTED_VALUE"""),15.6)</f>
        <v>15.6</v>
      </c>
      <c r="F1156" s="2" t="str">
        <f ca="1">IFERROR(__xludf.DUMMYFUNCTION("""COMPUTED_VALUE"""),"IPS Panel Touchscreen / 4K Ultra HD 3840x2160")</f>
        <v>IPS Panel Touchscreen / 4K Ultra HD 3840x2160</v>
      </c>
      <c r="G1156" s="2" t="str">
        <f ca="1">IFERROR(__xludf.DUMMYFUNCTION("""COMPUTED_VALUE"""),"Intel Core i5 6300HQ 2.3GHz")</f>
        <v>Intel Core i5 6300HQ 2.3GHz</v>
      </c>
      <c r="H1156" s="2" t="str">
        <f ca="1">IFERROR(__xludf.DUMMYFUNCTION("""COMPUTED_VALUE"""),"8GB")</f>
        <v>8GB</v>
      </c>
      <c r="I1156" s="2" t="str">
        <f ca="1">IFERROR(__xludf.DUMMYFUNCTION("""COMPUTED_VALUE"""),"256GB SSD")</f>
        <v>256GB SSD</v>
      </c>
      <c r="J1156" s="2" t="str">
        <f ca="1">IFERROR(__xludf.DUMMYFUNCTION("""COMPUTED_VALUE"""),"Nvidia GeForce 960M")</f>
        <v>Nvidia GeForce 960M</v>
      </c>
      <c r="K1156" s="2" t="str">
        <f ca="1">IFERROR(__xludf.DUMMYFUNCTION("""COMPUTED_VALUE"""),"Windows 10")</f>
        <v>Windows 10</v>
      </c>
      <c r="L1156" s="2" t="str">
        <f ca="1">IFERROR(__xludf.DUMMYFUNCTION("""COMPUTED_VALUE"""),"2.04kg")</f>
        <v>2.04kg</v>
      </c>
      <c r="M1156" s="2">
        <f ca="1">IFERROR(__xludf.DUMMYFUNCTION("""COMPUTED_VALUE"""),2250.68)</f>
        <v>2250.6799999999998</v>
      </c>
    </row>
    <row r="1157" spans="1:13">
      <c r="A1157" s="2">
        <f ca="1">IFERROR(__xludf.DUMMYFUNCTION("""COMPUTED_VALUE"""),1173)</f>
        <v>1173</v>
      </c>
      <c r="B1157" s="2" t="str">
        <f ca="1">IFERROR(__xludf.DUMMYFUNCTION("""COMPUTED_VALUE"""),"HP")</f>
        <v>HP</v>
      </c>
      <c r="C1157" s="2" t="str">
        <f ca="1">IFERROR(__xludf.DUMMYFUNCTION("""COMPUTED_VALUE"""),"15-bw002nv (A6-9220/4GB/256GB/Radeon")</f>
        <v>15-bw002nv (A6-9220/4GB/256GB/Radeon</v>
      </c>
      <c r="D1157" s="2" t="str">
        <f ca="1">IFERROR(__xludf.DUMMYFUNCTION("""COMPUTED_VALUE"""),"Notebook")</f>
        <v>Notebook</v>
      </c>
      <c r="E1157" s="2">
        <f ca="1">IFERROR(__xludf.DUMMYFUNCTION("""COMPUTED_VALUE"""),15.6)</f>
        <v>15.6</v>
      </c>
      <c r="F1157" s="2" t="str">
        <f ca="1">IFERROR(__xludf.DUMMYFUNCTION("""COMPUTED_VALUE"""),"Full HD 1920x1080")</f>
        <v>Full HD 1920x1080</v>
      </c>
      <c r="G1157" s="2" t="str">
        <f ca="1">IFERROR(__xludf.DUMMYFUNCTION("""COMPUTED_VALUE"""),"AMD A6-Series A6-9220 2.5GHz")</f>
        <v>AMD A6-Series A6-9220 2.5GHz</v>
      </c>
      <c r="H1157" s="2" t="str">
        <f ca="1">IFERROR(__xludf.DUMMYFUNCTION("""COMPUTED_VALUE"""),"4GB")</f>
        <v>4GB</v>
      </c>
      <c r="I1157" s="2" t="str">
        <f ca="1">IFERROR(__xludf.DUMMYFUNCTION("""COMPUTED_VALUE"""),"256GB SSD")</f>
        <v>256GB SSD</v>
      </c>
      <c r="J1157" s="2" t="str">
        <f ca="1">IFERROR(__xludf.DUMMYFUNCTION("""COMPUTED_VALUE"""),"AMD Radeon 520")</f>
        <v>AMD Radeon 520</v>
      </c>
      <c r="K1157" s="2" t="str">
        <f ca="1">IFERROR(__xludf.DUMMYFUNCTION("""COMPUTED_VALUE"""),"Windows 10")</f>
        <v>Windows 10</v>
      </c>
      <c r="L1157" s="2" t="str">
        <f ca="1">IFERROR(__xludf.DUMMYFUNCTION("""COMPUTED_VALUE"""),"1.91kg")</f>
        <v>1.91kg</v>
      </c>
      <c r="M1157" s="2">
        <f ca="1">IFERROR(__xludf.DUMMYFUNCTION("""COMPUTED_VALUE"""),478.89)</f>
        <v>478.89</v>
      </c>
    </row>
    <row r="1158" spans="1:13">
      <c r="A1158" s="2">
        <f ca="1">IFERROR(__xludf.DUMMYFUNCTION("""COMPUTED_VALUE"""),1174)</f>
        <v>1174</v>
      </c>
      <c r="B1158" s="2" t="str">
        <f ca="1">IFERROR(__xludf.DUMMYFUNCTION("""COMPUTED_VALUE"""),"MSI")</f>
        <v>MSI</v>
      </c>
      <c r="C1158" s="2" t="str">
        <f ca="1">IFERROR(__xludf.DUMMYFUNCTION("""COMPUTED_VALUE"""),"GP72M 7REX")</f>
        <v>GP72M 7REX</v>
      </c>
      <c r="D1158" s="2" t="str">
        <f ca="1">IFERROR(__xludf.DUMMYFUNCTION("""COMPUTED_VALUE"""),"Gaming")</f>
        <v>Gaming</v>
      </c>
      <c r="E1158" s="2">
        <f ca="1">IFERROR(__xludf.DUMMYFUNCTION("""COMPUTED_VALUE"""),17.3)</f>
        <v>17.3</v>
      </c>
      <c r="F1158" s="2" t="str">
        <f ca="1">IFERROR(__xludf.DUMMYFUNCTION("""COMPUTED_VALUE"""),"Full HD 1920x1080")</f>
        <v>Full HD 1920x1080</v>
      </c>
      <c r="G1158" s="2" t="str">
        <f ca="1">IFERROR(__xludf.DUMMYFUNCTION("""COMPUTED_VALUE"""),"Intel Core i7 7700HQ 2.8GHz")</f>
        <v>Intel Core i7 7700HQ 2.8GHz</v>
      </c>
      <c r="H1158" s="2" t="str">
        <f ca="1">IFERROR(__xludf.DUMMYFUNCTION("""COMPUTED_VALUE"""),"16GB")</f>
        <v>16GB</v>
      </c>
      <c r="I1158" s="2" t="str">
        <f ca="1">IFERROR(__xludf.DUMMYFUNCTION("""COMPUTED_VALUE"""),"256GB SSD +  1TB HDD")</f>
        <v>256GB SSD +  1TB HDD</v>
      </c>
      <c r="J1158" s="2" t="str">
        <f ca="1">IFERROR(__xludf.DUMMYFUNCTION("""COMPUTED_VALUE"""),"Nvidia GeForce GTX 1050 Ti")</f>
        <v>Nvidia GeForce GTX 1050 Ti</v>
      </c>
      <c r="K1158" s="2" t="str">
        <f ca="1">IFERROR(__xludf.DUMMYFUNCTION("""COMPUTED_VALUE"""),"Windows 10")</f>
        <v>Windows 10</v>
      </c>
      <c r="L1158" s="2" t="str">
        <f ca="1">IFERROR(__xludf.DUMMYFUNCTION("""COMPUTED_VALUE"""),"2.7kg")</f>
        <v>2.7kg</v>
      </c>
      <c r="M1158" s="2">
        <f ca="1">IFERROR(__xludf.DUMMYFUNCTION("""COMPUTED_VALUE"""),1492.8)</f>
        <v>1492.8</v>
      </c>
    </row>
    <row r="1159" spans="1:13">
      <c r="A1159" s="2">
        <f ca="1">IFERROR(__xludf.DUMMYFUNCTION("""COMPUTED_VALUE"""),1175)</f>
        <v>1175</v>
      </c>
      <c r="B1159" s="2" t="str">
        <f ca="1">IFERROR(__xludf.DUMMYFUNCTION("""COMPUTED_VALUE"""),"Lenovo")</f>
        <v>Lenovo</v>
      </c>
      <c r="C1159" s="2" t="str">
        <f ca="1">IFERROR(__xludf.DUMMYFUNCTION("""COMPUTED_VALUE"""),"ThinkPad T460s")</f>
        <v>ThinkPad T460s</v>
      </c>
      <c r="D1159" s="2" t="str">
        <f ca="1">IFERROR(__xludf.DUMMYFUNCTION("""COMPUTED_VALUE"""),"Ultrabook")</f>
        <v>Ultrabook</v>
      </c>
      <c r="E1159" s="2">
        <f ca="1">IFERROR(__xludf.DUMMYFUNCTION("""COMPUTED_VALUE"""),14)</f>
        <v>14</v>
      </c>
      <c r="F1159" s="2" t="str">
        <f ca="1">IFERROR(__xludf.DUMMYFUNCTION("""COMPUTED_VALUE"""),"Full HD 1920x1080")</f>
        <v>Full HD 1920x1080</v>
      </c>
      <c r="G1159" s="2" t="str">
        <f ca="1">IFERROR(__xludf.DUMMYFUNCTION("""COMPUTED_VALUE"""),"Intel Core i7 6600U 2.6GHz")</f>
        <v>Intel Core i7 6600U 2.6GHz</v>
      </c>
      <c r="H1159" s="2" t="str">
        <f ca="1">IFERROR(__xludf.DUMMYFUNCTION("""COMPUTED_VALUE"""),"12GB")</f>
        <v>12GB</v>
      </c>
      <c r="I1159" s="2" t="str">
        <f ca="1">IFERROR(__xludf.DUMMYFUNCTION("""COMPUTED_VALUE"""),"512GB SSD")</f>
        <v>512GB SSD</v>
      </c>
      <c r="J1159" s="2" t="str">
        <f ca="1">IFERROR(__xludf.DUMMYFUNCTION("""COMPUTED_VALUE"""),"Intel HD Graphics 520")</f>
        <v>Intel HD Graphics 520</v>
      </c>
      <c r="K1159" s="2" t="str">
        <f ca="1">IFERROR(__xludf.DUMMYFUNCTION("""COMPUTED_VALUE"""),"Windows 7")</f>
        <v>Windows 7</v>
      </c>
      <c r="L1159" s="2" t="str">
        <f ca="1">IFERROR(__xludf.DUMMYFUNCTION("""COMPUTED_VALUE"""),"1.4kg")</f>
        <v>1.4kg</v>
      </c>
      <c r="M1159" s="2">
        <f ca="1">IFERROR(__xludf.DUMMYFUNCTION("""COMPUTED_VALUE"""),2299)</f>
        <v>2299</v>
      </c>
    </row>
    <row r="1160" spans="1:13">
      <c r="A1160" s="2">
        <f ca="1">IFERROR(__xludf.DUMMYFUNCTION("""COMPUTED_VALUE"""),1176)</f>
        <v>1176</v>
      </c>
      <c r="B1160" s="2" t="str">
        <f ca="1">IFERROR(__xludf.DUMMYFUNCTION("""COMPUTED_VALUE"""),"Lenovo")</f>
        <v>Lenovo</v>
      </c>
      <c r="C1160" s="2" t="str">
        <f ca="1">IFERROR(__xludf.DUMMYFUNCTION("""COMPUTED_VALUE"""),"B51-80 (i5-6200U/8GB/1008GB/Radeon")</f>
        <v>B51-80 (i5-6200U/8GB/1008GB/Radeon</v>
      </c>
      <c r="D1160" s="2" t="str">
        <f ca="1">IFERROR(__xludf.DUMMYFUNCTION("""COMPUTED_VALUE"""),"Notebook")</f>
        <v>Notebook</v>
      </c>
      <c r="E1160" s="2">
        <f ca="1">IFERROR(__xludf.DUMMYFUNCTION("""COMPUTED_VALUE"""),15.6)</f>
        <v>15.6</v>
      </c>
      <c r="F1160" s="2" t="str">
        <f ca="1">IFERROR(__xludf.DUMMYFUNCTION("""COMPUTED_VALUE"""),"Full HD 1920x1080")</f>
        <v>Full HD 1920x1080</v>
      </c>
      <c r="G1160" s="2" t="str">
        <f ca="1">IFERROR(__xludf.DUMMYFUNCTION("""COMPUTED_VALUE"""),"Intel Core i5 6200U 2.3GHz")</f>
        <v>Intel Core i5 6200U 2.3GHz</v>
      </c>
      <c r="H1160" s="2" t="str">
        <f ca="1">IFERROR(__xludf.DUMMYFUNCTION("""COMPUTED_VALUE"""),"8GB")</f>
        <v>8GB</v>
      </c>
      <c r="I1160" s="2" t="str">
        <f ca="1">IFERROR(__xludf.DUMMYFUNCTION("""COMPUTED_VALUE"""),"1.0TB Hybrid")</f>
        <v>1.0TB Hybrid</v>
      </c>
      <c r="J1160" s="2" t="str">
        <f ca="1">IFERROR(__xludf.DUMMYFUNCTION("""COMPUTED_VALUE"""),"AMD Radeon R5 M330")</f>
        <v>AMD Radeon R5 M330</v>
      </c>
      <c r="K1160" s="2" t="str">
        <f ca="1">IFERROR(__xludf.DUMMYFUNCTION("""COMPUTED_VALUE"""),"Windows 10")</f>
        <v>Windows 10</v>
      </c>
      <c r="L1160" s="2" t="str">
        <f ca="1">IFERROR(__xludf.DUMMYFUNCTION("""COMPUTED_VALUE"""),"2.5kg")</f>
        <v>2.5kg</v>
      </c>
      <c r="M1160" s="2">
        <f ca="1">IFERROR(__xludf.DUMMYFUNCTION("""COMPUTED_VALUE"""),788.49)</f>
        <v>788.49</v>
      </c>
    </row>
    <row r="1161" spans="1:13">
      <c r="A1161" s="2">
        <f ca="1">IFERROR(__xludf.DUMMYFUNCTION("""COMPUTED_VALUE"""),1177)</f>
        <v>1177</v>
      </c>
      <c r="B1161" s="2" t="str">
        <f ca="1">IFERROR(__xludf.DUMMYFUNCTION("""COMPUTED_VALUE"""),"HP")</f>
        <v>HP</v>
      </c>
      <c r="C1161" s="2" t="str">
        <f ca="1">IFERROR(__xludf.DUMMYFUNCTION("""COMPUTED_VALUE"""),"Spectre Pro")</f>
        <v>Spectre Pro</v>
      </c>
      <c r="D1161" s="2" t="str">
        <f ca="1">IFERROR(__xludf.DUMMYFUNCTION("""COMPUTED_VALUE"""),"2 in 1 Convertible")</f>
        <v>2 in 1 Convertible</v>
      </c>
      <c r="E1161" s="2">
        <f ca="1">IFERROR(__xludf.DUMMYFUNCTION("""COMPUTED_VALUE"""),13.3)</f>
        <v>13.3</v>
      </c>
      <c r="F1161" s="2" t="str">
        <f ca="1">IFERROR(__xludf.DUMMYFUNCTION("""COMPUTED_VALUE"""),"Touchscreen 2560x1440")</f>
        <v>Touchscreen 2560x1440</v>
      </c>
      <c r="G1161" s="2" t="str">
        <f ca="1">IFERROR(__xludf.DUMMYFUNCTION("""COMPUTED_VALUE"""),"Intel Core i7 6600U 2.6GHz")</f>
        <v>Intel Core i7 6600U 2.6GHz</v>
      </c>
      <c r="H1161" s="2" t="str">
        <f ca="1">IFERROR(__xludf.DUMMYFUNCTION("""COMPUTED_VALUE"""),"8GB")</f>
        <v>8GB</v>
      </c>
      <c r="I1161" s="2" t="str">
        <f ca="1">IFERROR(__xludf.DUMMYFUNCTION("""COMPUTED_VALUE"""),"512GB SSD")</f>
        <v>512GB SSD</v>
      </c>
      <c r="J1161" s="2" t="str">
        <f ca="1">IFERROR(__xludf.DUMMYFUNCTION("""COMPUTED_VALUE"""),"Intel HD Graphics 520")</f>
        <v>Intel HD Graphics 520</v>
      </c>
      <c r="K1161" s="2" t="str">
        <f ca="1">IFERROR(__xludf.DUMMYFUNCTION("""COMPUTED_VALUE"""),"Windows 10")</f>
        <v>Windows 10</v>
      </c>
      <c r="L1161" s="2" t="str">
        <f ca="1">IFERROR(__xludf.DUMMYFUNCTION("""COMPUTED_VALUE"""),"1.48kg")</f>
        <v>1.48kg</v>
      </c>
      <c r="M1161" s="2">
        <f ca="1">IFERROR(__xludf.DUMMYFUNCTION("""COMPUTED_VALUE"""),2041)</f>
        <v>2041</v>
      </c>
    </row>
    <row r="1162" spans="1:13">
      <c r="A1162" s="2">
        <f ca="1">IFERROR(__xludf.DUMMYFUNCTION("""COMPUTED_VALUE"""),1178)</f>
        <v>1178</v>
      </c>
      <c r="B1162" s="2" t="str">
        <f ca="1">IFERROR(__xludf.DUMMYFUNCTION("""COMPUTED_VALUE"""),"Lenovo")</f>
        <v>Lenovo</v>
      </c>
      <c r="C1162" s="2" t="str">
        <f ca="1">IFERROR(__xludf.DUMMYFUNCTION("""COMPUTED_VALUE"""),"ThinkPad T460")</f>
        <v>ThinkPad T460</v>
      </c>
      <c r="D1162" s="2" t="str">
        <f ca="1">IFERROR(__xludf.DUMMYFUNCTION("""COMPUTED_VALUE"""),"Ultrabook")</f>
        <v>Ultrabook</v>
      </c>
      <c r="E1162" s="2">
        <f ca="1">IFERROR(__xludf.DUMMYFUNCTION("""COMPUTED_VALUE"""),14)</f>
        <v>14</v>
      </c>
      <c r="F1162" s="2" t="str">
        <f ca="1">IFERROR(__xludf.DUMMYFUNCTION("""COMPUTED_VALUE"""),"Full HD 1920x1080")</f>
        <v>Full HD 1920x1080</v>
      </c>
      <c r="G1162" s="2" t="str">
        <f ca="1">IFERROR(__xludf.DUMMYFUNCTION("""COMPUTED_VALUE"""),"Intel Core i7 6600U 2.6GHz")</f>
        <v>Intel Core i7 6600U 2.6GHz</v>
      </c>
      <c r="H1162" s="2" t="str">
        <f ca="1">IFERROR(__xludf.DUMMYFUNCTION("""COMPUTED_VALUE"""),"8GB")</f>
        <v>8GB</v>
      </c>
      <c r="I1162" s="2" t="str">
        <f ca="1">IFERROR(__xludf.DUMMYFUNCTION("""COMPUTED_VALUE"""),"256GB SSD")</f>
        <v>256GB SSD</v>
      </c>
      <c r="J1162" s="2" t="str">
        <f ca="1">IFERROR(__xludf.DUMMYFUNCTION("""COMPUTED_VALUE"""),"Intel HD Graphics 520")</f>
        <v>Intel HD Graphics 520</v>
      </c>
      <c r="K1162" s="2" t="str">
        <f ca="1">IFERROR(__xludf.DUMMYFUNCTION("""COMPUTED_VALUE"""),"Windows 7")</f>
        <v>Windows 7</v>
      </c>
      <c r="L1162" s="2" t="str">
        <f ca="1">IFERROR(__xludf.DUMMYFUNCTION("""COMPUTED_VALUE"""),"1.7kg")</f>
        <v>1.7kg</v>
      </c>
      <c r="M1162" s="2">
        <f ca="1">IFERROR(__xludf.DUMMYFUNCTION("""COMPUTED_VALUE"""),1499)</f>
        <v>1499</v>
      </c>
    </row>
    <row r="1163" spans="1:13">
      <c r="A1163" s="2">
        <f ca="1">IFERROR(__xludf.DUMMYFUNCTION("""COMPUTED_VALUE"""),1179)</f>
        <v>1179</v>
      </c>
      <c r="B1163" s="2" t="str">
        <f ca="1">IFERROR(__xludf.DUMMYFUNCTION("""COMPUTED_VALUE"""),"MSI")</f>
        <v>MSI</v>
      </c>
      <c r="C1163" s="2" t="str">
        <f ca="1">IFERROR(__xludf.DUMMYFUNCTION("""COMPUTED_VALUE"""),"GS40 Phantom")</f>
        <v>GS40 Phantom</v>
      </c>
      <c r="D1163" s="2" t="str">
        <f ca="1">IFERROR(__xludf.DUMMYFUNCTION("""COMPUTED_VALUE"""),"Gaming")</f>
        <v>Gaming</v>
      </c>
      <c r="E1163" s="2">
        <f ca="1">IFERROR(__xludf.DUMMYFUNCTION("""COMPUTED_VALUE"""),14)</f>
        <v>14</v>
      </c>
      <c r="F1163" s="2" t="str">
        <f ca="1">IFERROR(__xludf.DUMMYFUNCTION("""COMPUTED_VALUE"""),"Full HD 1920x1080")</f>
        <v>Full HD 1920x1080</v>
      </c>
      <c r="G1163" s="2" t="str">
        <f ca="1">IFERROR(__xludf.DUMMYFUNCTION("""COMPUTED_VALUE"""),"Intel Core i7 6700HQ 2.6GHz")</f>
        <v>Intel Core i7 6700HQ 2.6GHz</v>
      </c>
      <c r="H1163" s="2" t="str">
        <f ca="1">IFERROR(__xludf.DUMMYFUNCTION("""COMPUTED_VALUE"""),"16GB")</f>
        <v>16GB</v>
      </c>
      <c r="I1163" s="2" t="str">
        <f ca="1">IFERROR(__xludf.DUMMYFUNCTION("""COMPUTED_VALUE"""),"256GB SSD +  1TB HDD")</f>
        <v>256GB SSD +  1TB HDD</v>
      </c>
      <c r="J1163" s="2" t="str">
        <f ca="1">IFERROR(__xludf.DUMMYFUNCTION("""COMPUTED_VALUE"""),"Nvidia GeForce GTX 970M")</f>
        <v>Nvidia GeForce GTX 970M</v>
      </c>
      <c r="K1163" s="2" t="str">
        <f ca="1">IFERROR(__xludf.DUMMYFUNCTION("""COMPUTED_VALUE"""),"Windows 10")</f>
        <v>Windows 10</v>
      </c>
      <c r="L1163" s="2" t="str">
        <f ca="1">IFERROR(__xludf.DUMMYFUNCTION("""COMPUTED_VALUE"""),"1.7kg")</f>
        <v>1.7kg</v>
      </c>
      <c r="M1163" s="2">
        <f ca="1">IFERROR(__xludf.DUMMYFUNCTION("""COMPUTED_VALUE"""),1769)</f>
        <v>1769</v>
      </c>
    </row>
    <row r="1164" spans="1:13">
      <c r="A1164" s="2">
        <f ca="1">IFERROR(__xludf.DUMMYFUNCTION("""COMPUTED_VALUE"""),1180)</f>
        <v>1180</v>
      </c>
      <c r="B1164" s="2" t="str">
        <f ca="1">IFERROR(__xludf.DUMMYFUNCTION("""COMPUTED_VALUE"""),"HP")</f>
        <v>HP</v>
      </c>
      <c r="C1164" s="2" t="str">
        <f ca="1">IFERROR(__xludf.DUMMYFUNCTION("""COMPUTED_VALUE"""),"Pavilion 15-cb003nv")</f>
        <v>Pavilion 15-cb003nv</v>
      </c>
      <c r="D1164" s="2" t="str">
        <f ca="1">IFERROR(__xludf.DUMMYFUNCTION("""COMPUTED_VALUE"""),"Gaming")</f>
        <v>Gaming</v>
      </c>
      <c r="E1164" s="2">
        <f ca="1">IFERROR(__xludf.DUMMYFUNCTION("""COMPUTED_VALUE"""),15.6)</f>
        <v>15.6</v>
      </c>
      <c r="F1164" s="2" t="str">
        <f ca="1">IFERROR(__xludf.DUMMYFUNCTION("""COMPUTED_VALUE"""),"IPS Panel Full HD 1920x1080")</f>
        <v>IPS Panel Full HD 1920x1080</v>
      </c>
      <c r="G1164" s="2" t="str">
        <f ca="1">IFERROR(__xludf.DUMMYFUNCTION("""COMPUTED_VALUE"""),"Intel Core i7 7700HQ 2.8GHz")</f>
        <v>Intel Core i7 7700HQ 2.8GHz</v>
      </c>
      <c r="H1164" s="2" t="str">
        <f ca="1">IFERROR(__xludf.DUMMYFUNCTION("""COMPUTED_VALUE"""),"8GB")</f>
        <v>8GB</v>
      </c>
      <c r="I1164" s="2" t="str">
        <f ca="1">IFERROR(__xludf.DUMMYFUNCTION("""COMPUTED_VALUE"""),"1TB HDD")</f>
        <v>1TB HDD</v>
      </c>
      <c r="J1164" s="2" t="str">
        <f ca="1">IFERROR(__xludf.DUMMYFUNCTION("""COMPUTED_VALUE"""),"Nvidia GeForce GTX 1050")</f>
        <v>Nvidia GeForce GTX 1050</v>
      </c>
      <c r="K1164" s="2" t="str">
        <f ca="1">IFERROR(__xludf.DUMMYFUNCTION("""COMPUTED_VALUE"""),"Windows 10")</f>
        <v>Windows 10</v>
      </c>
      <c r="L1164" s="2" t="str">
        <f ca="1">IFERROR(__xludf.DUMMYFUNCTION("""COMPUTED_VALUE"""),"2.62kg")</f>
        <v>2.62kg</v>
      </c>
      <c r="M1164" s="2">
        <f ca="1">IFERROR(__xludf.DUMMYFUNCTION("""COMPUTED_VALUE"""),899)</f>
        <v>899</v>
      </c>
    </row>
    <row r="1165" spans="1:13">
      <c r="A1165" s="2">
        <f ca="1">IFERROR(__xludf.DUMMYFUNCTION("""COMPUTED_VALUE"""),1181)</f>
        <v>1181</v>
      </c>
      <c r="B1165" s="2" t="str">
        <f ca="1">IFERROR(__xludf.DUMMYFUNCTION("""COMPUTED_VALUE"""),"Lenovo")</f>
        <v>Lenovo</v>
      </c>
      <c r="C1165" s="2" t="str">
        <f ca="1">IFERROR(__xludf.DUMMYFUNCTION("""COMPUTED_VALUE"""),"IdeaPad 310-15ISK")</f>
        <v>IdeaPad 310-15ISK</v>
      </c>
      <c r="D1165" s="2" t="str">
        <f ca="1">IFERROR(__xludf.DUMMYFUNCTION("""COMPUTED_VALUE"""),"Notebook")</f>
        <v>Notebook</v>
      </c>
      <c r="E1165" s="2">
        <f ca="1">IFERROR(__xludf.DUMMYFUNCTION("""COMPUTED_VALUE"""),15.6)</f>
        <v>15.6</v>
      </c>
      <c r="F1165" s="2" t="str">
        <f ca="1">IFERROR(__xludf.DUMMYFUNCTION("""COMPUTED_VALUE"""),"1366x768")</f>
        <v>1366x768</v>
      </c>
      <c r="G1165" s="2" t="str">
        <f ca="1">IFERROR(__xludf.DUMMYFUNCTION("""COMPUTED_VALUE"""),"Intel Core i3 6006U 2.0GHz")</f>
        <v>Intel Core i3 6006U 2.0GHz</v>
      </c>
      <c r="H1165" s="2" t="str">
        <f ca="1">IFERROR(__xludf.DUMMYFUNCTION("""COMPUTED_VALUE"""),"8GB")</f>
        <v>8GB</v>
      </c>
      <c r="I1165" s="2" t="str">
        <f ca="1">IFERROR(__xludf.DUMMYFUNCTION("""COMPUTED_VALUE"""),"1TB HDD")</f>
        <v>1TB HDD</v>
      </c>
      <c r="J1165" s="2" t="str">
        <f ca="1">IFERROR(__xludf.DUMMYFUNCTION("""COMPUTED_VALUE"""),"Intel HD Graphics 520")</f>
        <v>Intel HD Graphics 520</v>
      </c>
      <c r="K1165" s="2" t="str">
        <f ca="1">IFERROR(__xludf.DUMMYFUNCTION("""COMPUTED_VALUE"""),"Windows 10")</f>
        <v>Windows 10</v>
      </c>
      <c r="L1165" s="2" t="str">
        <f ca="1">IFERROR(__xludf.DUMMYFUNCTION("""COMPUTED_VALUE"""),"2.2kg")</f>
        <v>2.2kg</v>
      </c>
      <c r="M1165" s="2">
        <f ca="1">IFERROR(__xludf.DUMMYFUNCTION("""COMPUTED_VALUE"""),459)</f>
        <v>459</v>
      </c>
    </row>
    <row r="1166" spans="1:13">
      <c r="A1166" s="2">
        <f ca="1">IFERROR(__xludf.DUMMYFUNCTION("""COMPUTED_VALUE"""),1182)</f>
        <v>1182</v>
      </c>
      <c r="B1166" s="2" t="str">
        <f ca="1">IFERROR(__xludf.DUMMYFUNCTION("""COMPUTED_VALUE"""),"HP")</f>
        <v>HP</v>
      </c>
      <c r="C1166" s="2" t="str">
        <f ca="1">IFERROR(__xludf.DUMMYFUNCTION("""COMPUTED_VALUE"""),"250 G4")</f>
        <v>250 G4</v>
      </c>
      <c r="D1166" s="2" t="str">
        <f ca="1">IFERROR(__xludf.DUMMYFUNCTION("""COMPUTED_VALUE"""),"Notebook")</f>
        <v>Notebook</v>
      </c>
      <c r="E1166" s="2">
        <f ca="1">IFERROR(__xludf.DUMMYFUNCTION("""COMPUTED_VALUE"""),15.6)</f>
        <v>15.6</v>
      </c>
      <c r="F1166" s="2" t="str">
        <f ca="1">IFERROR(__xludf.DUMMYFUNCTION("""COMPUTED_VALUE"""),"1366x768")</f>
        <v>1366x768</v>
      </c>
      <c r="G1166" s="2" t="str">
        <f ca="1">IFERROR(__xludf.DUMMYFUNCTION("""COMPUTED_VALUE"""),"Intel Core i5 6200U 2.3GHz")</f>
        <v>Intel Core i5 6200U 2.3GHz</v>
      </c>
      <c r="H1166" s="2" t="str">
        <f ca="1">IFERROR(__xludf.DUMMYFUNCTION("""COMPUTED_VALUE"""),"4GB")</f>
        <v>4GB</v>
      </c>
      <c r="I1166" s="2" t="str">
        <f ca="1">IFERROR(__xludf.DUMMYFUNCTION("""COMPUTED_VALUE"""),"500GB HDD")</f>
        <v>500GB HDD</v>
      </c>
      <c r="J1166" s="2" t="str">
        <f ca="1">IFERROR(__xludf.DUMMYFUNCTION("""COMPUTED_VALUE"""),"Intel HD Graphics 520")</f>
        <v>Intel HD Graphics 520</v>
      </c>
      <c r="K1166" s="2" t="str">
        <f ca="1">IFERROR(__xludf.DUMMYFUNCTION("""COMPUTED_VALUE"""),"No OS")</f>
        <v>No OS</v>
      </c>
      <c r="L1166" s="2" t="str">
        <f ca="1">IFERROR(__xludf.DUMMYFUNCTION("""COMPUTED_VALUE"""),"2.1kg")</f>
        <v>2.1kg</v>
      </c>
      <c r="M1166" s="2">
        <f ca="1">IFERROR(__xludf.DUMMYFUNCTION("""COMPUTED_VALUE"""),476.99)</f>
        <v>476.99</v>
      </c>
    </row>
    <row r="1167" spans="1:13">
      <c r="A1167" s="2">
        <f ca="1">IFERROR(__xludf.DUMMYFUNCTION("""COMPUTED_VALUE"""),1183)</f>
        <v>1183</v>
      </c>
      <c r="B1167" s="2" t="str">
        <f ca="1">IFERROR(__xludf.DUMMYFUNCTION("""COMPUTED_VALUE"""),"Dell")</f>
        <v>Dell</v>
      </c>
      <c r="C1167" s="2" t="str">
        <f ca="1">IFERROR(__xludf.DUMMYFUNCTION("""COMPUTED_VALUE"""),"Inspiron 7567")</f>
        <v>Inspiron 7567</v>
      </c>
      <c r="D1167" s="2" t="str">
        <f ca="1">IFERROR(__xludf.DUMMYFUNCTION("""COMPUTED_VALUE"""),"Gaming")</f>
        <v>Gaming</v>
      </c>
      <c r="E1167" s="2">
        <f ca="1">IFERROR(__xludf.DUMMYFUNCTION("""COMPUTED_VALUE"""),15.6)</f>
        <v>15.6</v>
      </c>
      <c r="F1167" s="2" t="str">
        <f ca="1">IFERROR(__xludf.DUMMYFUNCTION("""COMPUTED_VALUE"""),"4K Ultra HD 3840x2160")</f>
        <v>4K Ultra HD 3840x2160</v>
      </c>
      <c r="G1167" s="2" t="str">
        <f ca="1">IFERROR(__xludf.DUMMYFUNCTION("""COMPUTED_VALUE"""),"Intel Core i7 7700HQ 2.8GHz")</f>
        <v>Intel Core i7 7700HQ 2.8GHz</v>
      </c>
      <c r="H1167" s="2" t="str">
        <f ca="1">IFERROR(__xludf.DUMMYFUNCTION("""COMPUTED_VALUE"""),"8GB")</f>
        <v>8GB</v>
      </c>
      <c r="I1167" s="2" t="str">
        <f ca="1">IFERROR(__xludf.DUMMYFUNCTION("""COMPUTED_VALUE"""),"128GB SSD +  1TB HDD")</f>
        <v>128GB SSD +  1TB HDD</v>
      </c>
      <c r="J1167" s="2" t="str">
        <f ca="1">IFERROR(__xludf.DUMMYFUNCTION("""COMPUTED_VALUE"""),"Nvidia GeForce GTX 1050 Ti")</f>
        <v>Nvidia GeForce GTX 1050 Ti</v>
      </c>
      <c r="K1167" s="2" t="str">
        <f ca="1">IFERROR(__xludf.DUMMYFUNCTION("""COMPUTED_VALUE"""),"Windows 10")</f>
        <v>Windows 10</v>
      </c>
      <c r="L1167" s="2" t="str">
        <f ca="1">IFERROR(__xludf.DUMMYFUNCTION("""COMPUTED_VALUE"""),"2.62kg")</f>
        <v>2.62kg</v>
      </c>
      <c r="M1167" s="2">
        <f ca="1">IFERROR(__xludf.DUMMYFUNCTION("""COMPUTED_VALUE"""),1498)</f>
        <v>1498</v>
      </c>
    </row>
    <row r="1168" spans="1:13">
      <c r="A1168" s="2">
        <f ca="1">IFERROR(__xludf.DUMMYFUNCTION("""COMPUTED_VALUE"""),1184)</f>
        <v>1184</v>
      </c>
      <c r="B1168" s="2" t="str">
        <f ca="1">IFERROR(__xludf.DUMMYFUNCTION("""COMPUTED_VALUE"""),"Lenovo")</f>
        <v>Lenovo</v>
      </c>
      <c r="C1168" s="2" t="str">
        <f ca="1">IFERROR(__xludf.DUMMYFUNCTION("""COMPUTED_VALUE"""),"ThinkPad T570")</f>
        <v>ThinkPad T570</v>
      </c>
      <c r="D1168" s="2" t="str">
        <f ca="1">IFERROR(__xludf.DUMMYFUNCTION("""COMPUTED_VALUE"""),"Notebook")</f>
        <v>Notebook</v>
      </c>
      <c r="E1168" s="2">
        <f ca="1">IFERROR(__xludf.DUMMYFUNCTION("""COMPUTED_VALUE"""),15.6)</f>
        <v>15.6</v>
      </c>
      <c r="F1168" s="2" t="str">
        <f ca="1">IFERROR(__xludf.DUMMYFUNCTION("""COMPUTED_VALUE"""),"IPS Panel Full HD 1920x1080")</f>
        <v>IPS Panel Full HD 1920x1080</v>
      </c>
      <c r="G1168" s="2" t="str">
        <f ca="1">IFERROR(__xludf.DUMMYFUNCTION("""COMPUTED_VALUE"""),"Intel Core i5 7200U 2.5GHz")</f>
        <v>Intel Core i5 7200U 2.5GHz</v>
      </c>
      <c r="H1168" s="2" t="str">
        <f ca="1">IFERROR(__xludf.DUMMYFUNCTION("""COMPUTED_VALUE"""),"8GB")</f>
        <v>8GB</v>
      </c>
      <c r="I1168" s="2" t="str">
        <f ca="1">IFERROR(__xludf.DUMMYFUNCTION("""COMPUTED_VALUE"""),"256GB SSD")</f>
        <v>256GB SSD</v>
      </c>
      <c r="J1168" s="2" t="str">
        <f ca="1">IFERROR(__xludf.DUMMYFUNCTION("""COMPUTED_VALUE"""),"Intel HD Graphics 620")</f>
        <v>Intel HD Graphics 620</v>
      </c>
      <c r="K1168" s="2" t="str">
        <f ca="1">IFERROR(__xludf.DUMMYFUNCTION("""COMPUTED_VALUE"""),"Windows 10")</f>
        <v>Windows 10</v>
      </c>
      <c r="L1168" s="2" t="str">
        <f ca="1">IFERROR(__xludf.DUMMYFUNCTION("""COMPUTED_VALUE"""),"1.95kg")</f>
        <v>1.95kg</v>
      </c>
      <c r="M1168" s="2">
        <f ca="1">IFERROR(__xludf.DUMMYFUNCTION("""COMPUTED_VALUE"""),1390)</f>
        <v>1390</v>
      </c>
    </row>
    <row r="1169" spans="1:13">
      <c r="A1169" s="2">
        <f ca="1">IFERROR(__xludf.DUMMYFUNCTION("""COMPUTED_VALUE"""),1185)</f>
        <v>1185</v>
      </c>
      <c r="B1169" s="2" t="str">
        <f ca="1">IFERROR(__xludf.DUMMYFUNCTION("""COMPUTED_VALUE"""),"Lenovo")</f>
        <v>Lenovo</v>
      </c>
      <c r="C1169" s="2" t="str">
        <f ca="1">IFERROR(__xludf.DUMMYFUNCTION("""COMPUTED_VALUE"""),"320-15ISK (i3-6006U/4GB/1TB/GeForce")</f>
        <v>320-15ISK (i3-6006U/4GB/1TB/GeForce</v>
      </c>
      <c r="D1169" s="2" t="str">
        <f ca="1">IFERROR(__xludf.DUMMYFUNCTION("""COMPUTED_VALUE"""),"Notebook")</f>
        <v>Notebook</v>
      </c>
      <c r="E1169" s="2">
        <f ca="1">IFERROR(__xludf.DUMMYFUNCTION("""COMPUTED_VALUE"""),15.6)</f>
        <v>15.6</v>
      </c>
      <c r="F1169" s="2" t="str">
        <f ca="1">IFERROR(__xludf.DUMMYFUNCTION("""COMPUTED_VALUE"""),"Full HD 1920x1080")</f>
        <v>Full HD 1920x1080</v>
      </c>
      <c r="G1169" s="2" t="str">
        <f ca="1">IFERROR(__xludf.DUMMYFUNCTION("""COMPUTED_VALUE"""),"Intel Core i3 6006U 2GHz")</f>
        <v>Intel Core i3 6006U 2GHz</v>
      </c>
      <c r="H1169" s="2" t="str">
        <f ca="1">IFERROR(__xludf.DUMMYFUNCTION("""COMPUTED_VALUE"""),"4GB")</f>
        <v>4GB</v>
      </c>
      <c r="I1169" s="2" t="str">
        <f ca="1">IFERROR(__xludf.DUMMYFUNCTION("""COMPUTED_VALUE"""),"1TB HDD")</f>
        <v>1TB HDD</v>
      </c>
      <c r="J1169" s="2" t="str">
        <f ca="1">IFERROR(__xludf.DUMMYFUNCTION("""COMPUTED_VALUE"""),"Nvidia GeForce 920MX ")</f>
        <v xml:space="preserve">Nvidia GeForce 920MX </v>
      </c>
      <c r="K1169" s="2" t="str">
        <f ca="1">IFERROR(__xludf.DUMMYFUNCTION("""COMPUTED_VALUE"""),"Windows 10")</f>
        <v>Windows 10</v>
      </c>
      <c r="L1169" s="2" t="str">
        <f ca="1">IFERROR(__xludf.DUMMYFUNCTION("""COMPUTED_VALUE"""),"2.2kg")</f>
        <v>2.2kg</v>
      </c>
      <c r="M1169" s="2">
        <f ca="1">IFERROR(__xludf.DUMMYFUNCTION("""COMPUTED_VALUE"""),468)</f>
        <v>468</v>
      </c>
    </row>
    <row r="1170" spans="1:13">
      <c r="A1170" s="2">
        <f ca="1">IFERROR(__xludf.DUMMYFUNCTION("""COMPUTED_VALUE"""),1186)</f>
        <v>1186</v>
      </c>
      <c r="B1170" s="2" t="str">
        <f ca="1">IFERROR(__xludf.DUMMYFUNCTION("""COMPUTED_VALUE"""),"HP")</f>
        <v>HP</v>
      </c>
      <c r="C1170" s="2" t="str">
        <f ca="1">IFERROR(__xludf.DUMMYFUNCTION("""COMPUTED_VALUE"""),"Stream 14-AX000nv")</f>
        <v>Stream 14-AX000nv</v>
      </c>
      <c r="D1170" s="2" t="str">
        <f ca="1">IFERROR(__xludf.DUMMYFUNCTION("""COMPUTED_VALUE"""),"Notebook")</f>
        <v>Notebook</v>
      </c>
      <c r="E1170" s="2">
        <f ca="1">IFERROR(__xludf.DUMMYFUNCTION("""COMPUTED_VALUE"""),14)</f>
        <v>14</v>
      </c>
      <c r="F1170" s="2" t="str">
        <f ca="1">IFERROR(__xludf.DUMMYFUNCTION("""COMPUTED_VALUE"""),"1366x768")</f>
        <v>1366x768</v>
      </c>
      <c r="G1170" s="2" t="str">
        <f ca="1">IFERROR(__xludf.DUMMYFUNCTION("""COMPUTED_VALUE"""),"Intel Celeron Dual Core N3060 1.6GHz")</f>
        <v>Intel Celeron Dual Core N3060 1.6GHz</v>
      </c>
      <c r="H1170" s="2" t="str">
        <f ca="1">IFERROR(__xludf.DUMMYFUNCTION("""COMPUTED_VALUE"""),"2GB")</f>
        <v>2GB</v>
      </c>
      <c r="I1170" s="2" t="str">
        <f ca="1">IFERROR(__xludf.DUMMYFUNCTION("""COMPUTED_VALUE"""),"32GB Flash Storage")</f>
        <v>32GB Flash Storage</v>
      </c>
      <c r="J1170" s="2" t="str">
        <f ca="1">IFERROR(__xludf.DUMMYFUNCTION("""COMPUTED_VALUE"""),"Intel HD Graphics 400")</f>
        <v>Intel HD Graphics 400</v>
      </c>
      <c r="K1170" s="2" t="str">
        <f ca="1">IFERROR(__xludf.DUMMYFUNCTION("""COMPUTED_VALUE"""),"Windows 10")</f>
        <v>Windows 10</v>
      </c>
      <c r="L1170" s="2" t="str">
        <f ca="1">IFERROR(__xludf.DUMMYFUNCTION("""COMPUTED_VALUE"""),"1.44kg")</f>
        <v>1.44kg</v>
      </c>
      <c r="M1170" s="2">
        <f ca="1">IFERROR(__xludf.DUMMYFUNCTION("""COMPUTED_VALUE"""),249)</f>
        <v>249</v>
      </c>
    </row>
    <row r="1171" spans="1:13">
      <c r="A1171" s="2">
        <f ca="1">IFERROR(__xludf.DUMMYFUNCTION("""COMPUTED_VALUE"""),1187)</f>
        <v>1187</v>
      </c>
      <c r="B1171" s="2" t="str">
        <f ca="1">IFERROR(__xludf.DUMMYFUNCTION("""COMPUTED_VALUE"""),"MSI")</f>
        <v>MSI</v>
      </c>
      <c r="C1171" s="2" t="str">
        <f ca="1">IFERROR(__xludf.DUMMYFUNCTION("""COMPUTED_VALUE"""),"PL60 7RD")</f>
        <v>PL60 7RD</v>
      </c>
      <c r="D1171" s="2" t="str">
        <f ca="1">IFERROR(__xludf.DUMMYFUNCTION("""COMPUTED_VALUE"""),"Gaming")</f>
        <v>Gaming</v>
      </c>
      <c r="E1171" s="2">
        <f ca="1">IFERROR(__xludf.DUMMYFUNCTION("""COMPUTED_VALUE"""),15.6)</f>
        <v>15.6</v>
      </c>
      <c r="F1171" s="2" t="str">
        <f ca="1">IFERROR(__xludf.DUMMYFUNCTION("""COMPUTED_VALUE"""),"IPS Panel Full HD 1920x1080")</f>
        <v>IPS Panel Full HD 1920x1080</v>
      </c>
      <c r="G1171" s="2" t="str">
        <f ca="1">IFERROR(__xludf.DUMMYFUNCTION("""COMPUTED_VALUE"""),"Intel Core i7 7500U 2.7GHz")</f>
        <v>Intel Core i7 7500U 2.7GHz</v>
      </c>
      <c r="H1171" s="2" t="str">
        <f ca="1">IFERROR(__xludf.DUMMYFUNCTION("""COMPUTED_VALUE"""),"8GB")</f>
        <v>8GB</v>
      </c>
      <c r="I1171" s="2" t="str">
        <f ca="1">IFERROR(__xludf.DUMMYFUNCTION("""COMPUTED_VALUE"""),"1TB HDD")</f>
        <v>1TB HDD</v>
      </c>
      <c r="J1171" s="2" t="str">
        <f ca="1">IFERROR(__xludf.DUMMYFUNCTION("""COMPUTED_VALUE"""),"Nvidia GeForce GTX 1050")</f>
        <v>Nvidia GeForce GTX 1050</v>
      </c>
      <c r="K1171" s="2" t="str">
        <f ca="1">IFERROR(__xludf.DUMMYFUNCTION("""COMPUTED_VALUE"""),"Windows 10")</f>
        <v>Windows 10</v>
      </c>
      <c r="L1171" s="2" t="str">
        <f ca="1">IFERROR(__xludf.DUMMYFUNCTION("""COMPUTED_VALUE"""),"2.2kg")</f>
        <v>2.2kg</v>
      </c>
      <c r="M1171" s="2">
        <f ca="1">IFERROR(__xludf.DUMMYFUNCTION("""COMPUTED_VALUE"""),839)</f>
        <v>839</v>
      </c>
    </row>
    <row r="1172" spans="1:13">
      <c r="A1172" s="2">
        <f ca="1">IFERROR(__xludf.DUMMYFUNCTION("""COMPUTED_VALUE"""),1188)</f>
        <v>1188</v>
      </c>
      <c r="B1172" s="2" t="str">
        <f ca="1">IFERROR(__xludf.DUMMYFUNCTION("""COMPUTED_VALUE"""),"HP")</f>
        <v>HP</v>
      </c>
      <c r="C1172" s="2" t="str">
        <f ca="1">IFERROR(__xludf.DUMMYFUNCTION("""COMPUTED_VALUE"""),"250 G5")</f>
        <v>250 G5</v>
      </c>
      <c r="D1172" s="2" t="str">
        <f ca="1">IFERROR(__xludf.DUMMYFUNCTION("""COMPUTED_VALUE"""),"Notebook")</f>
        <v>Notebook</v>
      </c>
      <c r="E1172" s="2">
        <f ca="1">IFERROR(__xludf.DUMMYFUNCTION("""COMPUTED_VALUE"""),15.6)</f>
        <v>15.6</v>
      </c>
      <c r="F1172" s="2" t="str">
        <f ca="1">IFERROR(__xludf.DUMMYFUNCTION("""COMPUTED_VALUE"""),"Full HD 1920x1080")</f>
        <v>Full HD 1920x1080</v>
      </c>
      <c r="G1172" s="2" t="str">
        <f ca="1">IFERROR(__xludf.DUMMYFUNCTION("""COMPUTED_VALUE"""),"Intel Core i7 6500U 2.5GHz")</f>
        <v>Intel Core i7 6500U 2.5GHz</v>
      </c>
      <c r="H1172" s="2" t="str">
        <f ca="1">IFERROR(__xludf.DUMMYFUNCTION("""COMPUTED_VALUE"""),"8GB")</f>
        <v>8GB</v>
      </c>
      <c r="I1172" s="2" t="str">
        <f ca="1">IFERROR(__xludf.DUMMYFUNCTION("""COMPUTED_VALUE"""),"256GB SSD")</f>
        <v>256GB SSD</v>
      </c>
      <c r="J1172" s="2" t="str">
        <f ca="1">IFERROR(__xludf.DUMMYFUNCTION("""COMPUTED_VALUE"""),"Intel HD Graphics 520")</f>
        <v>Intel HD Graphics 520</v>
      </c>
      <c r="K1172" s="2" t="str">
        <f ca="1">IFERROR(__xludf.DUMMYFUNCTION("""COMPUTED_VALUE"""),"Windows 10")</f>
        <v>Windows 10</v>
      </c>
      <c r="L1172" s="2" t="str">
        <f ca="1">IFERROR(__xludf.DUMMYFUNCTION("""COMPUTED_VALUE"""),"1.96kg")</f>
        <v>1.96kg</v>
      </c>
      <c r="M1172" s="2">
        <f ca="1">IFERROR(__xludf.DUMMYFUNCTION("""COMPUTED_VALUE"""),679)</f>
        <v>679</v>
      </c>
    </row>
    <row r="1173" spans="1:13">
      <c r="A1173" s="2">
        <f ca="1">IFERROR(__xludf.DUMMYFUNCTION("""COMPUTED_VALUE"""),1189)</f>
        <v>1189</v>
      </c>
      <c r="B1173" s="2" t="str">
        <f ca="1">IFERROR(__xludf.DUMMYFUNCTION("""COMPUTED_VALUE"""),"HP")</f>
        <v>HP</v>
      </c>
      <c r="C1173" s="2" t="str">
        <f ca="1">IFERROR(__xludf.DUMMYFUNCTION("""COMPUTED_VALUE"""),"ProBook 450")</f>
        <v>ProBook 450</v>
      </c>
      <c r="D1173" s="2" t="str">
        <f ca="1">IFERROR(__xludf.DUMMYFUNCTION("""COMPUTED_VALUE"""),"Notebook")</f>
        <v>Notebook</v>
      </c>
      <c r="E1173" s="2">
        <f ca="1">IFERROR(__xludf.DUMMYFUNCTION("""COMPUTED_VALUE"""),15.6)</f>
        <v>15.6</v>
      </c>
      <c r="F1173" s="2" t="str">
        <f ca="1">IFERROR(__xludf.DUMMYFUNCTION("""COMPUTED_VALUE"""),"Full HD 1920x1080")</f>
        <v>Full HD 1920x1080</v>
      </c>
      <c r="G1173" s="2" t="str">
        <f ca="1">IFERROR(__xludf.DUMMYFUNCTION("""COMPUTED_VALUE"""),"Intel Core i7 8550U 1.8GHz")</f>
        <v>Intel Core i7 8550U 1.8GHz</v>
      </c>
      <c r="H1173" s="2" t="str">
        <f ca="1">IFERROR(__xludf.DUMMYFUNCTION("""COMPUTED_VALUE"""),"16GB")</f>
        <v>16GB</v>
      </c>
      <c r="I1173" s="2" t="str">
        <f ca="1">IFERROR(__xludf.DUMMYFUNCTION("""COMPUTED_VALUE"""),"512GB SSD")</f>
        <v>512GB SSD</v>
      </c>
      <c r="J1173" s="2" t="str">
        <f ca="1">IFERROR(__xludf.DUMMYFUNCTION("""COMPUTED_VALUE"""),"Intel UHD Graphics 620")</f>
        <v>Intel UHD Graphics 620</v>
      </c>
      <c r="K1173" s="2" t="str">
        <f ca="1">IFERROR(__xludf.DUMMYFUNCTION("""COMPUTED_VALUE"""),"Windows 10")</f>
        <v>Windows 10</v>
      </c>
      <c r="L1173" s="2" t="str">
        <f ca="1">IFERROR(__xludf.DUMMYFUNCTION("""COMPUTED_VALUE"""),"2.1kg")</f>
        <v>2.1kg</v>
      </c>
      <c r="M1173" s="2">
        <f ca="1">IFERROR(__xludf.DUMMYFUNCTION("""COMPUTED_VALUE"""),1159)</f>
        <v>1159</v>
      </c>
    </row>
    <row r="1174" spans="1:13">
      <c r="A1174" s="2">
        <f ca="1">IFERROR(__xludf.DUMMYFUNCTION("""COMPUTED_VALUE"""),1190)</f>
        <v>1190</v>
      </c>
      <c r="B1174" s="2" t="str">
        <f ca="1">IFERROR(__xludf.DUMMYFUNCTION("""COMPUTED_VALUE"""),"Asus")</f>
        <v>Asus</v>
      </c>
      <c r="C1174" s="2" t="str">
        <f ca="1">IFERROR(__xludf.DUMMYFUNCTION("""COMPUTED_VALUE"""),"X553SA-XX021T (N3050/4GB/500GB/W10)")</f>
        <v>X553SA-XX021T (N3050/4GB/500GB/W10)</v>
      </c>
      <c r="D1174" s="2" t="str">
        <f ca="1">IFERROR(__xludf.DUMMYFUNCTION("""COMPUTED_VALUE"""),"Notebook")</f>
        <v>Notebook</v>
      </c>
      <c r="E1174" s="2">
        <f ca="1">IFERROR(__xludf.DUMMYFUNCTION("""COMPUTED_VALUE"""),15.6)</f>
        <v>15.6</v>
      </c>
      <c r="F1174" s="2" t="str">
        <f ca="1">IFERROR(__xludf.DUMMYFUNCTION("""COMPUTED_VALUE"""),"1366x768")</f>
        <v>1366x768</v>
      </c>
      <c r="G1174" s="2" t="str">
        <f ca="1">IFERROR(__xludf.DUMMYFUNCTION("""COMPUTED_VALUE"""),"Intel Celeron Dual Core N3050 1.6GHz")</f>
        <v>Intel Celeron Dual Core N3050 1.6GHz</v>
      </c>
      <c r="H1174" s="2" t="str">
        <f ca="1">IFERROR(__xludf.DUMMYFUNCTION("""COMPUTED_VALUE"""),"4GB")</f>
        <v>4GB</v>
      </c>
      <c r="I1174" s="2" t="str">
        <f ca="1">IFERROR(__xludf.DUMMYFUNCTION("""COMPUTED_VALUE"""),"500GB HDD")</f>
        <v>500GB HDD</v>
      </c>
      <c r="J1174" s="2" t="str">
        <f ca="1">IFERROR(__xludf.DUMMYFUNCTION("""COMPUTED_VALUE"""),"Intel HD Graphics")</f>
        <v>Intel HD Graphics</v>
      </c>
      <c r="K1174" s="2" t="str">
        <f ca="1">IFERROR(__xludf.DUMMYFUNCTION("""COMPUTED_VALUE"""),"Windows 10")</f>
        <v>Windows 10</v>
      </c>
      <c r="L1174" s="2" t="str">
        <f ca="1">IFERROR(__xludf.DUMMYFUNCTION("""COMPUTED_VALUE"""),"2.2kg")</f>
        <v>2.2kg</v>
      </c>
      <c r="M1174" s="2">
        <f ca="1">IFERROR(__xludf.DUMMYFUNCTION("""COMPUTED_VALUE"""),369)</f>
        <v>369</v>
      </c>
    </row>
    <row r="1175" spans="1:13">
      <c r="A1175" s="2">
        <f ca="1">IFERROR(__xludf.DUMMYFUNCTION("""COMPUTED_VALUE"""),1191)</f>
        <v>1191</v>
      </c>
      <c r="B1175" s="2" t="str">
        <f ca="1">IFERROR(__xludf.DUMMYFUNCTION("""COMPUTED_VALUE"""),"Lenovo")</f>
        <v>Lenovo</v>
      </c>
      <c r="C1175" s="2" t="str">
        <f ca="1">IFERROR(__xludf.DUMMYFUNCTION("""COMPUTED_VALUE"""),"V110-15ISK (i5-6200U/4GB/500GB/No")</f>
        <v>V110-15ISK (i5-6200U/4GB/500GB/No</v>
      </c>
      <c r="D1175" s="2" t="str">
        <f ca="1">IFERROR(__xludf.DUMMYFUNCTION("""COMPUTED_VALUE"""),"Notebook")</f>
        <v>Notebook</v>
      </c>
      <c r="E1175" s="2">
        <f ca="1">IFERROR(__xludf.DUMMYFUNCTION("""COMPUTED_VALUE"""),15.6)</f>
        <v>15.6</v>
      </c>
      <c r="F1175" s="2" t="str">
        <f ca="1">IFERROR(__xludf.DUMMYFUNCTION("""COMPUTED_VALUE"""),"1366x768")</f>
        <v>1366x768</v>
      </c>
      <c r="G1175" s="2" t="str">
        <f ca="1">IFERROR(__xludf.DUMMYFUNCTION("""COMPUTED_VALUE"""),"Intel Core i5 6200U 2.3GHz")</f>
        <v>Intel Core i5 6200U 2.3GHz</v>
      </c>
      <c r="H1175" s="2" t="str">
        <f ca="1">IFERROR(__xludf.DUMMYFUNCTION("""COMPUTED_VALUE"""),"4GB")</f>
        <v>4GB</v>
      </c>
      <c r="I1175" s="2" t="str">
        <f ca="1">IFERROR(__xludf.DUMMYFUNCTION("""COMPUTED_VALUE"""),"500GB HDD")</f>
        <v>500GB HDD</v>
      </c>
      <c r="J1175" s="2" t="str">
        <f ca="1">IFERROR(__xludf.DUMMYFUNCTION("""COMPUTED_VALUE"""),"Intel HD Graphics 520")</f>
        <v>Intel HD Graphics 520</v>
      </c>
      <c r="K1175" s="2" t="str">
        <f ca="1">IFERROR(__xludf.DUMMYFUNCTION("""COMPUTED_VALUE"""),"No OS")</f>
        <v>No OS</v>
      </c>
      <c r="L1175" s="2" t="str">
        <f ca="1">IFERROR(__xludf.DUMMYFUNCTION("""COMPUTED_VALUE"""),"2.1kg")</f>
        <v>2.1kg</v>
      </c>
      <c r="M1175" s="2">
        <f ca="1">IFERROR(__xludf.DUMMYFUNCTION("""COMPUTED_VALUE"""),398)</f>
        <v>398</v>
      </c>
    </row>
    <row r="1176" spans="1:13">
      <c r="A1176" s="2">
        <f ca="1">IFERROR(__xludf.DUMMYFUNCTION("""COMPUTED_VALUE"""),1192)</f>
        <v>1192</v>
      </c>
      <c r="B1176" s="2" t="str">
        <f ca="1">IFERROR(__xludf.DUMMYFUNCTION("""COMPUTED_VALUE"""),"Lenovo")</f>
        <v>Lenovo</v>
      </c>
      <c r="C1176" s="2" t="str">
        <f ca="1">IFERROR(__xludf.DUMMYFUNCTION("""COMPUTED_VALUE"""),"IdeaPad 510-15IKB")</f>
        <v>IdeaPad 510-15IKB</v>
      </c>
      <c r="D1176" s="2" t="str">
        <f ca="1">IFERROR(__xludf.DUMMYFUNCTION("""COMPUTED_VALUE"""),"Notebook")</f>
        <v>Notebook</v>
      </c>
      <c r="E1176" s="2">
        <f ca="1">IFERROR(__xludf.DUMMYFUNCTION("""COMPUTED_VALUE"""),15.6)</f>
        <v>15.6</v>
      </c>
      <c r="F1176" s="2" t="str">
        <f ca="1">IFERROR(__xludf.DUMMYFUNCTION("""COMPUTED_VALUE"""),"Full HD 1920x1080")</f>
        <v>Full HD 1920x1080</v>
      </c>
      <c r="G1176" s="2" t="str">
        <f ca="1">IFERROR(__xludf.DUMMYFUNCTION("""COMPUTED_VALUE"""),"Intel Core i7 7500U 2.7GHz")</f>
        <v>Intel Core i7 7500U 2.7GHz</v>
      </c>
      <c r="H1176" s="2" t="str">
        <f ca="1">IFERROR(__xludf.DUMMYFUNCTION("""COMPUTED_VALUE"""),"8GB")</f>
        <v>8GB</v>
      </c>
      <c r="I1176" s="2" t="str">
        <f ca="1">IFERROR(__xludf.DUMMYFUNCTION("""COMPUTED_VALUE"""),"1TB HDD")</f>
        <v>1TB HDD</v>
      </c>
      <c r="J1176" s="2" t="str">
        <f ca="1">IFERROR(__xludf.DUMMYFUNCTION("""COMPUTED_VALUE"""),"Nvidia GeForce 940MX")</f>
        <v>Nvidia GeForce 940MX</v>
      </c>
      <c r="K1176" s="2" t="str">
        <f ca="1">IFERROR(__xludf.DUMMYFUNCTION("""COMPUTED_VALUE"""),"No OS")</f>
        <v>No OS</v>
      </c>
      <c r="L1176" s="2" t="str">
        <f ca="1">IFERROR(__xludf.DUMMYFUNCTION("""COMPUTED_VALUE"""),"2.2kg")</f>
        <v>2.2kg</v>
      </c>
      <c r="M1176" s="2">
        <f ca="1">IFERROR(__xludf.DUMMYFUNCTION("""COMPUTED_VALUE"""),709)</f>
        <v>709</v>
      </c>
    </row>
    <row r="1177" spans="1:13">
      <c r="A1177" s="2">
        <f ca="1">IFERROR(__xludf.DUMMYFUNCTION("""COMPUTED_VALUE"""),1193)</f>
        <v>1193</v>
      </c>
      <c r="B1177" s="2" t="str">
        <f ca="1">IFERROR(__xludf.DUMMYFUNCTION("""COMPUTED_VALUE"""),"Asus")</f>
        <v>Asus</v>
      </c>
      <c r="C1177" s="2" t="str">
        <f ca="1">IFERROR(__xludf.DUMMYFUNCTION("""COMPUTED_VALUE"""),"UX410UA-GV097T (i3-7100U/4GB/256GB/FHD/W10)")</f>
        <v>UX410UA-GV097T (i3-7100U/4GB/256GB/FHD/W10)</v>
      </c>
      <c r="D1177" s="2" t="str">
        <f ca="1">IFERROR(__xludf.DUMMYFUNCTION("""COMPUTED_VALUE"""),"Notebook")</f>
        <v>Notebook</v>
      </c>
      <c r="E1177" s="2">
        <f ca="1">IFERROR(__xludf.DUMMYFUNCTION("""COMPUTED_VALUE"""),14)</f>
        <v>14</v>
      </c>
      <c r="F1177" s="2" t="str">
        <f ca="1">IFERROR(__xludf.DUMMYFUNCTION("""COMPUTED_VALUE"""),"Full HD 1920x1080")</f>
        <v>Full HD 1920x1080</v>
      </c>
      <c r="G1177" s="2" t="str">
        <f ca="1">IFERROR(__xludf.DUMMYFUNCTION("""COMPUTED_VALUE"""),"Intel Core i3 7100U 2.4GHz")</f>
        <v>Intel Core i3 7100U 2.4GHz</v>
      </c>
      <c r="H1177" s="2" t="str">
        <f ca="1">IFERROR(__xludf.DUMMYFUNCTION("""COMPUTED_VALUE"""),"4GB")</f>
        <v>4GB</v>
      </c>
      <c r="I1177" s="2" t="str">
        <f ca="1">IFERROR(__xludf.DUMMYFUNCTION("""COMPUTED_VALUE"""),"256GB SSD")</f>
        <v>256GB SSD</v>
      </c>
      <c r="J1177" s="2" t="str">
        <f ca="1">IFERROR(__xludf.DUMMYFUNCTION("""COMPUTED_VALUE"""),"Intel HD Graphics 620")</f>
        <v>Intel HD Graphics 620</v>
      </c>
      <c r="K1177" s="2" t="str">
        <f ca="1">IFERROR(__xludf.DUMMYFUNCTION("""COMPUTED_VALUE"""),"Windows 10")</f>
        <v>Windows 10</v>
      </c>
      <c r="L1177" s="2" t="str">
        <f ca="1">IFERROR(__xludf.DUMMYFUNCTION("""COMPUTED_VALUE"""),"2kg")</f>
        <v>2kg</v>
      </c>
      <c r="M1177" s="2">
        <f ca="1">IFERROR(__xludf.DUMMYFUNCTION("""COMPUTED_VALUE"""),769)</f>
        <v>769</v>
      </c>
    </row>
    <row r="1178" spans="1:13">
      <c r="A1178" s="2">
        <f ca="1">IFERROR(__xludf.DUMMYFUNCTION("""COMPUTED_VALUE"""),1194)</f>
        <v>1194</v>
      </c>
      <c r="B1178" s="2" t="str">
        <f ca="1">IFERROR(__xludf.DUMMYFUNCTION("""COMPUTED_VALUE"""),"Lenovo")</f>
        <v>Lenovo</v>
      </c>
      <c r="C1178" s="2" t="str">
        <f ca="1">IFERROR(__xludf.DUMMYFUNCTION("""COMPUTED_VALUE"""),"B51-80 (i7-6500U/4GB/1008GB/FHD/W7)")</f>
        <v>B51-80 (i7-6500U/4GB/1008GB/FHD/W7)</v>
      </c>
      <c r="D1178" s="2" t="str">
        <f ca="1">IFERROR(__xludf.DUMMYFUNCTION("""COMPUTED_VALUE"""),"Notebook")</f>
        <v>Notebook</v>
      </c>
      <c r="E1178" s="2">
        <f ca="1">IFERROR(__xludf.DUMMYFUNCTION("""COMPUTED_VALUE"""),15.6)</f>
        <v>15.6</v>
      </c>
      <c r="F1178" s="2" t="str">
        <f ca="1">IFERROR(__xludf.DUMMYFUNCTION("""COMPUTED_VALUE"""),"Full HD 1920x1080")</f>
        <v>Full HD 1920x1080</v>
      </c>
      <c r="G1178" s="2" t="str">
        <f ca="1">IFERROR(__xludf.DUMMYFUNCTION("""COMPUTED_VALUE"""),"Intel Core i7 6500U 2.5GHz")</f>
        <v>Intel Core i7 6500U 2.5GHz</v>
      </c>
      <c r="H1178" s="2" t="str">
        <f ca="1">IFERROR(__xludf.DUMMYFUNCTION("""COMPUTED_VALUE"""),"4GB")</f>
        <v>4GB</v>
      </c>
      <c r="I1178" s="2" t="str">
        <f ca="1">IFERROR(__xludf.DUMMYFUNCTION("""COMPUTED_VALUE"""),"1.0TB Hybrid")</f>
        <v>1.0TB Hybrid</v>
      </c>
      <c r="J1178" s="2" t="str">
        <f ca="1">IFERROR(__xludf.DUMMYFUNCTION("""COMPUTED_VALUE"""),"Intel HD Graphics 520")</f>
        <v>Intel HD Graphics 520</v>
      </c>
      <c r="K1178" s="2" t="str">
        <f ca="1">IFERROR(__xludf.DUMMYFUNCTION("""COMPUTED_VALUE"""),"Windows 7")</f>
        <v>Windows 7</v>
      </c>
      <c r="L1178" s="2" t="str">
        <f ca="1">IFERROR(__xludf.DUMMYFUNCTION("""COMPUTED_VALUE"""),"2.32kg")</f>
        <v>2.32kg</v>
      </c>
      <c r="M1178" s="2">
        <f ca="1">IFERROR(__xludf.DUMMYFUNCTION("""COMPUTED_VALUE"""),825)</f>
        <v>825</v>
      </c>
    </row>
    <row r="1179" spans="1:13">
      <c r="A1179" s="2">
        <f ca="1">IFERROR(__xludf.DUMMYFUNCTION("""COMPUTED_VALUE"""),1195)</f>
        <v>1195</v>
      </c>
      <c r="B1179" s="2" t="str">
        <f ca="1">IFERROR(__xludf.DUMMYFUNCTION("""COMPUTED_VALUE"""),"Lenovo")</f>
        <v>Lenovo</v>
      </c>
      <c r="C1179" s="2" t="str">
        <f ca="1">IFERROR(__xludf.DUMMYFUNCTION("""COMPUTED_VALUE"""),"IdeaPad Y700-15ISK")</f>
        <v>IdeaPad Y700-15ISK</v>
      </c>
      <c r="D1179" s="2" t="str">
        <f ca="1">IFERROR(__xludf.DUMMYFUNCTION("""COMPUTED_VALUE"""),"Gaming")</f>
        <v>Gaming</v>
      </c>
      <c r="E1179" s="2">
        <f ca="1">IFERROR(__xludf.DUMMYFUNCTION("""COMPUTED_VALUE"""),15.6)</f>
        <v>15.6</v>
      </c>
      <c r="F1179" s="2" t="str">
        <f ca="1">IFERROR(__xludf.DUMMYFUNCTION("""COMPUTED_VALUE"""),"IPS Panel Full HD 1920x1080")</f>
        <v>IPS Panel Full HD 1920x1080</v>
      </c>
      <c r="G1179" s="2" t="str">
        <f ca="1">IFERROR(__xludf.DUMMYFUNCTION("""COMPUTED_VALUE"""),"Intel Core i7 6700HQ 2.6GHz")</f>
        <v>Intel Core i7 6700HQ 2.6GHz</v>
      </c>
      <c r="H1179" s="2" t="str">
        <f ca="1">IFERROR(__xludf.DUMMYFUNCTION("""COMPUTED_VALUE"""),"16GB")</f>
        <v>16GB</v>
      </c>
      <c r="I1179" s="2" t="str">
        <f ca="1">IFERROR(__xludf.DUMMYFUNCTION("""COMPUTED_VALUE"""),"512GB SSD")</f>
        <v>512GB SSD</v>
      </c>
      <c r="J1179" s="2" t="str">
        <f ca="1">IFERROR(__xludf.DUMMYFUNCTION("""COMPUTED_VALUE"""),"Nvidia GeForce GTX 960")</f>
        <v>Nvidia GeForce GTX 960</v>
      </c>
      <c r="K1179" s="2" t="str">
        <f ca="1">IFERROR(__xludf.DUMMYFUNCTION("""COMPUTED_VALUE"""),"Windows 10")</f>
        <v>Windows 10</v>
      </c>
      <c r="L1179" s="2" t="str">
        <f ca="1">IFERROR(__xludf.DUMMYFUNCTION("""COMPUTED_VALUE"""),"3.31kg")</f>
        <v>3.31kg</v>
      </c>
      <c r="M1179" s="2">
        <f ca="1">IFERROR(__xludf.DUMMYFUNCTION("""COMPUTED_VALUE"""),1305)</f>
        <v>1305</v>
      </c>
    </row>
    <row r="1180" spans="1:13">
      <c r="A1180" s="2">
        <f ca="1">IFERROR(__xludf.DUMMYFUNCTION("""COMPUTED_VALUE"""),1196)</f>
        <v>1196</v>
      </c>
      <c r="B1180" s="2" t="str">
        <f ca="1">IFERROR(__xludf.DUMMYFUNCTION("""COMPUTED_VALUE"""),"MSI")</f>
        <v>MSI</v>
      </c>
      <c r="C1180" s="2" t="str">
        <f ca="1">IFERROR(__xludf.DUMMYFUNCTION("""COMPUTED_VALUE"""),"GS60 Ghost")</f>
        <v>GS60 Ghost</v>
      </c>
      <c r="D1180" s="2" t="str">
        <f ca="1">IFERROR(__xludf.DUMMYFUNCTION("""COMPUTED_VALUE"""),"Gaming")</f>
        <v>Gaming</v>
      </c>
      <c r="E1180" s="2">
        <f ca="1">IFERROR(__xludf.DUMMYFUNCTION("""COMPUTED_VALUE"""),15.6)</f>
        <v>15.6</v>
      </c>
      <c r="F1180" s="2" t="str">
        <f ca="1">IFERROR(__xludf.DUMMYFUNCTION("""COMPUTED_VALUE"""),"Full HD 1920x1080")</f>
        <v>Full HD 1920x1080</v>
      </c>
      <c r="G1180" s="2" t="str">
        <f ca="1">IFERROR(__xludf.DUMMYFUNCTION("""COMPUTED_VALUE"""),"Intel Core i7 6700HQ 2.6GHz")</f>
        <v>Intel Core i7 6700HQ 2.6GHz</v>
      </c>
      <c r="H1180" s="2" t="str">
        <f ca="1">IFERROR(__xludf.DUMMYFUNCTION("""COMPUTED_VALUE"""),"16GB")</f>
        <v>16GB</v>
      </c>
      <c r="I1180" s="2" t="str">
        <f ca="1">IFERROR(__xludf.DUMMYFUNCTION("""COMPUTED_VALUE"""),"128GB SSD +  1TB HDD")</f>
        <v>128GB SSD +  1TB HDD</v>
      </c>
      <c r="J1180" s="2" t="str">
        <f ca="1">IFERROR(__xludf.DUMMYFUNCTION("""COMPUTED_VALUE"""),"Nvidia GeForce GTX 970M")</f>
        <v>Nvidia GeForce GTX 970M</v>
      </c>
      <c r="K1180" s="2" t="str">
        <f ca="1">IFERROR(__xludf.DUMMYFUNCTION("""COMPUTED_VALUE"""),"Windows 10")</f>
        <v>Windows 10</v>
      </c>
      <c r="L1180" s="2" t="str">
        <f ca="1">IFERROR(__xludf.DUMMYFUNCTION("""COMPUTED_VALUE"""),"1.91kg")</f>
        <v>1.91kg</v>
      </c>
      <c r="M1180" s="2">
        <f ca="1">IFERROR(__xludf.DUMMYFUNCTION("""COMPUTED_VALUE"""),2153.37)</f>
        <v>2153.37</v>
      </c>
    </row>
    <row r="1181" spans="1:13">
      <c r="A1181" s="2">
        <f ca="1">IFERROR(__xludf.DUMMYFUNCTION("""COMPUTED_VALUE"""),1197)</f>
        <v>1197</v>
      </c>
      <c r="B1181" s="2" t="str">
        <f ca="1">IFERROR(__xludf.DUMMYFUNCTION("""COMPUTED_VALUE"""),"HP")</f>
        <v>HP</v>
      </c>
      <c r="C1181" s="2" t="str">
        <f ca="1">IFERROR(__xludf.DUMMYFUNCTION("""COMPUTED_VALUE"""),"ProBook 450")</f>
        <v>ProBook 450</v>
      </c>
      <c r="D1181" s="2" t="str">
        <f ca="1">IFERROR(__xludf.DUMMYFUNCTION("""COMPUTED_VALUE"""),"Notebook")</f>
        <v>Notebook</v>
      </c>
      <c r="E1181" s="2">
        <f ca="1">IFERROR(__xludf.DUMMYFUNCTION("""COMPUTED_VALUE"""),15.6)</f>
        <v>15.6</v>
      </c>
      <c r="F1181" s="2" t="str">
        <f ca="1">IFERROR(__xludf.DUMMYFUNCTION("""COMPUTED_VALUE"""),"1366x768")</f>
        <v>1366x768</v>
      </c>
      <c r="G1181" s="2" t="str">
        <f ca="1">IFERROR(__xludf.DUMMYFUNCTION("""COMPUTED_VALUE"""),"Intel Core i3 6100U 2.3GHz")</f>
        <v>Intel Core i3 6100U 2.3GHz</v>
      </c>
      <c r="H1181" s="2" t="str">
        <f ca="1">IFERROR(__xludf.DUMMYFUNCTION("""COMPUTED_VALUE"""),"4GB")</f>
        <v>4GB</v>
      </c>
      <c r="I1181" s="2" t="str">
        <f ca="1">IFERROR(__xludf.DUMMYFUNCTION("""COMPUTED_VALUE"""),"500GB HDD")</f>
        <v>500GB HDD</v>
      </c>
      <c r="J1181" s="2" t="str">
        <f ca="1">IFERROR(__xludf.DUMMYFUNCTION("""COMPUTED_VALUE"""),"Intel HD Graphics 520")</f>
        <v>Intel HD Graphics 520</v>
      </c>
      <c r="K1181" s="2" t="str">
        <f ca="1">IFERROR(__xludf.DUMMYFUNCTION("""COMPUTED_VALUE"""),"Windows 10")</f>
        <v>Windows 10</v>
      </c>
      <c r="L1181" s="2" t="str">
        <f ca="1">IFERROR(__xludf.DUMMYFUNCTION("""COMPUTED_VALUE"""),"2.07kg")</f>
        <v>2.07kg</v>
      </c>
      <c r="M1181" s="2">
        <f ca="1">IFERROR(__xludf.DUMMYFUNCTION("""COMPUTED_VALUE"""),650)</f>
        <v>650</v>
      </c>
    </row>
    <row r="1182" spans="1:13">
      <c r="A1182" s="2">
        <f ca="1">IFERROR(__xludf.DUMMYFUNCTION("""COMPUTED_VALUE"""),1198)</f>
        <v>1198</v>
      </c>
      <c r="B1182" s="2" t="str">
        <f ca="1">IFERROR(__xludf.DUMMYFUNCTION("""COMPUTED_VALUE"""),"Lenovo")</f>
        <v>Lenovo</v>
      </c>
      <c r="C1182" s="2" t="str">
        <f ca="1">IFERROR(__xludf.DUMMYFUNCTION("""COMPUTED_VALUE"""),"ThinkPad X1")</f>
        <v>ThinkPad X1</v>
      </c>
      <c r="D1182" s="2" t="str">
        <f ca="1">IFERROR(__xludf.DUMMYFUNCTION("""COMPUTED_VALUE"""),"2 in 1 Convertible")</f>
        <v>2 in 1 Convertible</v>
      </c>
      <c r="E1182" s="2">
        <f ca="1">IFERROR(__xludf.DUMMYFUNCTION("""COMPUTED_VALUE"""),14)</f>
        <v>14</v>
      </c>
      <c r="F1182" s="2" t="str">
        <f ca="1">IFERROR(__xludf.DUMMYFUNCTION("""COMPUTED_VALUE"""),"IPS Panel Touchscreen 2560x1440")</f>
        <v>IPS Panel Touchscreen 2560x1440</v>
      </c>
      <c r="G1182" s="2" t="str">
        <f ca="1">IFERROR(__xludf.DUMMYFUNCTION("""COMPUTED_VALUE"""),"Intel Core i5 6200U 2.3GHz")</f>
        <v>Intel Core i5 6200U 2.3GHz</v>
      </c>
      <c r="H1182" s="2" t="str">
        <f ca="1">IFERROR(__xludf.DUMMYFUNCTION("""COMPUTED_VALUE"""),"8GB")</f>
        <v>8GB</v>
      </c>
      <c r="I1182" s="2" t="str">
        <f ca="1">IFERROR(__xludf.DUMMYFUNCTION("""COMPUTED_VALUE"""),"256GB SSD")</f>
        <v>256GB SSD</v>
      </c>
      <c r="J1182" s="2" t="str">
        <f ca="1">IFERROR(__xludf.DUMMYFUNCTION("""COMPUTED_VALUE"""),"Intel HD Graphics 520")</f>
        <v>Intel HD Graphics 520</v>
      </c>
      <c r="K1182" s="2" t="str">
        <f ca="1">IFERROR(__xludf.DUMMYFUNCTION("""COMPUTED_VALUE"""),"Windows 10")</f>
        <v>Windows 10</v>
      </c>
      <c r="L1182" s="2" t="str">
        <f ca="1">IFERROR(__xludf.DUMMYFUNCTION("""COMPUTED_VALUE"""),"1.36kg")</f>
        <v>1.36kg</v>
      </c>
      <c r="M1182" s="2">
        <f ca="1">IFERROR(__xludf.DUMMYFUNCTION("""COMPUTED_VALUE"""),1637)</f>
        <v>1637</v>
      </c>
    </row>
    <row r="1183" spans="1:13">
      <c r="A1183" s="2">
        <f ca="1">IFERROR(__xludf.DUMMYFUNCTION("""COMPUTED_VALUE"""),1199)</f>
        <v>1199</v>
      </c>
      <c r="B1183" s="2" t="str">
        <f ca="1">IFERROR(__xludf.DUMMYFUNCTION("""COMPUTED_VALUE"""),"Lenovo")</f>
        <v>Lenovo</v>
      </c>
      <c r="C1183" s="2" t="str">
        <f ca="1">IFERROR(__xludf.DUMMYFUNCTION("""COMPUTED_VALUE"""),"IdeaPad 310-15IKB")</f>
        <v>IdeaPad 310-15IKB</v>
      </c>
      <c r="D1183" s="2" t="str">
        <f ca="1">IFERROR(__xludf.DUMMYFUNCTION("""COMPUTED_VALUE"""),"Ultrabook")</f>
        <v>Ultrabook</v>
      </c>
      <c r="E1183" s="2">
        <f ca="1">IFERROR(__xludf.DUMMYFUNCTION("""COMPUTED_VALUE"""),15.6)</f>
        <v>15.6</v>
      </c>
      <c r="F1183" s="2" t="str">
        <f ca="1">IFERROR(__xludf.DUMMYFUNCTION("""COMPUTED_VALUE"""),"Full HD 1920x1080")</f>
        <v>Full HD 1920x1080</v>
      </c>
      <c r="G1183" s="2" t="str">
        <f ca="1">IFERROR(__xludf.DUMMYFUNCTION("""COMPUTED_VALUE"""),"Intel Core i7 7500U 2.7GHz")</f>
        <v>Intel Core i7 7500U 2.7GHz</v>
      </c>
      <c r="H1183" s="2" t="str">
        <f ca="1">IFERROR(__xludf.DUMMYFUNCTION("""COMPUTED_VALUE"""),"6GB")</f>
        <v>6GB</v>
      </c>
      <c r="I1183" s="2" t="str">
        <f ca="1">IFERROR(__xludf.DUMMYFUNCTION("""COMPUTED_VALUE"""),"256GB SSD")</f>
        <v>256GB SSD</v>
      </c>
      <c r="J1183" s="2" t="str">
        <f ca="1">IFERROR(__xludf.DUMMYFUNCTION("""COMPUTED_VALUE"""),"Nvidia GeForce 920M")</f>
        <v>Nvidia GeForce 920M</v>
      </c>
      <c r="K1183" s="2" t="str">
        <f ca="1">IFERROR(__xludf.DUMMYFUNCTION("""COMPUTED_VALUE"""),"Windows 10")</f>
        <v>Windows 10</v>
      </c>
      <c r="L1183" s="2" t="str">
        <f ca="1">IFERROR(__xludf.DUMMYFUNCTION("""COMPUTED_VALUE"""),"1.54kg")</f>
        <v>1.54kg</v>
      </c>
      <c r="M1183" s="2">
        <f ca="1">IFERROR(__xludf.DUMMYFUNCTION("""COMPUTED_VALUE"""),831)</f>
        <v>831</v>
      </c>
    </row>
    <row r="1184" spans="1:13">
      <c r="A1184" s="2">
        <f ca="1">IFERROR(__xludf.DUMMYFUNCTION("""COMPUTED_VALUE"""),1200)</f>
        <v>1200</v>
      </c>
      <c r="B1184" s="2" t="str">
        <f ca="1">IFERROR(__xludf.DUMMYFUNCTION("""COMPUTED_VALUE"""),"Dell")</f>
        <v>Dell</v>
      </c>
      <c r="C1184" s="2" t="str">
        <f ca="1">IFERROR(__xludf.DUMMYFUNCTION("""COMPUTED_VALUE"""),"Vostro 5568")</f>
        <v>Vostro 5568</v>
      </c>
      <c r="D1184" s="2" t="str">
        <f ca="1">IFERROR(__xludf.DUMMYFUNCTION("""COMPUTED_VALUE"""),"Notebook")</f>
        <v>Notebook</v>
      </c>
      <c r="E1184" s="2">
        <f ca="1">IFERROR(__xludf.DUMMYFUNCTION("""COMPUTED_VALUE"""),15.6)</f>
        <v>15.6</v>
      </c>
      <c r="F1184" s="2" t="str">
        <f ca="1">IFERROR(__xludf.DUMMYFUNCTION("""COMPUTED_VALUE"""),"Full HD 1920x1080")</f>
        <v>Full HD 1920x1080</v>
      </c>
      <c r="G1184" s="2" t="str">
        <f ca="1">IFERROR(__xludf.DUMMYFUNCTION("""COMPUTED_VALUE"""),"Intel Core i7 7500U 2.7GHz")</f>
        <v>Intel Core i7 7500U 2.7GHz</v>
      </c>
      <c r="H1184" s="2" t="str">
        <f ca="1">IFERROR(__xludf.DUMMYFUNCTION("""COMPUTED_VALUE"""),"8GB")</f>
        <v>8GB</v>
      </c>
      <c r="I1184" s="2" t="str">
        <f ca="1">IFERROR(__xludf.DUMMYFUNCTION("""COMPUTED_VALUE"""),"256GB SSD")</f>
        <v>256GB SSD</v>
      </c>
      <c r="J1184" s="2" t="str">
        <f ca="1">IFERROR(__xludf.DUMMYFUNCTION("""COMPUTED_VALUE"""),"Nvidia GeForce GT 940MX")</f>
        <v>Nvidia GeForce GT 940MX</v>
      </c>
      <c r="K1184" s="2" t="str">
        <f ca="1">IFERROR(__xludf.DUMMYFUNCTION("""COMPUTED_VALUE"""),"Linux")</f>
        <v>Linux</v>
      </c>
      <c r="L1184" s="2" t="str">
        <f ca="1">IFERROR(__xludf.DUMMYFUNCTION("""COMPUTED_VALUE"""),"1.98kg")</f>
        <v>1.98kg</v>
      </c>
      <c r="M1184" s="2">
        <f ca="1">IFERROR(__xludf.DUMMYFUNCTION("""COMPUTED_VALUE"""),895.01)</f>
        <v>895.01</v>
      </c>
    </row>
    <row r="1185" spans="1:13">
      <c r="A1185" s="2">
        <f ca="1">IFERROR(__xludf.DUMMYFUNCTION("""COMPUTED_VALUE"""),1201)</f>
        <v>1201</v>
      </c>
      <c r="B1185" s="2" t="str">
        <f ca="1">IFERROR(__xludf.DUMMYFUNCTION("""COMPUTED_VALUE"""),"Acer")</f>
        <v>Acer</v>
      </c>
      <c r="C1185" s="2" t="str">
        <f ca="1">IFERROR(__xludf.DUMMYFUNCTION("""COMPUTED_VALUE"""),"Aspire 3")</f>
        <v>Aspire 3</v>
      </c>
      <c r="D1185" s="2" t="str">
        <f ca="1">IFERROR(__xludf.DUMMYFUNCTION("""COMPUTED_VALUE"""),"Notebook")</f>
        <v>Notebook</v>
      </c>
      <c r="E1185" s="2">
        <f ca="1">IFERROR(__xludf.DUMMYFUNCTION("""COMPUTED_VALUE"""),15.6)</f>
        <v>15.6</v>
      </c>
      <c r="F1185" s="2" t="str">
        <f ca="1">IFERROR(__xludf.DUMMYFUNCTION("""COMPUTED_VALUE"""),"1366x768")</f>
        <v>1366x768</v>
      </c>
      <c r="G1185" s="2" t="str">
        <f ca="1">IFERROR(__xludf.DUMMYFUNCTION("""COMPUTED_VALUE"""),"Intel Celeron Dual Core N3350 2GHz")</f>
        <v>Intel Celeron Dual Core N3350 2GHz</v>
      </c>
      <c r="H1185" s="2" t="str">
        <f ca="1">IFERROR(__xludf.DUMMYFUNCTION("""COMPUTED_VALUE"""),"4GB")</f>
        <v>4GB</v>
      </c>
      <c r="I1185" s="2" t="str">
        <f ca="1">IFERROR(__xludf.DUMMYFUNCTION("""COMPUTED_VALUE"""),"500GB HDD")</f>
        <v>500GB HDD</v>
      </c>
      <c r="J1185" s="2" t="str">
        <f ca="1">IFERROR(__xludf.DUMMYFUNCTION("""COMPUTED_VALUE"""),"Intel HD Graphics 500")</f>
        <v>Intel HD Graphics 500</v>
      </c>
      <c r="K1185" s="2" t="str">
        <f ca="1">IFERROR(__xludf.DUMMYFUNCTION("""COMPUTED_VALUE"""),"Windows 10")</f>
        <v>Windows 10</v>
      </c>
      <c r="L1185" s="2" t="str">
        <f ca="1">IFERROR(__xludf.DUMMYFUNCTION("""COMPUTED_VALUE"""),"2.1kg")</f>
        <v>2.1kg</v>
      </c>
      <c r="M1185" s="2">
        <f ca="1">IFERROR(__xludf.DUMMYFUNCTION("""COMPUTED_VALUE"""),333)</f>
        <v>333</v>
      </c>
    </row>
    <row r="1186" spans="1:13">
      <c r="A1186" s="2">
        <f ca="1">IFERROR(__xludf.DUMMYFUNCTION("""COMPUTED_VALUE"""),1202)</f>
        <v>1202</v>
      </c>
      <c r="B1186" s="2" t="str">
        <f ca="1">IFERROR(__xludf.DUMMYFUNCTION("""COMPUTED_VALUE"""),"HP")</f>
        <v>HP</v>
      </c>
      <c r="C1186" s="2" t="str">
        <f ca="1">IFERROR(__xludf.DUMMYFUNCTION("""COMPUTED_VALUE"""),"Pavilion 15-BC000nv")</f>
        <v>Pavilion 15-BC000nv</v>
      </c>
      <c r="D1186" s="2" t="str">
        <f ca="1">IFERROR(__xludf.DUMMYFUNCTION("""COMPUTED_VALUE"""),"Notebook")</f>
        <v>Notebook</v>
      </c>
      <c r="E1186" s="2">
        <f ca="1">IFERROR(__xludf.DUMMYFUNCTION("""COMPUTED_VALUE"""),15.6)</f>
        <v>15.6</v>
      </c>
      <c r="F1186" s="2" t="str">
        <f ca="1">IFERROR(__xludf.DUMMYFUNCTION("""COMPUTED_VALUE"""),"IPS Panel Full HD 1920x1080")</f>
        <v>IPS Panel Full HD 1920x1080</v>
      </c>
      <c r="G1186" s="2" t="str">
        <f ca="1">IFERROR(__xludf.DUMMYFUNCTION("""COMPUTED_VALUE"""),"Intel Core i7 6700HQ 2.6GHz")</f>
        <v>Intel Core i7 6700HQ 2.6GHz</v>
      </c>
      <c r="H1186" s="2" t="str">
        <f ca="1">IFERROR(__xludf.DUMMYFUNCTION("""COMPUTED_VALUE"""),"6GB")</f>
        <v>6GB</v>
      </c>
      <c r="I1186" s="2" t="str">
        <f ca="1">IFERROR(__xludf.DUMMYFUNCTION("""COMPUTED_VALUE"""),"1TB HDD")</f>
        <v>1TB HDD</v>
      </c>
      <c r="J1186" s="2" t="str">
        <f ca="1">IFERROR(__xludf.DUMMYFUNCTION("""COMPUTED_VALUE"""),"Nvidia GeForce GTX 960M")</f>
        <v>Nvidia GeForce GTX 960M</v>
      </c>
      <c r="K1186" s="2" t="str">
        <f ca="1">IFERROR(__xludf.DUMMYFUNCTION("""COMPUTED_VALUE"""),"Windows 10")</f>
        <v>Windows 10</v>
      </c>
      <c r="L1186" s="2" t="str">
        <f ca="1">IFERROR(__xludf.DUMMYFUNCTION("""COMPUTED_VALUE"""),"2.18kg")</f>
        <v>2.18kg</v>
      </c>
      <c r="M1186" s="2">
        <f ca="1">IFERROR(__xludf.DUMMYFUNCTION("""COMPUTED_VALUE"""),799)</f>
        <v>799</v>
      </c>
    </row>
    <row r="1187" spans="1:13">
      <c r="A1187" s="2">
        <f ca="1">IFERROR(__xludf.DUMMYFUNCTION("""COMPUTED_VALUE"""),1203)</f>
        <v>1203</v>
      </c>
      <c r="B1187" s="2" t="str">
        <f ca="1">IFERROR(__xludf.DUMMYFUNCTION("""COMPUTED_VALUE"""),"Asus")</f>
        <v>Asus</v>
      </c>
      <c r="C1187" s="2" t="str">
        <f ca="1">IFERROR(__xludf.DUMMYFUNCTION("""COMPUTED_VALUE"""),"Rog GL552VW-DM201T")</f>
        <v>Rog GL552VW-DM201T</v>
      </c>
      <c r="D1187" s="2" t="str">
        <f ca="1">IFERROR(__xludf.DUMMYFUNCTION("""COMPUTED_VALUE"""),"Gaming")</f>
        <v>Gaming</v>
      </c>
      <c r="E1187" s="2">
        <f ca="1">IFERROR(__xludf.DUMMYFUNCTION("""COMPUTED_VALUE"""),15.6)</f>
        <v>15.6</v>
      </c>
      <c r="F1187" s="2" t="str">
        <f ca="1">IFERROR(__xludf.DUMMYFUNCTION("""COMPUTED_VALUE"""),"IPS Panel Full HD 1920x1080")</f>
        <v>IPS Panel Full HD 1920x1080</v>
      </c>
      <c r="G1187" s="2" t="str">
        <f ca="1">IFERROR(__xludf.DUMMYFUNCTION("""COMPUTED_VALUE"""),"Intel Core i7 6700HQ 2.6GHz")</f>
        <v>Intel Core i7 6700HQ 2.6GHz</v>
      </c>
      <c r="H1187" s="2" t="str">
        <f ca="1">IFERROR(__xludf.DUMMYFUNCTION("""COMPUTED_VALUE"""),"8GB")</f>
        <v>8GB</v>
      </c>
      <c r="I1187" s="2" t="str">
        <f ca="1">IFERROR(__xludf.DUMMYFUNCTION("""COMPUTED_VALUE"""),"256GB SSD +  1TB HDD")</f>
        <v>256GB SSD +  1TB HDD</v>
      </c>
      <c r="J1187" s="2" t="str">
        <f ca="1">IFERROR(__xludf.DUMMYFUNCTION("""COMPUTED_VALUE"""),"Nvidia GeForce GTX 960M")</f>
        <v>Nvidia GeForce GTX 960M</v>
      </c>
      <c r="K1187" s="2" t="str">
        <f ca="1">IFERROR(__xludf.DUMMYFUNCTION("""COMPUTED_VALUE"""),"Windows 10")</f>
        <v>Windows 10</v>
      </c>
      <c r="L1187" s="2" t="str">
        <f ca="1">IFERROR(__xludf.DUMMYFUNCTION("""COMPUTED_VALUE"""),"2.591kg")</f>
        <v>2.591kg</v>
      </c>
      <c r="M1187" s="2">
        <f ca="1">IFERROR(__xludf.DUMMYFUNCTION("""COMPUTED_VALUE"""),909)</f>
        <v>909</v>
      </c>
    </row>
    <row r="1188" spans="1:13">
      <c r="A1188" s="2">
        <f ca="1">IFERROR(__xludf.DUMMYFUNCTION("""COMPUTED_VALUE"""),1204)</f>
        <v>1204</v>
      </c>
      <c r="B1188" s="2" t="str">
        <f ca="1">IFERROR(__xludf.DUMMYFUNCTION("""COMPUTED_VALUE"""),"Dell")</f>
        <v>Dell</v>
      </c>
      <c r="C1188" s="2" t="str">
        <f ca="1">IFERROR(__xludf.DUMMYFUNCTION("""COMPUTED_VALUE"""),"Inspiron 5578")</f>
        <v>Inspiron 5578</v>
      </c>
      <c r="D1188" s="2" t="str">
        <f ca="1">IFERROR(__xludf.DUMMYFUNCTION("""COMPUTED_VALUE"""),"2 in 1 Convertible")</f>
        <v>2 in 1 Convertible</v>
      </c>
      <c r="E1188" s="2">
        <f ca="1">IFERROR(__xludf.DUMMYFUNCTION("""COMPUTED_VALUE"""),15.6)</f>
        <v>15.6</v>
      </c>
      <c r="F1188" s="2" t="str">
        <f ca="1">IFERROR(__xludf.DUMMYFUNCTION("""COMPUTED_VALUE"""),"Full HD / Touchscreen 1920x1080")</f>
        <v>Full HD / Touchscreen 1920x1080</v>
      </c>
      <c r="G1188" s="2" t="str">
        <f ca="1">IFERROR(__xludf.DUMMYFUNCTION("""COMPUTED_VALUE"""),"Intel Core i7 7500U 2.7GHz")</f>
        <v>Intel Core i7 7500U 2.7GHz</v>
      </c>
      <c r="H1188" s="2" t="str">
        <f ca="1">IFERROR(__xludf.DUMMYFUNCTION("""COMPUTED_VALUE"""),"16GB")</f>
        <v>16GB</v>
      </c>
      <c r="I1188" s="2" t="str">
        <f ca="1">IFERROR(__xludf.DUMMYFUNCTION("""COMPUTED_VALUE"""),"512GB SSD")</f>
        <v>512GB SSD</v>
      </c>
      <c r="J1188" s="2" t="str">
        <f ca="1">IFERROR(__xludf.DUMMYFUNCTION("""COMPUTED_VALUE"""),"Intel HD Graphics 620")</f>
        <v>Intel HD Graphics 620</v>
      </c>
      <c r="K1188" s="2" t="str">
        <f ca="1">IFERROR(__xludf.DUMMYFUNCTION("""COMPUTED_VALUE"""),"Windows 10")</f>
        <v>Windows 10</v>
      </c>
      <c r="L1188" s="2" t="str">
        <f ca="1">IFERROR(__xludf.DUMMYFUNCTION("""COMPUTED_VALUE"""),"2.09kg")</f>
        <v>2.09kg</v>
      </c>
      <c r="M1188" s="2">
        <f ca="1">IFERROR(__xludf.DUMMYFUNCTION("""COMPUTED_VALUE"""),1179)</f>
        <v>1179</v>
      </c>
    </row>
    <row r="1189" spans="1:13">
      <c r="A1189" s="2">
        <f ca="1">IFERROR(__xludf.DUMMYFUNCTION("""COMPUTED_VALUE"""),1205)</f>
        <v>1205</v>
      </c>
      <c r="B1189" s="2" t="str">
        <f ca="1">IFERROR(__xludf.DUMMYFUNCTION("""COMPUTED_VALUE"""),"Acer")</f>
        <v>Acer</v>
      </c>
      <c r="C1189" s="2" t="str">
        <f ca="1">IFERROR(__xludf.DUMMYFUNCTION("""COMPUTED_VALUE"""),"Aspire E5-576G")</f>
        <v>Aspire E5-576G</v>
      </c>
      <c r="D1189" s="2" t="str">
        <f ca="1">IFERROR(__xludf.DUMMYFUNCTION("""COMPUTED_VALUE"""),"Notebook")</f>
        <v>Notebook</v>
      </c>
      <c r="E1189" s="2">
        <f ca="1">IFERROR(__xludf.DUMMYFUNCTION("""COMPUTED_VALUE"""),15.6)</f>
        <v>15.6</v>
      </c>
      <c r="F1189" s="2" t="str">
        <f ca="1">IFERROR(__xludf.DUMMYFUNCTION("""COMPUTED_VALUE"""),"Full HD 1920x1080")</f>
        <v>Full HD 1920x1080</v>
      </c>
      <c r="G1189" s="2" t="str">
        <f ca="1">IFERROR(__xludf.DUMMYFUNCTION("""COMPUTED_VALUE"""),"Intel Core i5 7200U 2.5GHz")</f>
        <v>Intel Core i5 7200U 2.5GHz</v>
      </c>
      <c r="H1189" s="2" t="str">
        <f ca="1">IFERROR(__xludf.DUMMYFUNCTION("""COMPUTED_VALUE"""),"4GB")</f>
        <v>4GB</v>
      </c>
      <c r="I1189" s="2" t="str">
        <f ca="1">IFERROR(__xludf.DUMMYFUNCTION("""COMPUTED_VALUE"""),"256GB SSD")</f>
        <v>256GB SSD</v>
      </c>
      <c r="J1189" s="2" t="str">
        <f ca="1">IFERROR(__xludf.DUMMYFUNCTION("""COMPUTED_VALUE"""),"Nvidia GeForce 940MX")</f>
        <v>Nvidia GeForce 940MX</v>
      </c>
      <c r="K1189" s="2" t="str">
        <f ca="1">IFERROR(__xludf.DUMMYFUNCTION("""COMPUTED_VALUE"""),"Windows 10")</f>
        <v>Windows 10</v>
      </c>
      <c r="L1189" s="2" t="str">
        <f ca="1">IFERROR(__xludf.DUMMYFUNCTION("""COMPUTED_VALUE"""),"2.23kg")</f>
        <v>2.23kg</v>
      </c>
      <c r="M1189" s="2">
        <f ca="1">IFERROR(__xludf.DUMMYFUNCTION("""COMPUTED_VALUE"""),691)</f>
        <v>691</v>
      </c>
    </row>
    <row r="1190" spans="1:13">
      <c r="A1190" s="2">
        <f ca="1">IFERROR(__xludf.DUMMYFUNCTION("""COMPUTED_VALUE"""),1206)</f>
        <v>1206</v>
      </c>
      <c r="B1190" s="2" t="str">
        <f ca="1">IFERROR(__xludf.DUMMYFUNCTION("""COMPUTED_VALUE"""),"Dell")</f>
        <v>Dell</v>
      </c>
      <c r="C1190" s="2" t="str">
        <f ca="1">IFERROR(__xludf.DUMMYFUNCTION("""COMPUTED_VALUE"""),"XPS 13")</f>
        <v>XPS 13</v>
      </c>
      <c r="D1190" s="2" t="str">
        <f ca="1">IFERROR(__xludf.DUMMYFUNCTION("""COMPUTED_VALUE"""),"Ultrabook")</f>
        <v>Ultrabook</v>
      </c>
      <c r="E1190" s="2">
        <f ca="1">IFERROR(__xludf.DUMMYFUNCTION("""COMPUTED_VALUE"""),13.3)</f>
        <v>13.3</v>
      </c>
      <c r="F1190" s="2" t="str">
        <f ca="1">IFERROR(__xludf.DUMMYFUNCTION("""COMPUTED_VALUE"""),"Quad HD+ / Touchscreen 3200x1800")</f>
        <v>Quad HD+ / Touchscreen 3200x1800</v>
      </c>
      <c r="G1190" s="2" t="str">
        <f ca="1">IFERROR(__xludf.DUMMYFUNCTION("""COMPUTED_VALUE"""),"Intel Core i5 6300U 2.4GHz")</f>
        <v>Intel Core i5 6300U 2.4GHz</v>
      </c>
      <c r="H1190" s="2" t="str">
        <f ca="1">IFERROR(__xludf.DUMMYFUNCTION("""COMPUTED_VALUE"""),"8GB")</f>
        <v>8GB</v>
      </c>
      <c r="I1190" s="2" t="str">
        <f ca="1">IFERROR(__xludf.DUMMYFUNCTION("""COMPUTED_VALUE"""),"256GB SSD")</f>
        <v>256GB SSD</v>
      </c>
      <c r="J1190" s="2" t="str">
        <f ca="1">IFERROR(__xludf.DUMMYFUNCTION("""COMPUTED_VALUE"""),"Intel HD Graphics 520")</f>
        <v>Intel HD Graphics 520</v>
      </c>
      <c r="K1190" s="2" t="str">
        <f ca="1">IFERROR(__xludf.DUMMYFUNCTION("""COMPUTED_VALUE"""),"Linux")</f>
        <v>Linux</v>
      </c>
      <c r="L1190" s="2" t="str">
        <f ca="1">IFERROR(__xludf.DUMMYFUNCTION("""COMPUTED_VALUE"""),"1.23kg")</f>
        <v>1.23kg</v>
      </c>
      <c r="M1190" s="2">
        <f ca="1">IFERROR(__xludf.DUMMYFUNCTION("""COMPUTED_VALUE"""),1099)</f>
        <v>1099</v>
      </c>
    </row>
    <row r="1191" spans="1:13">
      <c r="A1191" s="2">
        <f ca="1">IFERROR(__xludf.DUMMYFUNCTION("""COMPUTED_VALUE"""),1207)</f>
        <v>1207</v>
      </c>
      <c r="B1191" s="2" t="str">
        <f ca="1">IFERROR(__xludf.DUMMYFUNCTION("""COMPUTED_VALUE"""),"Acer")</f>
        <v>Acer</v>
      </c>
      <c r="C1191" s="2" t="str">
        <f ca="1">IFERROR(__xludf.DUMMYFUNCTION("""COMPUTED_VALUE"""),"Predator G9-793")</f>
        <v>Predator G9-793</v>
      </c>
      <c r="D1191" s="2" t="str">
        <f ca="1">IFERROR(__xludf.DUMMYFUNCTION("""COMPUTED_VALUE"""),"Gaming")</f>
        <v>Gaming</v>
      </c>
      <c r="E1191" s="2">
        <f ca="1">IFERROR(__xludf.DUMMYFUNCTION("""COMPUTED_VALUE"""),17.3)</f>
        <v>17.3</v>
      </c>
      <c r="F1191" s="2" t="str">
        <f ca="1">IFERROR(__xludf.DUMMYFUNCTION("""COMPUTED_VALUE"""),"IPS Panel Full HD 1920x1080")</f>
        <v>IPS Panel Full HD 1920x1080</v>
      </c>
      <c r="G1191" s="2" t="str">
        <f ca="1">IFERROR(__xludf.DUMMYFUNCTION("""COMPUTED_VALUE"""),"Intel Core i7 7700HQ 2.8GHz")</f>
        <v>Intel Core i7 7700HQ 2.8GHz</v>
      </c>
      <c r="H1191" s="2" t="str">
        <f ca="1">IFERROR(__xludf.DUMMYFUNCTION("""COMPUTED_VALUE"""),"16GB")</f>
        <v>16GB</v>
      </c>
      <c r="I1191" s="2" t="str">
        <f ca="1">IFERROR(__xludf.DUMMYFUNCTION("""COMPUTED_VALUE"""),"256GB SSD +  1TB HDD")</f>
        <v>256GB SSD +  1TB HDD</v>
      </c>
      <c r="J1191" s="2" t="str">
        <f ca="1">IFERROR(__xludf.DUMMYFUNCTION("""COMPUTED_VALUE"""),"Nvidia GeForce GTX 1070")</f>
        <v>Nvidia GeForce GTX 1070</v>
      </c>
      <c r="K1191" s="2" t="str">
        <f ca="1">IFERROR(__xludf.DUMMYFUNCTION("""COMPUTED_VALUE"""),"Windows 10")</f>
        <v>Windows 10</v>
      </c>
      <c r="L1191" s="2" t="str">
        <f ca="1">IFERROR(__xludf.DUMMYFUNCTION("""COMPUTED_VALUE"""),"4.2kg")</f>
        <v>4.2kg</v>
      </c>
      <c r="M1191" s="2">
        <f ca="1">IFERROR(__xludf.DUMMYFUNCTION("""COMPUTED_VALUE"""),2599)</f>
        <v>2599</v>
      </c>
    </row>
    <row r="1192" spans="1:13">
      <c r="A1192" s="2">
        <f ca="1">IFERROR(__xludf.DUMMYFUNCTION("""COMPUTED_VALUE"""),1208)</f>
        <v>1208</v>
      </c>
      <c r="B1192" s="2" t="str">
        <f ca="1">IFERROR(__xludf.DUMMYFUNCTION("""COMPUTED_VALUE"""),"Lenovo")</f>
        <v>Lenovo</v>
      </c>
      <c r="C1192" s="2" t="str">
        <f ca="1">IFERROR(__xludf.DUMMYFUNCTION("""COMPUTED_VALUE"""),"Legion Y520-15IKBN")</f>
        <v>Legion Y520-15IKBN</v>
      </c>
      <c r="D1192" s="2" t="str">
        <f ca="1">IFERROR(__xludf.DUMMYFUNCTION("""COMPUTED_VALUE"""),"Gaming")</f>
        <v>Gaming</v>
      </c>
      <c r="E1192" s="2">
        <f ca="1">IFERROR(__xludf.DUMMYFUNCTION("""COMPUTED_VALUE"""),15.6)</f>
        <v>15.6</v>
      </c>
      <c r="F1192" s="2" t="str">
        <f ca="1">IFERROR(__xludf.DUMMYFUNCTION("""COMPUTED_VALUE"""),"IPS Panel Full HD 1920x1080")</f>
        <v>IPS Panel Full HD 1920x1080</v>
      </c>
      <c r="G1192" s="2" t="str">
        <f ca="1">IFERROR(__xludf.DUMMYFUNCTION("""COMPUTED_VALUE"""),"Intel Core i5 7300HQ 2.5GHz")</f>
        <v>Intel Core i5 7300HQ 2.5GHz</v>
      </c>
      <c r="H1192" s="2" t="str">
        <f ca="1">IFERROR(__xludf.DUMMYFUNCTION("""COMPUTED_VALUE"""),"8GB")</f>
        <v>8GB</v>
      </c>
      <c r="I1192" s="2" t="str">
        <f ca="1">IFERROR(__xludf.DUMMYFUNCTION("""COMPUTED_VALUE"""),"1TB HDD")</f>
        <v>1TB HDD</v>
      </c>
      <c r="J1192" s="2" t="str">
        <f ca="1">IFERROR(__xludf.DUMMYFUNCTION("""COMPUTED_VALUE"""),"Nvidia GeForce GTX 1050")</f>
        <v>Nvidia GeForce GTX 1050</v>
      </c>
      <c r="K1192" s="2" t="str">
        <f ca="1">IFERROR(__xludf.DUMMYFUNCTION("""COMPUTED_VALUE"""),"Windows 10")</f>
        <v>Windows 10</v>
      </c>
      <c r="L1192" s="2" t="str">
        <f ca="1">IFERROR(__xludf.DUMMYFUNCTION("""COMPUTED_VALUE"""),"2.4kg")</f>
        <v>2.4kg</v>
      </c>
      <c r="M1192" s="2">
        <f ca="1">IFERROR(__xludf.DUMMYFUNCTION("""COMPUTED_VALUE"""),819)</f>
        <v>819</v>
      </c>
    </row>
    <row r="1193" spans="1:13">
      <c r="A1193" s="2">
        <f ca="1">IFERROR(__xludf.DUMMYFUNCTION("""COMPUTED_VALUE"""),1209)</f>
        <v>1209</v>
      </c>
      <c r="B1193" s="2" t="str">
        <f ca="1">IFERROR(__xludf.DUMMYFUNCTION("""COMPUTED_VALUE"""),"Samsung")</f>
        <v>Samsung</v>
      </c>
      <c r="C1193" s="2" t="str">
        <f ca="1">IFERROR(__xludf.DUMMYFUNCTION("""COMPUTED_VALUE"""),"Chromebook Plus")</f>
        <v>Chromebook Plus</v>
      </c>
      <c r="D1193" s="2" t="str">
        <f ca="1">IFERROR(__xludf.DUMMYFUNCTION("""COMPUTED_VALUE"""),"2 in 1 Convertible")</f>
        <v>2 in 1 Convertible</v>
      </c>
      <c r="E1193" s="2">
        <f ca="1">IFERROR(__xludf.DUMMYFUNCTION("""COMPUTED_VALUE"""),12.3)</f>
        <v>12.3</v>
      </c>
      <c r="F1193" s="2" t="str">
        <f ca="1">IFERROR(__xludf.DUMMYFUNCTION("""COMPUTED_VALUE"""),"IPS Panel Touchscreen 2400x1600")</f>
        <v>IPS Panel Touchscreen 2400x1600</v>
      </c>
      <c r="G1193" s="2" t="str">
        <f ca="1">IFERROR(__xludf.DUMMYFUNCTION("""COMPUTED_VALUE"""),"Samsung Cortex A72&amp;A53 2.0GHz")</f>
        <v>Samsung Cortex A72&amp;A53 2.0GHz</v>
      </c>
      <c r="H1193" s="2" t="str">
        <f ca="1">IFERROR(__xludf.DUMMYFUNCTION("""COMPUTED_VALUE"""),"4GB")</f>
        <v>4GB</v>
      </c>
      <c r="I1193" s="2" t="str">
        <f ca="1">IFERROR(__xludf.DUMMYFUNCTION("""COMPUTED_VALUE"""),"32GB Flash Storage")</f>
        <v>32GB Flash Storage</v>
      </c>
      <c r="J1193" s="2" t="str">
        <f ca="1">IFERROR(__xludf.DUMMYFUNCTION("""COMPUTED_VALUE"""),"ARM Mali T860 MP4")</f>
        <v>ARM Mali T860 MP4</v>
      </c>
      <c r="K1193" s="2" t="str">
        <f ca="1">IFERROR(__xludf.DUMMYFUNCTION("""COMPUTED_VALUE"""),"Chrome OS")</f>
        <v>Chrome OS</v>
      </c>
      <c r="L1193" s="2" t="str">
        <f ca="1">IFERROR(__xludf.DUMMYFUNCTION("""COMPUTED_VALUE"""),"1.15kg")</f>
        <v>1.15kg</v>
      </c>
      <c r="M1193" s="2">
        <f ca="1">IFERROR(__xludf.DUMMYFUNCTION("""COMPUTED_VALUE"""),659)</f>
        <v>659</v>
      </c>
    </row>
    <row r="1194" spans="1:13">
      <c r="A1194" s="2">
        <f ca="1">IFERROR(__xludf.DUMMYFUNCTION("""COMPUTED_VALUE"""),1210)</f>
        <v>1210</v>
      </c>
      <c r="B1194" s="2" t="str">
        <f ca="1">IFERROR(__xludf.DUMMYFUNCTION("""COMPUTED_VALUE"""),"HP")</f>
        <v>HP</v>
      </c>
      <c r="C1194" s="2" t="str">
        <f ca="1">IFERROR(__xludf.DUMMYFUNCTION("""COMPUTED_VALUE"""),"250 G6")</f>
        <v>250 G6</v>
      </c>
      <c r="D1194" s="2" t="str">
        <f ca="1">IFERROR(__xludf.DUMMYFUNCTION("""COMPUTED_VALUE"""),"Notebook")</f>
        <v>Notebook</v>
      </c>
      <c r="E1194" s="2">
        <f ca="1">IFERROR(__xludf.DUMMYFUNCTION("""COMPUTED_VALUE"""),15.6)</f>
        <v>15.6</v>
      </c>
      <c r="F1194" s="2" t="str">
        <f ca="1">IFERROR(__xludf.DUMMYFUNCTION("""COMPUTED_VALUE"""),"1366x768")</f>
        <v>1366x768</v>
      </c>
      <c r="G1194" s="2" t="str">
        <f ca="1">IFERROR(__xludf.DUMMYFUNCTION("""COMPUTED_VALUE"""),"Intel Core i5 7200U 2.5GHz")</f>
        <v>Intel Core i5 7200U 2.5GHz</v>
      </c>
      <c r="H1194" s="2" t="str">
        <f ca="1">IFERROR(__xludf.DUMMYFUNCTION("""COMPUTED_VALUE"""),"4GB")</f>
        <v>4GB</v>
      </c>
      <c r="I1194" s="2" t="str">
        <f ca="1">IFERROR(__xludf.DUMMYFUNCTION("""COMPUTED_VALUE"""),"500GB HDD")</f>
        <v>500GB HDD</v>
      </c>
      <c r="J1194" s="2" t="str">
        <f ca="1">IFERROR(__xludf.DUMMYFUNCTION("""COMPUTED_VALUE"""),"Intel HD Graphics 620")</f>
        <v>Intel HD Graphics 620</v>
      </c>
      <c r="K1194" s="2" t="str">
        <f ca="1">IFERROR(__xludf.DUMMYFUNCTION("""COMPUTED_VALUE"""),"Windows 10")</f>
        <v>Windows 10</v>
      </c>
      <c r="L1194" s="2" t="str">
        <f ca="1">IFERROR(__xludf.DUMMYFUNCTION("""COMPUTED_VALUE"""),"1.86kg")</f>
        <v>1.86kg</v>
      </c>
      <c r="M1194" s="2">
        <f ca="1">IFERROR(__xludf.DUMMYFUNCTION("""COMPUTED_VALUE"""),485)</f>
        <v>485</v>
      </c>
    </row>
    <row r="1195" spans="1:13">
      <c r="A1195" s="2">
        <f ca="1">IFERROR(__xludf.DUMMYFUNCTION("""COMPUTED_VALUE"""),1211)</f>
        <v>1211</v>
      </c>
      <c r="B1195" s="2" t="str">
        <f ca="1">IFERROR(__xludf.DUMMYFUNCTION("""COMPUTED_VALUE"""),"Apple")</f>
        <v>Apple</v>
      </c>
      <c r="C1195" s="2" t="str">
        <f ca="1">IFERROR(__xludf.DUMMYFUNCTION("""COMPUTED_VALUE"""),"MacBook 12""")</f>
        <v>MacBook 12"</v>
      </c>
      <c r="D1195" s="2" t="str">
        <f ca="1">IFERROR(__xludf.DUMMYFUNCTION("""COMPUTED_VALUE"""),"Ultrabook")</f>
        <v>Ultrabook</v>
      </c>
      <c r="E1195" s="2">
        <f ca="1">IFERROR(__xludf.DUMMYFUNCTION("""COMPUTED_VALUE"""),12)</f>
        <v>12</v>
      </c>
      <c r="F1195" s="2" t="str">
        <f ca="1">IFERROR(__xludf.DUMMYFUNCTION("""COMPUTED_VALUE"""),"IPS Panel Retina Display 2304x1440")</f>
        <v>IPS Panel Retina Display 2304x1440</v>
      </c>
      <c r="G1195" s="2" t="str">
        <f ca="1">IFERROR(__xludf.DUMMYFUNCTION("""COMPUTED_VALUE"""),"Intel Core M 1.1GHz")</f>
        <v>Intel Core M 1.1GHz</v>
      </c>
      <c r="H1195" s="2" t="str">
        <f ca="1">IFERROR(__xludf.DUMMYFUNCTION("""COMPUTED_VALUE"""),"8GB")</f>
        <v>8GB</v>
      </c>
      <c r="I1195" s="2" t="str">
        <f ca="1">IFERROR(__xludf.DUMMYFUNCTION("""COMPUTED_VALUE"""),"256GB Flash Storage")</f>
        <v>256GB Flash Storage</v>
      </c>
      <c r="J1195" s="2" t="str">
        <f ca="1">IFERROR(__xludf.DUMMYFUNCTION("""COMPUTED_VALUE"""),"Intel HD Graphics 5300")</f>
        <v>Intel HD Graphics 5300</v>
      </c>
      <c r="K1195" s="2" t="str">
        <f ca="1">IFERROR(__xludf.DUMMYFUNCTION("""COMPUTED_VALUE"""),"Mac OS X")</f>
        <v>Mac OS X</v>
      </c>
      <c r="L1195" s="2" t="str">
        <f ca="1">IFERROR(__xludf.DUMMYFUNCTION("""COMPUTED_VALUE"""),"0.920kg")</f>
        <v>0.920kg</v>
      </c>
      <c r="M1195" s="2">
        <f ca="1">IFERROR(__xludf.DUMMYFUNCTION("""COMPUTED_VALUE"""),1163)</f>
        <v>1163</v>
      </c>
    </row>
    <row r="1196" spans="1:13">
      <c r="A1196" s="2">
        <f ca="1">IFERROR(__xludf.DUMMYFUNCTION("""COMPUTED_VALUE"""),1212)</f>
        <v>1212</v>
      </c>
      <c r="B1196" s="2" t="str">
        <f ca="1">IFERROR(__xludf.DUMMYFUNCTION("""COMPUTED_VALUE"""),"Dell")</f>
        <v>Dell</v>
      </c>
      <c r="C1196" s="2" t="str">
        <f ca="1">IFERROR(__xludf.DUMMYFUNCTION("""COMPUTED_VALUE"""),"Inspiron 7378")</f>
        <v>Inspiron 7378</v>
      </c>
      <c r="D1196" s="2" t="str">
        <f ca="1">IFERROR(__xludf.DUMMYFUNCTION("""COMPUTED_VALUE"""),"2 in 1 Convertible")</f>
        <v>2 in 1 Convertible</v>
      </c>
      <c r="E1196" s="2">
        <f ca="1">IFERROR(__xludf.DUMMYFUNCTION("""COMPUTED_VALUE"""),13.3)</f>
        <v>13.3</v>
      </c>
      <c r="F1196" s="2" t="str">
        <f ca="1">IFERROR(__xludf.DUMMYFUNCTION("""COMPUTED_VALUE"""),"IPS Panel Full HD / Touchscreen 1920x1080")</f>
        <v>IPS Panel Full HD / Touchscreen 1920x1080</v>
      </c>
      <c r="G1196" s="2" t="str">
        <f ca="1">IFERROR(__xludf.DUMMYFUNCTION("""COMPUTED_VALUE"""),"Intel Core i5 7200U 2.5GHz")</f>
        <v>Intel Core i5 7200U 2.5GHz</v>
      </c>
      <c r="H1196" s="2" t="str">
        <f ca="1">IFERROR(__xludf.DUMMYFUNCTION("""COMPUTED_VALUE"""),"8GB")</f>
        <v>8GB</v>
      </c>
      <c r="I1196" s="2" t="str">
        <f ca="1">IFERROR(__xludf.DUMMYFUNCTION("""COMPUTED_VALUE"""),"256GB SSD")</f>
        <v>256GB SSD</v>
      </c>
      <c r="J1196" s="2" t="str">
        <f ca="1">IFERROR(__xludf.DUMMYFUNCTION("""COMPUTED_VALUE"""),"Intel HD Graphics 620")</f>
        <v>Intel HD Graphics 620</v>
      </c>
      <c r="K1196" s="2" t="str">
        <f ca="1">IFERROR(__xludf.DUMMYFUNCTION("""COMPUTED_VALUE"""),"Windows 10")</f>
        <v>Windows 10</v>
      </c>
      <c r="L1196" s="2" t="str">
        <f ca="1">IFERROR(__xludf.DUMMYFUNCTION("""COMPUTED_VALUE"""),"1.6kg")</f>
        <v>1.6kg</v>
      </c>
      <c r="M1196" s="2">
        <f ca="1">IFERROR(__xludf.DUMMYFUNCTION("""COMPUTED_VALUE"""),1199)</f>
        <v>1199</v>
      </c>
    </row>
    <row r="1197" spans="1:13">
      <c r="A1197" s="2">
        <f ca="1">IFERROR(__xludf.DUMMYFUNCTION("""COMPUTED_VALUE"""),1213)</f>
        <v>1213</v>
      </c>
      <c r="B1197" s="2" t="str">
        <f ca="1">IFERROR(__xludf.DUMMYFUNCTION("""COMPUTED_VALUE"""),"HP")</f>
        <v>HP</v>
      </c>
      <c r="C1197" s="2" t="str">
        <f ca="1">IFERROR(__xludf.DUMMYFUNCTION("""COMPUTED_VALUE"""),"Pavilion Power")</f>
        <v>Pavilion Power</v>
      </c>
      <c r="D1197" s="2" t="str">
        <f ca="1">IFERROR(__xludf.DUMMYFUNCTION("""COMPUTED_VALUE"""),"Notebook")</f>
        <v>Notebook</v>
      </c>
      <c r="E1197" s="2">
        <f ca="1">IFERROR(__xludf.DUMMYFUNCTION("""COMPUTED_VALUE"""),15.6)</f>
        <v>15.6</v>
      </c>
      <c r="F1197" s="2" t="str">
        <f ca="1">IFERROR(__xludf.DUMMYFUNCTION("""COMPUTED_VALUE"""),"IPS Panel Full HD 1920x1080")</f>
        <v>IPS Panel Full HD 1920x1080</v>
      </c>
      <c r="G1197" s="2" t="str">
        <f ca="1">IFERROR(__xludf.DUMMYFUNCTION("""COMPUTED_VALUE"""),"Intel Core i7 7700HQ 2.8GHz")</f>
        <v>Intel Core i7 7700HQ 2.8GHz</v>
      </c>
      <c r="H1197" s="2" t="str">
        <f ca="1">IFERROR(__xludf.DUMMYFUNCTION("""COMPUTED_VALUE"""),"12GB")</f>
        <v>12GB</v>
      </c>
      <c r="I1197" s="2" t="str">
        <f ca="1">IFERROR(__xludf.DUMMYFUNCTION("""COMPUTED_VALUE"""),"128GB SSD +  1TB HDD")</f>
        <v>128GB SSD +  1TB HDD</v>
      </c>
      <c r="J1197" s="2" t="str">
        <f ca="1">IFERROR(__xludf.DUMMYFUNCTION("""COMPUTED_VALUE"""),"Nvidia GeForce GTX 1050")</f>
        <v>Nvidia GeForce GTX 1050</v>
      </c>
      <c r="K1197" s="2" t="str">
        <f ca="1">IFERROR(__xludf.DUMMYFUNCTION("""COMPUTED_VALUE"""),"Windows 10")</f>
        <v>Windows 10</v>
      </c>
      <c r="L1197" s="2" t="str">
        <f ca="1">IFERROR(__xludf.DUMMYFUNCTION("""COMPUTED_VALUE"""),"2.21kg")</f>
        <v>2.21kg</v>
      </c>
      <c r="M1197" s="2">
        <f ca="1">IFERROR(__xludf.DUMMYFUNCTION("""COMPUTED_VALUE"""),1327)</f>
        <v>1327</v>
      </c>
    </row>
    <row r="1198" spans="1:13">
      <c r="A1198" s="2">
        <f ca="1">IFERROR(__xludf.DUMMYFUNCTION("""COMPUTED_VALUE"""),1214)</f>
        <v>1214</v>
      </c>
      <c r="B1198" s="2" t="str">
        <f ca="1">IFERROR(__xludf.DUMMYFUNCTION("""COMPUTED_VALUE"""),"Lenovo")</f>
        <v>Lenovo</v>
      </c>
      <c r="C1198" s="2" t="str">
        <f ca="1">IFERROR(__xludf.DUMMYFUNCTION("""COMPUTED_VALUE"""),"V110-15ISK (i3-6006U/4GB/1TB/Radeon")</f>
        <v>V110-15ISK (i3-6006U/4GB/1TB/Radeon</v>
      </c>
      <c r="D1198" s="2" t="str">
        <f ca="1">IFERROR(__xludf.DUMMYFUNCTION("""COMPUTED_VALUE"""),"Notebook")</f>
        <v>Notebook</v>
      </c>
      <c r="E1198" s="2">
        <f ca="1">IFERROR(__xludf.DUMMYFUNCTION("""COMPUTED_VALUE"""),15.6)</f>
        <v>15.6</v>
      </c>
      <c r="F1198" s="2" t="str">
        <f ca="1">IFERROR(__xludf.DUMMYFUNCTION("""COMPUTED_VALUE"""),"1366x768")</f>
        <v>1366x768</v>
      </c>
      <c r="G1198" s="2" t="str">
        <f ca="1">IFERROR(__xludf.DUMMYFUNCTION("""COMPUTED_VALUE"""),"Intel Core i3 6006U 2GHz")</f>
        <v>Intel Core i3 6006U 2GHz</v>
      </c>
      <c r="H1198" s="2" t="str">
        <f ca="1">IFERROR(__xludf.DUMMYFUNCTION("""COMPUTED_VALUE"""),"4GB")</f>
        <v>4GB</v>
      </c>
      <c r="I1198" s="2" t="str">
        <f ca="1">IFERROR(__xludf.DUMMYFUNCTION("""COMPUTED_VALUE"""),"1TB HDD")</f>
        <v>1TB HDD</v>
      </c>
      <c r="J1198" s="2" t="str">
        <f ca="1">IFERROR(__xludf.DUMMYFUNCTION("""COMPUTED_VALUE"""),"AMD Radeon R5 M430")</f>
        <v>AMD Radeon R5 M430</v>
      </c>
      <c r="K1198" s="2" t="str">
        <f ca="1">IFERROR(__xludf.DUMMYFUNCTION("""COMPUTED_VALUE"""),"No OS")</f>
        <v>No OS</v>
      </c>
      <c r="L1198" s="2" t="str">
        <f ca="1">IFERROR(__xludf.DUMMYFUNCTION("""COMPUTED_VALUE"""),"1.9kg")</f>
        <v>1.9kg</v>
      </c>
      <c r="M1198" s="2">
        <f ca="1">IFERROR(__xludf.DUMMYFUNCTION("""COMPUTED_VALUE"""),368)</f>
        <v>368</v>
      </c>
    </row>
    <row r="1199" spans="1:13">
      <c r="A1199" s="2">
        <f ca="1">IFERROR(__xludf.DUMMYFUNCTION("""COMPUTED_VALUE"""),1215)</f>
        <v>1215</v>
      </c>
      <c r="B1199" s="2" t="str">
        <f ca="1">IFERROR(__xludf.DUMMYFUNCTION("""COMPUTED_VALUE"""),"Asus")</f>
        <v>Asus</v>
      </c>
      <c r="C1199" s="2" t="str">
        <f ca="1">IFERROR(__xludf.DUMMYFUNCTION("""COMPUTED_VALUE"""),"Rog G752VY-GC229T")</f>
        <v>Rog G752VY-GC229T</v>
      </c>
      <c r="D1199" s="2" t="str">
        <f ca="1">IFERROR(__xludf.DUMMYFUNCTION("""COMPUTED_VALUE"""),"Gaming")</f>
        <v>Gaming</v>
      </c>
      <c r="E1199" s="2">
        <f ca="1">IFERROR(__xludf.DUMMYFUNCTION("""COMPUTED_VALUE"""),17.3)</f>
        <v>17.3</v>
      </c>
      <c r="F1199" s="2" t="str">
        <f ca="1">IFERROR(__xludf.DUMMYFUNCTION("""COMPUTED_VALUE"""),"IPS Panel Full HD 1920x1080")</f>
        <v>IPS Panel Full HD 1920x1080</v>
      </c>
      <c r="G1199" s="2" t="str">
        <f ca="1">IFERROR(__xludf.DUMMYFUNCTION("""COMPUTED_VALUE"""),"Intel Core i7 6700HQ 2.6GHz")</f>
        <v>Intel Core i7 6700HQ 2.6GHz</v>
      </c>
      <c r="H1199" s="2" t="str">
        <f ca="1">IFERROR(__xludf.DUMMYFUNCTION("""COMPUTED_VALUE"""),"16GB")</f>
        <v>16GB</v>
      </c>
      <c r="I1199" s="2" t="str">
        <f ca="1">IFERROR(__xludf.DUMMYFUNCTION("""COMPUTED_VALUE"""),"512GB SSD +  1TB HDD")</f>
        <v>512GB SSD +  1TB HDD</v>
      </c>
      <c r="J1199" s="2" t="str">
        <f ca="1">IFERROR(__xludf.DUMMYFUNCTION("""COMPUTED_VALUE"""),"Nvidia GeForce GTX 980M")</f>
        <v>Nvidia GeForce GTX 980M</v>
      </c>
      <c r="K1199" s="2" t="str">
        <f ca="1">IFERROR(__xludf.DUMMYFUNCTION("""COMPUTED_VALUE"""),"Windows 10")</f>
        <v>Windows 10</v>
      </c>
      <c r="L1199" s="2" t="str">
        <f ca="1">IFERROR(__xludf.DUMMYFUNCTION("""COMPUTED_VALUE"""),"4.3kg")</f>
        <v>4.3kg</v>
      </c>
      <c r="M1199" s="2">
        <f ca="1">IFERROR(__xludf.DUMMYFUNCTION("""COMPUTED_VALUE"""),2150)</f>
        <v>2150</v>
      </c>
    </row>
    <row r="1200" spans="1:13">
      <c r="A1200" s="2">
        <f ca="1">IFERROR(__xludf.DUMMYFUNCTION("""COMPUTED_VALUE"""),1216)</f>
        <v>1216</v>
      </c>
      <c r="B1200" s="2" t="str">
        <f ca="1">IFERROR(__xludf.DUMMYFUNCTION("""COMPUTED_VALUE"""),"Acer")</f>
        <v>Acer</v>
      </c>
      <c r="C1200" s="2" t="str">
        <f ca="1">IFERROR(__xludf.DUMMYFUNCTION("""COMPUTED_VALUE"""),"Aspire 3")</f>
        <v>Aspire 3</v>
      </c>
      <c r="D1200" s="2" t="str">
        <f ca="1">IFERROR(__xludf.DUMMYFUNCTION("""COMPUTED_VALUE"""),"Notebook")</f>
        <v>Notebook</v>
      </c>
      <c r="E1200" s="2">
        <f ca="1">IFERROR(__xludf.DUMMYFUNCTION("""COMPUTED_VALUE"""),15.6)</f>
        <v>15.6</v>
      </c>
      <c r="F1200" s="2" t="str">
        <f ca="1">IFERROR(__xludf.DUMMYFUNCTION("""COMPUTED_VALUE"""),"1366x768")</f>
        <v>1366x768</v>
      </c>
      <c r="G1200" s="2" t="str">
        <f ca="1">IFERROR(__xludf.DUMMYFUNCTION("""COMPUTED_VALUE"""),"Intel Celeron Dual Core N3350 2GHz")</f>
        <v>Intel Celeron Dual Core N3350 2GHz</v>
      </c>
      <c r="H1200" s="2" t="str">
        <f ca="1">IFERROR(__xludf.DUMMYFUNCTION("""COMPUTED_VALUE"""),"4GB")</f>
        <v>4GB</v>
      </c>
      <c r="I1200" s="2" t="str">
        <f ca="1">IFERROR(__xludf.DUMMYFUNCTION("""COMPUTED_VALUE"""),"1TB HDD")</f>
        <v>1TB HDD</v>
      </c>
      <c r="J1200" s="2" t="str">
        <f ca="1">IFERROR(__xludf.DUMMYFUNCTION("""COMPUTED_VALUE"""),"Intel HD Graphics 500")</f>
        <v>Intel HD Graphics 500</v>
      </c>
      <c r="K1200" s="2" t="str">
        <f ca="1">IFERROR(__xludf.DUMMYFUNCTION("""COMPUTED_VALUE"""),"Linux")</f>
        <v>Linux</v>
      </c>
      <c r="L1200" s="2" t="str">
        <f ca="1">IFERROR(__xludf.DUMMYFUNCTION("""COMPUTED_VALUE"""),"2.1kg")</f>
        <v>2.1kg</v>
      </c>
      <c r="M1200" s="2">
        <f ca="1">IFERROR(__xludf.DUMMYFUNCTION("""COMPUTED_VALUE"""),272)</f>
        <v>272</v>
      </c>
    </row>
    <row r="1201" spans="1:13">
      <c r="A1201" s="2">
        <f ca="1">IFERROR(__xludf.DUMMYFUNCTION("""COMPUTED_VALUE"""),1217)</f>
        <v>1217</v>
      </c>
      <c r="B1201" s="2" t="str">
        <f ca="1">IFERROR(__xludf.DUMMYFUNCTION("""COMPUTED_VALUE"""),"MSI")</f>
        <v>MSI</v>
      </c>
      <c r="C1201" s="2" t="str">
        <f ca="1">IFERROR(__xludf.DUMMYFUNCTION("""COMPUTED_VALUE"""),"GS73VR 7RF")</f>
        <v>GS73VR 7RF</v>
      </c>
      <c r="D1201" s="2" t="str">
        <f ca="1">IFERROR(__xludf.DUMMYFUNCTION("""COMPUTED_VALUE"""),"Gaming")</f>
        <v>Gaming</v>
      </c>
      <c r="E1201" s="2">
        <f ca="1">IFERROR(__xludf.DUMMYFUNCTION("""COMPUTED_VALUE"""),17.3)</f>
        <v>17.3</v>
      </c>
      <c r="F1201" s="2" t="str">
        <f ca="1">IFERROR(__xludf.DUMMYFUNCTION("""COMPUTED_VALUE"""),"Full HD 1920x1080")</f>
        <v>Full HD 1920x1080</v>
      </c>
      <c r="G1201" s="2" t="str">
        <f ca="1">IFERROR(__xludf.DUMMYFUNCTION("""COMPUTED_VALUE"""),"Intel Core i7 7700HQ 2.8GHz")</f>
        <v>Intel Core i7 7700HQ 2.8GHz</v>
      </c>
      <c r="H1201" s="2" t="str">
        <f ca="1">IFERROR(__xludf.DUMMYFUNCTION("""COMPUTED_VALUE"""),"16GB")</f>
        <v>16GB</v>
      </c>
      <c r="I1201" s="2" t="str">
        <f ca="1">IFERROR(__xludf.DUMMYFUNCTION("""COMPUTED_VALUE"""),"256GB SSD +  1TB HDD")</f>
        <v>256GB SSD +  1TB HDD</v>
      </c>
      <c r="J1201" s="2" t="str">
        <f ca="1">IFERROR(__xludf.DUMMYFUNCTION("""COMPUTED_VALUE"""),"Nvidia GeForce GTX 1060")</f>
        <v>Nvidia GeForce GTX 1060</v>
      </c>
      <c r="K1201" s="2" t="str">
        <f ca="1">IFERROR(__xludf.DUMMYFUNCTION("""COMPUTED_VALUE"""),"Windows 10")</f>
        <v>Windows 10</v>
      </c>
      <c r="L1201" s="2" t="str">
        <f ca="1">IFERROR(__xludf.DUMMYFUNCTION("""COMPUTED_VALUE"""),"2.43kg")</f>
        <v>2.43kg</v>
      </c>
      <c r="M1201" s="2">
        <f ca="1">IFERROR(__xludf.DUMMYFUNCTION("""COMPUTED_VALUE"""),2048.9)</f>
        <v>2048.9</v>
      </c>
    </row>
    <row r="1202" spans="1:13">
      <c r="A1202" s="2">
        <f ca="1">IFERROR(__xludf.DUMMYFUNCTION("""COMPUTED_VALUE"""),1218)</f>
        <v>1218</v>
      </c>
      <c r="B1202" s="2" t="str">
        <f ca="1">IFERROR(__xludf.DUMMYFUNCTION("""COMPUTED_VALUE"""),"Dell")</f>
        <v>Dell</v>
      </c>
      <c r="C1202" s="2" t="str">
        <f ca="1">IFERROR(__xludf.DUMMYFUNCTION("""COMPUTED_VALUE"""),"Inspiron 5567")</f>
        <v>Inspiron 5567</v>
      </c>
      <c r="D1202" s="2" t="str">
        <f ca="1">IFERROR(__xludf.DUMMYFUNCTION("""COMPUTED_VALUE"""),"Notebook")</f>
        <v>Notebook</v>
      </c>
      <c r="E1202" s="2">
        <f ca="1">IFERROR(__xludf.DUMMYFUNCTION("""COMPUTED_VALUE"""),15.6)</f>
        <v>15.6</v>
      </c>
      <c r="F1202" s="2" t="str">
        <f ca="1">IFERROR(__xludf.DUMMYFUNCTION("""COMPUTED_VALUE"""),"1366x768")</f>
        <v>1366x768</v>
      </c>
      <c r="G1202" s="2" t="str">
        <f ca="1">IFERROR(__xludf.DUMMYFUNCTION("""COMPUTED_VALUE"""),"Intel Core i3 6006U 2.0GHz")</f>
        <v>Intel Core i3 6006U 2.0GHz</v>
      </c>
      <c r="H1202" s="2" t="str">
        <f ca="1">IFERROR(__xludf.DUMMYFUNCTION("""COMPUTED_VALUE"""),"4GB")</f>
        <v>4GB</v>
      </c>
      <c r="I1202" s="2" t="str">
        <f ca="1">IFERROR(__xludf.DUMMYFUNCTION("""COMPUTED_VALUE"""),"128GB SSD")</f>
        <v>128GB SSD</v>
      </c>
      <c r="J1202" s="2" t="str">
        <f ca="1">IFERROR(__xludf.DUMMYFUNCTION("""COMPUTED_VALUE"""),"AMD Radeon R7 M440")</f>
        <v>AMD Radeon R7 M440</v>
      </c>
      <c r="K1202" s="2" t="str">
        <f ca="1">IFERROR(__xludf.DUMMYFUNCTION("""COMPUTED_VALUE"""),"Windows 10")</f>
        <v>Windows 10</v>
      </c>
      <c r="L1202" s="2" t="str">
        <f ca="1">IFERROR(__xludf.DUMMYFUNCTION("""COMPUTED_VALUE"""),"2.3kg")</f>
        <v>2.3kg</v>
      </c>
      <c r="M1202" s="2">
        <f ca="1">IFERROR(__xludf.DUMMYFUNCTION("""COMPUTED_VALUE"""),499)</f>
        <v>499</v>
      </c>
    </row>
    <row r="1203" spans="1:13">
      <c r="A1203" s="2">
        <f ca="1">IFERROR(__xludf.DUMMYFUNCTION("""COMPUTED_VALUE"""),1219)</f>
        <v>1219</v>
      </c>
      <c r="B1203" s="2" t="str">
        <f ca="1">IFERROR(__xludf.DUMMYFUNCTION("""COMPUTED_VALUE"""),"Lenovo")</f>
        <v>Lenovo</v>
      </c>
      <c r="C1203" s="2" t="str">
        <f ca="1">IFERROR(__xludf.DUMMYFUNCTION("""COMPUTED_VALUE"""),"IdeaPad 310-15ISK")</f>
        <v>IdeaPad 310-15ISK</v>
      </c>
      <c r="D1203" s="2" t="str">
        <f ca="1">IFERROR(__xludf.DUMMYFUNCTION("""COMPUTED_VALUE"""),"Notebook")</f>
        <v>Notebook</v>
      </c>
      <c r="E1203" s="2">
        <f ca="1">IFERROR(__xludf.DUMMYFUNCTION("""COMPUTED_VALUE"""),15.6)</f>
        <v>15.6</v>
      </c>
      <c r="F1203" s="2" t="str">
        <f ca="1">IFERROR(__xludf.DUMMYFUNCTION("""COMPUTED_VALUE"""),"1366x768")</f>
        <v>1366x768</v>
      </c>
      <c r="G1203" s="2" t="str">
        <f ca="1">IFERROR(__xludf.DUMMYFUNCTION("""COMPUTED_VALUE"""),"Intel Core i7 6500U 2.5GHz")</f>
        <v>Intel Core i7 6500U 2.5GHz</v>
      </c>
      <c r="H1203" s="2" t="str">
        <f ca="1">IFERROR(__xludf.DUMMYFUNCTION("""COMPUTED_VALUE"""),"8GB")</f>
        <v>8GB</v>
      </c>
      <c r="I1203" s="2" t="str">
        <f ca="1">IFERROR(__xludf.DUMMYFUNCTION("""COMPUTED_VALUE"""),"500GB HDD")</f>
        <v>500GB HDD</v>
      </c>
      <c r="J1203" s="2" t="str">
        <f ca="1">IFERROR(__xludf.DUMMYFUNCTION("""COMPUTED_VALUE"""),"Nvidia GeForce 920MX")</f>
        <v>Nvidia GeForce 920MX</v>
      </c>
      <c r="K1203" s="2" t="str">
        <f ca="1">IFERROR(__xludf.DUMMYFUNCTION("""COMPUTED_VALUE"""),"No OS")</f>
        <v>No OS</v>
      </c>
      <c r="L1203" s="2" t="str">
        <f ca="1">IFERROR(__xludf.DUMMYFUNCTION("""COMPUTED_VALUE"""),"2.2kg")</f>
        <v>2.2kg</v>
      </c>
      <c r="M1203" s="2">
        <f ca="1">IFERROR(__xludf.DUMMYFUNCTION("""COMPUTED_VALUE"""),629)</f>
        <v>629</v>
      </c>
    </row>
    <row r="1204" spans="1:13">
      <c r="A1204" s="2">
        <f ca="1">IFERROR(__xludf.DUMMYFUNCTION("""COMPUTED_VALUE"""),1220)</f>
        <v>1220</v>
      </c>
      <c r="B1204" s="2" t="str">
        <f ca="1">IFERROR(__xludf.DUMMYFUNCTION("""COMPUTED_VALUE"""),"Dell")</f>
        <v>Dell</v>
      </c>
      <c r="C1204" s="2" t="str">
        <f ca="1">IFERROR(__xludf.DUMMYFUNCTION("""COMPUTED_VALUE"""),"Inspiron 5579")</f>
        <v>Inspiron 5579</v>
      </c>
      <c r="D1204" s="2" t="str">
        <f ca="1">IFERROR(__xludf.DUMMYFUNCTION("""COMPUTED_VALUE"""),"2 in 1 Convertible")</f>
        <v>2 in 1 Convertible</v>
      </c>
      <c r="E1204" s="2">
        <f ca="1">IFERROR(__xludf.DUMMYFUNCTION("""COMPUTED_VALUE"""),15.6)</f>
        <v>15.6</v>
      </c>
      <c r="F1204" s="2" t="str">
        <f ca="1">IFERROR(__xludf.DUMMYFUNCTION("""COMPUTED_VALUE"""),"Full HD / Touchscreen 1920x1080")</f>
        <v>Full HD / Touchscreen 1920x1080</v>
      </c>
      <c r="G1204" s="2" t="str">
        <f ca="1">IFERROR(__xludf.DUMMYFUNCTION("""COMPUTED_VALUE"""),"Intel Core i7 8550U 1.8GHz")</f>
        <v>Intel Core i7 8550U 1.8GHz</v>
      </c>
      <c r="H1204" s="2" t="str">
        <f ca="1">IFERROR(__xludf.DUMMYFUNCTION("""COMPUTED_VALUE"""),"16GB")</f>
        <v>16GB</v>
      </c>
      <c r="I1204" s="2" t="str">
        <f ca="1">IFERROR(__xludf.DUMMYFUNCTION("""COMPUTED_VALUE"""),"512GB SSD")</f>
        <v>512GB SSD</v>
      </c>
      <c r="J1204" s="2" t="str">
        <f ca="1">IFERROR(__xludf.DUMMYFUNCTION("""COMPUTED_VALUE"""),"Intel UHD Graphics 620")</f>
        <v>Intel UHD Graphics 620</v>
      </c>
      <c r="K1204" s="2" t="str">
        <f ca="1">IFERROR(__xludf.DUMMYFUNCTION("""COMPUTED_VALUE"""),"Windows 10")</f>
        <v>Windows 10</v>
      </c>
      <c r="L1204" s="2" t="str">
        <f ca="1">IFERROR(__xludf.DUMMYFUNCTION("""COMPUTED_VALUE"""),"2kg")</f>
        <v>2kg</v>
      </c>
      <c r="M1204" s="2">
        <f ca="1">IFERROR(__xludf.DUMMYFUNCTION("""COMPUTED_VALUE"""),1285)</f>
        <v>1285</v>
      </c>
    </row>
    <row r="1205" spans="1:13">
      <c r="A1205" s="2">
        <f ca="1">IFERROR(__xludf.DUMMYFUNCTION("""COMPUTED_VALUE"""),1221)</f>
        <v>1221</v>
      </c>
      <c r="B1205" s="2" t="str">
        <f ca="1">IFERROR(__xludf.DUMMYFUNCTION("""COMPUTED_VALUE"""),"Dell")</f>
        <v>Dell</v>
      </c>
      <c r="C1205" s="2" t="str">
        <f ca="1">IFERROR(__xludf.DUMMYFUNCTION("""COMPUTED_VALUE"""),"XPS 13")</f>
        <v>XPS 13</v>
      </c>
      <c r="D1205" s="2" t="str">
        <f ca="1">IFERROR(__xludf.DUMMYFUNCTION("""COMPUTED_VALUE"""),"Ultrabook")</f>
        <v>Ultrabook</v>
      </c>
      <c r="E1205" s="2">
        <f ca="1">IFERROR(__xludf.DUMMYFUNCTION("""COMPUTED_VALUE"""),13.3)</f>
        <v>13.3</v>
      </c>
      <c r="F1205" s="2" t="str">
        <f ca="1">IFERROR(__xludf.DUMMYFUNCTION("""COMPUTED_VALUE"""),"Quad HD+ / Touchscreen 3200x1800")</f>
        <v>Quad HD+ / Touchscreen 3200x1800</v>
      </c>
      <c r="G1205" s="2" t="str">
        <f ca="1">IFERROR(__xludf.DUMMYFUNCTION("""COMPUTED_VALUE"""),"Intel Core i7 7500U 2.7GHz")</f>
        <v>Intel Core i7 7500U 2.7GHz</v>
      </c>
      <c r="H1205" s="2" t="str">
        <f ca="1">IFERROR(__xludf.DUMMYFUNCTION("""COMPUTED_VALUE"""),"16GB")</f>
        <v>16GB</v>
      </c>
      <c r="I1205" s="2" t="str">
        <f ca="1">IFERROR(__xludf.DUMMYFUNCTION("""COMPUTED_VALUE"""),"512GB SSD")</f>
        <v>512GB SSD</v>
      </c>
      <c r="J1205" s="2" t="str">
        <f ca="1">IFERROR(__xludf.DUMMYFUNCTION("""COMPUTED_VALUE"""),"Intel HD Graphics 620")</f>
        <v>Intel HD Graphics 620</v>
      </c>
      <c r="K1205" s="2" t="str">
        <f ca="1">IFERROR(__xludf.DUMMYFUNCTION("""COMPUTED_VALUE"""),"Windows 10")</f>
        <v>Windows 10</v>
      </c>
      <c r="L1205" s="2" t="str">
        <f ca="1">IFERROR(__xludf.DUMMYFUNCTION("""COMPUTED_VALUE"""),"1.2kg")</f>
        <v>1.2kg</v>
      </c>
      <c r="M1205" s="2">
        <f ca="1">IFERROR(__xludf.DUMMYFUNCTION("""COMPUTED_VALUE"""),2680)</f>
        <v>2680</v>
      </c>
    </row>
    <row r="1206" spans="1:13">
      <c r="A1206" s="2">
        <f ca="1">IFERROR(__xludf.DUMMYFUNCTION("""COMPUTED_VALUE"""),1222)</f>
        <v>1222</v>
      </c>
      <c r="B1206" s="2" t="str">
        <f ca="1">IFERROR(__xludf.DUMMYFUNCTION("""COMPUTED_VALUE"""),"Asus")</f>
        <v>Asus</v>
      </c>
      <c r="C1206" s="2" t="str">
        <f ca="1">IFERROR(__xludf.DUMMYFUNCTION("""COMPUTED_VALUE"""),"FX502VM-DM105T (i7-6700HQ/8GB/1TB/GeForce")</f>
        <v>FX502VM-DM105T (i7-6700HQ/8GB/1TB/GeForce</v>
      </c>
      <c r="D1206" s="2" t="str">
        <f ca="1">IFERROR(__xludf.DUMMYFUNCTION("""COMPUTED_VALUE"""),"Gaming")</f>
        <v>Gaming</v>
      </c>
      <c r="E1206" s="2">
        <f ca="1">IFERROR(__xludf.DUMMYFUNCTION("""COMPUTED_VALUE"""),15.6)</f>
        <v>15.6</v>
      </c>
      <c r="F1206" s="2" t="str">
        <f ca="1">IFERROR(__xludf.DUMMYFUNCTION("""COMPUTED_VALUE"""),"Full HD 1920x1080")</f>
        <v>Full HD 1920x1080</v>
      </c>
      <c r="G1206" s="2" t="str">
        <f ca="1">IFERROR(__xludf.DUMMYFUNCTION("""COMPUTED_VALUE"""),"Intel Core i7 6700HQ 2.6GHz")</f>
        <v>Intel Core i7 6700HQ 2.6GHz</v>
      </c>
      <c r="H1206" s="2" t="str">
        <f ca="1">IFERROR(__xludf.DUMMYFUNCTION("""COMPUTED_VALUE"""),"8GB")</f>
        <v>8GB</v>
      </c>
      <c r="I1206" s="2" t="str">
        <f ca="1">IFERROR(__xludf.DUMMYFUNCTION("""COMPUTED_VALUE"""),"1TB HDD")</f>
        <v>1TB HDD</v>
      </c>
      <c r="J1206" s="2" t="str">
        <f ca="1">IFERROR(__xludf.DUMMYFUNCTION("""COMPUTED_VALUE"""),"Nvidia GeForce GTX 1060")</f>
        <v>Nvidia GeForce GTX 1060</v>
      </c>
      <c r="K1206" s="2" t="str">
        <f ca="1">IFERROR(__xludf.DUMMYFUNCTION("""COMPUTED_VALUE"""),"Windows 10")</f>
        <v>Windows 10</v>
      </c>
      <c r="L1206" s="2" t="str">
        <f ca="1">IFERROR(__xludf.DUMMYFUNCTION("""COMPUTED_VALUE"""),"2.2kg")</f>
        <v>2.2kg</v>
      </c>
      <c r="M1206" s="2">
        <f ca="1">IFERROR(__xludf.DUMMYFUNCTION("""COMPUTED_VALUE"""),1169)</f>
        <v>1169</v>
      </c>
    </row>
    <row r="1207" spans="1:13">
      <c r="A1207" s="2">
        <f ca="1">IFERROR(__xludf.DUMMYFUNCTION("""COMPUTED_VALUE"""),1223)</f>
        <v>1223</v>
      </c>
      <c r="B1207" s="2" t="str">
        <f ca="1">IFERROR(__xludf.DUMMYFUNCTION("""COMPUTED_VALUE"""),"Dell")</f>
        <v>Dell</v>
      </c>
      <c r="C1207" s="2" t="str">
        <f ca="1">IFERROR(__xludf.DUMMYFUNCTION("""COMPUTED_VALUE"""),"Inspiron 5567")</f>
        <v>Inspiron 5567</v>
      </c>
      <c r="D1207" s="2" t="str">
        <f ca="1">IFERROR(__xludf.DUMMYFUNCTION("""COMPUTED_VALUE"""),"Notebook")</f>
        <v>Notebook</v>
      </c>
      <c r="E1207" s="2">
        <f ca="1">IFERROR(__xludf.DUMMYFUNCTION("""COMPUTED_VALUE"""),15.6)</f>
        <v>15.6</v>
      </c>
      <c r="F1207" s="2" t="str">
        <f ca="1">IFERROR(__xludf.DUMMYFUNCTION("""COMPUTED_VALUE"""),"Full HD 1920x1080")</f>
        <v>Full HD 1920x1080</v>
      </c>
      <c r="G1207" s="2" t="str">
        <f ca="1">IFERROR(__xludf.DUMMYFUNCTION("""COMPUTED_VALUE"""),"Intel Core i5 7200U 2.5GHz")</f>
        <v>Intel Core i5 7200U 2.5GHz</v>
      </c>
      <c r="H1207" s="2" t="str">
        <f ca="1">IFERROR(__xludf.DUMMYFUNCTION("""COMPUTED_VALUE"""),"8GB")</f>
        <v>8GB</v>
      </c>
      <c r="I1207" s="2" t="str">
        <f ca="1">IFERROR(__xludf.DUMMYFUNCTION("""COMPUTED_VALUE"""),"256GB SSD")</f>
        <v>256GB SSD</v>
      </c>
      <c r="J1207" s="2" t="str">
        <f ca="1">IFERROR(__xludf.DUMMYFUNCTION("""COMPUTED_VALUE"""),"AMD Radeon R7 M445")</f>
        <v>AMD Radeon R7 M445</v>
      </c>
      <c r="K1207" s="2" t="str">
        <f ca="1">IFERROR(__xludf.DUMMYFUNCTION("""COMPUTED_VALUE"""),"Windows 10")</f>
        <v>Windows 10</v>
      </c>
      <c r="L1207" s="2" t="str">
        <f ca="1">IFERROR(__xludf.DUMMYFUNCTION("""COMPUTED_VALUE"""),"2.36kg")</f>
        <v>2.36kg</v>
      </c>
      <c r="M1207" s="2">
        <f ca="1">IFERROR(__xludf.DUMMYFUNCTION("""COMPUTED_VALUE"""),889)</f>
        <v>889</v>
      </c>
    </row>
    <row r="1208" spans="1:13">
      <c r="A1208" s="2">
        <f ca="1">IFERROR(__xludf.DUMMYFUNCTION("""COMPUTED_VALUE"""),1224)</f>
        <v>1224</v>
      </c>
      <c r="B1208" s="2" t="str">
        <f ca="1">IFERROR(__xludf.DUMMYFUNCTION("""COMPUTED_VALUE"""),"HP")</f>
        <v>HP</v>
      </c>
      <c r="C1208" s="2" t="str">
        <f ca="1">IFERROR(__xludf.DUMMYFUNCTION("""COMPUTED_VALUE"""),"15-bs025nv (i5-7200U/8GB/256GB/W10)")</f>
        <v>15-bs025nv (i5-7200U/8GB/256GB/W10)</v>
      </c>
      <c r="D1208" s="2" t="str">
        <f ca="1">IFERROR(__xludf.DUMMYFUNCTION("""COMPUTED_VALUE"""),"Notebook")</f>
        <v>Notebook</v>
      </c>
      <c r="E1208" s="2">
        <f ca="1">IFERROR(__xludf.DUMMYFUNCTION("""COMPUTED_VALUE"""),15.6)</f>
        <v>15.6</v>
      </c>
      <c r="F1208" s="2" t="str">
        <f ca="1">IFERROR(__xludf.DUMMYFUNCTION("""COMPUTED_VALUE"""),"1366x768")</f>
        <v>1366x768</v>
      </c>
      <c r="G1208" s="2" t="str">
        <f ca="1">IFERROR(__xludf.DUMMYFUNCTION("""COMPUTED_VALUE"""),"Intel Core i5 7200U 2.5GHz")</f>
        <v>Intel Core i5 7200U 2.5GHz</v>
      </c>
      <c r="H1208" s="2" t="str">
        <f ca="1">IFERROR(__xludf.DUMMYFUNCTION("""COMPUTED_VALUE"""),"8GB")</f>
        <v>8GB</v>
      </c>
      <c r="I1208" s="2" t="str">
        <f ca="1">IFERROR(__xludf.DUMMYFUNCTION("""COMPUTED_VALUE"""),"256GB SSD")</f>
        <v>256GB SSD</v>
      </c>
      <c r="J1208" s="2" t="str">
        <f ca="1">IFERROR(__xludf.DUMMYFUNCTION("""COMPUTED_VALUE"""),"Intel HD Graphics 620")</f>
        <v>Intel HD Graphics 620</v>
      </c>
      <c r="K1208" s="2" t="str">
        <f ca="1">IFERROR(__xludf.DUMMYFUNCTION("""COMPUTED_VALUE"""),"Windows 10")</f>
        <v>Windows 10</v>
      </c>
      <c r="L1208" s="2" t="str">
        <f ca="1">IFERROR(__xludf.DUMMYFUNCTION("""COMPUTED_VALUE"""),"1.91kg")</f>
        <v>1.91kg</v>
      </c>
      <c r="M1208" s="2">
        <f ca="1">IFERROR(__xludf.DUMMYFUNCTION("""COMPUTED_VALUE"""),579)</f>
        <v>579</v>
      </c>
    </row>
    <row r="1209" spans="1:13">
      <c r="A1209" s="2">
        <f ca="1">IFERROR(__xludf.DUMMYFUNCTION("""COMPUTED_VALUE"""),1225)</f>
        <v>1225</v>
      </c>
      <c r="B1209" s="2" t="str">
        <f ca="1">IFERROR(__xludf.DUMMYFUNCTION("""COMPUTED_VALUE"""),"Lenovo")</f>
        <v>Lenovo</v>
      </c>
      <c r="C1209" s="2" t="str">
        <f ca="1">IFERROR(__xludf.DUMMYFUNCTION("""COMPUTED_VALUE"""),"IdeaPad 320-15AST")</f>
        <v>IdeaPad 320-15AST</v>
      </c>
      <c r="D1209" s="2" t="str">
        <f ca="1">IFERROR(__xludf.DUMMYFUNCTION("""COMPUTED_VALUE"""),"Notebook")</f>
        <v>Notebook</v>
      </c>
      <c r="E1209" s="2">
        <f ca="1">IFERROR(__xludf.DUMMYFUNCTION("""COMPUTED_VALUE"""),15.6)</f>
        <v>15.6</v>
      </c>
      <c r="F1209" s="2" t="str">
        <f ca="1">IFERROR(__xludf.DUMMYFUNCTION("""COMPUTED_VALUE"""),"1366x768")</f>
        <v>1366x768</v>
      </c>
      <c r="G1209" s="2" t="str">
        <f ca="1">IFERROR(__xludf.DUMMYFUNCTION("""COMPUTED_VALUE"""),"AMD E-Series 9000 2.2GHz")</f>
        <v>AMD E-Series 9000 2.2GHz</v>
      </c>
      <c r="H1209" s="2" t="str">
        <f ca="1">IFERROR(__xludf.DUMMYFUNCTION("""COMPUTED_VALUE"""),"4GB")</f>
        <v>4GB</v>
      </c>
      <c r="I1209" s="2" t="str">
        <f ca="1">IFERROR(__xludf.DUMMYFUNCTION("""COMPUTED_VALUE"""),"500GB HDD")</f>
        <v>500GB HDD</v>
      </c>
      <c r="J1209" s="2" t="str">
        <f ca="1">IFERROR(__xludf.DUMMYFUNCTION("""COMPUTED_VALUE"""),"AMD Radeon R2 Graphics")</f>
        <v>AMD Radeon R2 Graphics</v>
      </c>
      <c r="K1209" s="2" t="str">
        <f ca="1">IFERROR(__xludf.DUMMYFUNCTION("""COMPUTED_VALUE"""),"Windows 10")</f>
        <v>Windows 10</v>
      </c>
      <c r="L1209" s="2" t="str">
        <f ca="1">IFERROR(__xludf.DUMMYFUNCTION("""COMPUTED_VALUE"""),"2.2kg")</f>
        <v>2.2kg</v>
      </c>
      <c r="M1209" s="2">
        <f ca="1">IFERROR(__xludf.DUMMYFUNCTION("""COMPUTED_VALUE"""),299)</f>
        <v>299</v>
      </c>
    </row>
    <row r="1210" spans="1:13">
      <c r="A1210" s="2">
        <f ca="1">IFERROR(__xludf.DUMMYFUNCTION("""COMPUTED_VALUE"""),1226)</f>
        <v>1226</v>
      </c>
      <c r="B1210" s="2" t="str">
        <f ca="1">IFERROR(__xludf.DUMMYFUNCTION("""COMPUTED_VALUE"""),"Acer")</f>
        <v>Acer</v>
      </c>
      <c r="C1210" s="2" t="str">
        <f ca="1">IFERROR(__xludf.DUMMYFUNCTION("""COMPUTED_VALUE"""),"Aspire E5-774G")</f>
        <v>Aspire E5-774G</v>
      </c>
      <c r="D1210" s="2" t="str">
        <f ca="1">IFERROR(__xludf.DUMMYFUNCTION("""COMPUTED_VALUE"""),"Notebook")</f>
        <v>Notebook</v>
      </c>
      <c r="E1210" s="2">
        <f ca="1">IFERROR(__xludf.DUMMYFUNCTION("""COMPUTED_VALUE"""),17.3)</f>
        <v>17.3</v>
      </c>
      <c r="F1210" s="2" t="str">
        <f ca="1">IFERROR(__xludf.DUMMYFUNCTION("""COMPUTED_VALUE"""),"1600x900")</f>
        <v>1600x900</v>
      </c>
      <c r="G1210" s="2" t="str">
        <f ca="1">IFERROR(__xludf.DUMMYFUNCTION("""COMPUTED_VALUE"""),"Intel Core i3 6006U 2.0GHz")</f>
        <v>Intel Core i3 6006U 2.0GHz</v>
      </c>
      <c r="H1210" s="2" t="str">
        <f ca="1">IFERROR(__xludf.DUMMYFUNCTION("""COMPUTED_VALUE"""),"8GB")</f>
        <v>8GB</v>
      </c>
      <c r="I1210" s="2" t="str">
        <f ca="1">IFERROR(__xludf.DUMMYFUNCTION("""COMPUTED_VALUE"""),"1TB HDD")</f>
        <v>1TB HDD</v>
      </c>
      <c r="J1210" s="2" t="str">
        <f ca="1">IFERROR(__xludf.DUMMYFUNCTION("""COMPUTED_VALUE"""),"Nvidia GeForce 940MX")</f>
        <v>Nvidia GeForce 940MX</v>
      </c>
      <c r="K1210" s="2" t="str">
        <f ca="1">IFERROR(__xludf.DUMMYFUNCTION("""COMPUTED_VALUE"""),"Windows 10")</f>
        <v>Windows 10</v>
      </c>
      <c r="L1210" s="2" t="str">
        <f ca="1">IFERROR(__xludf.DUMMYFUNCTION("""COMPUTED_VALUE"""),"3.3kg")</f>
        <v>3.3kg</v>
      </c>
      <c r="M1210" s="2">
        <f ca="1">IFERROR(__xludf.DUMMYFUNCTION("""COMPUTED_VALUE"""),629)</f>
        <v>629</v>
      </c>
    </row>
    <row r="1211" spans="1:13">
      <c r="A1211" s="2">
        <f ca="1">IFERROR(__xludf.DUMMYFUNCTION("""COMPUTED_VALUE"""),1227)</f>
        <v>1227</v>
      </c>
      <c r="B1211" s="2" t="str">
        <f ca="1">IFERROR(__xludf.DUMMYFUNCTION("""COMPUTED_VALUE"""),"Asus")</f>
        <v>Asus</v>
      </c>
      <c r="C1211" s="2" t="str">
        <f ca="1">IFERROR(__xludf.DUMMYFUNCTION("""COMPUTED_VALUE"""),"Rog Strix")</f>
        <v>Rog Strix</v>
      </c>
      <c r="D1211" s="2" t="str">
        <f ca="1">IFERROR(__xludf.DUMMYFUNCTION("""COMPUTED_VALUE"""),"Gaming")</f>
        <v>Gaming</v>
      </c>
      <c r="E1211" s="2">
        <f ca="1">IFERROR(__xludf.DUMMYFUNCTION("""COMPUTED_VALUE"""),15.6)</f>
        <v>15.6</v>
      </c>
      <c r="F1211" s="2" t="str">
        <f ca="1">IFERROR(__xludf.DUMMYFUNCTION("""COMPUTED_VALUE"""),"Full HD 1920x1080")</f>
        <v>Full HD 1920x1080</v>
      </c>
      <c r="G1211" s="2" t="str">
        <f ca="1">IFERROR(__xludf.DUMMYFUNCTION("""COMPUTED_VALUE"""),"Intel Core i7 7700HQ 2.8GHz")</f>
        <v>Intel Core i7 7700HQ 2.8GHz</v>
      </c>
      <c r="H1211" s="2" t="str">
        <f ca="1">IFERROR(__xludf.DUMMYFUNCTION("""COMPUTED_VALUE"""),"16GB")</f>
        <v>16GB</v>
      </c>
      <c r="I1211" s="2" t="str">
        <f ca="1">IFERROR(__xludf.DUMMYFUNCTION("""COMPUTED_VALUE"""),"256GB SSD +  1TB HDD")</f>
        <v>256GB SSD +  1TB HDD</v>
      </c>
      <c r="J1211" s="2" t="str">
        <f ca="1">IFERROR(__xludf.DUMMYFUNCTION("""COMPUTED_VALUE"""),"Nvidia GeForce GTX 1070")</f>
        <v>Nvidia GeForce GTX 1070</v>
      </c>
      <c r="K1211" s="2" t="str">
        <f ca="1">IFERROR(__xludf.DUMMYFUNCTION("""COMPUTED_VALUE"""),"Windows 10")</f>
        <v>Windows 10</v>
      </c>
      <c r="L1211" s="2" t="str">
        <f ca="1">IFERROR(__xludf.DUMMYFUNCTION("""COMPUTED_VALUE"""),"2.2kg")</f>
        <v>2.2kg</v>
      </c>
      <c r="M1211" s="2">
        <f ca="1">IFERROR(__xludf.DUMMYFUNCTION("""COMPUTED_VALUE"""),2449)</f>
        <v>2449</v>
      </c>
    </row>
    <row r="1212" spans="1:13">
      <c r="A1212" s="2">
        <f ca="1">IFERROR(__xludf.DUMMYFUNCTION("""COMPUTED_VALUE"""),1228)</f>
        <v>1228</v>
      </c>
      <c r="B1212" s="2" t="str">
        <f ca="1">IFERROR(__xludf.DUMMYFUNCTION("""COMPUTED_VALUE"""),"Apple")</f>
        <v>Apple</v>
      </c>
      <c r="C1212" s="2" t="str">
        <f ca="1">IFERROR(__xludf.DUMMYFUNCTION("""COMPUTED_VALUE"""),"MacBook 12""")</f>
        <v>MacBook 12"</v>
      </c>
      <c r="D1212" s="2" t="str">
        <f ca="1">IFERROR(__xludf.DUMMYFUNCTION("""COMPUTED_VALUE"""),"Ultrabook")</f>
        <v>Ultrabook</v>
      </c>
      <c r="E1212" s="2">
        <f ca="1">IFERROR(__xludf.DUMMYFUNCTION("""COMPUTED_VALUE"""),12)</f>
        <v>12</v>
      </c>
      <c r="F1212" s="2" t="str">
        <f ca="1">IFERROR(__xludf.DUMMYFUNCTION("""COMPUTED_VALUE"""),"IPS Panel Retina Display 2304x1440")</f>
        <v>IPS Panel Retina Display 2304x1440</v>
      </c>
      <c r="G1212" s="2" t="str">
        <f ca="1">IFERROR(__xludf.DUMMYFUNCTION("""COMPUTED_VALUE"""),"Intel Core M 1.2GHz")</f>
        <v>Intel Core M 1.2GHz</v>
      </c>
      <c r="H1212" s="2" t="str">
        <f ca="1">IFERROR(__xludf.DUMMYFUNCTION("""COMPUTED_VALUE"""),"8GB")</f>
        <v>8GB</v>
      </c>
      <c r="I1212" s="2" t="str">
        <f ca="1">IFERROR(__xludf.DUMMYFUNCTION("""COMPUTED_VALUE"""),"512GB Flash Storage")</f>
        <v>512GB Flash Storage</v>
      </c>
      <c r="J1212" s="2" t="str">
        <f ca="1">IFERROR(__xludf.DUMMYFUNCTION("""COMPUTED_VALUE"""),"Intel HD Graphics 515")</f>
        <v>Intel HD Graphics 515</v>
      </c>
      <c r="K1212" s="2" t="str">
        <f ca="1">IFERROR(__xludf.DUMMYFUNCTION("""COMPUTED_VALUE"""),"Mac OS X")</f>
        <v>Mac OS X</v>
      </c>
      <c r="L1212" s="2" t="str">
        <f ca="1">IFERROR(__xludf.DUMMYFUNCTION("""COMPUTED_VALUE"""),"0.920kg")</f>
        <v>0.920kg</v>
      </c>
      <c r="M1212" s="2">
        <f ca="1">IFERROR(__xludf.DUMMYFUNCTION("""COMPUTED_VALUE"""),1279)</f>
        <v>1279</v>
      </c>
    </row>
    <row r="1213" spans="1:13">
      <c r="A1213" s="2">
        <f ca="1">IFERROR(__xludf.DUMMYFUNCTION("""COMPUTED_VALUE"""),1229)</f>
        <v>1229</v>
      </c>
      <c r="B1213" s="2" t="str">
        <f ca="1">IFERROR(__xludf.DUMMYFUNCTION("""COMPUTED_VALUE"""),"Asus")</f>
        <v>Asus</v>
      </c>
      <c r="C1213" s="2" t="str">
        <f ca="1">IFERROR(__xludf.DUMMYFUNCTION("""COMPUTED_VALUE"""),"FX502VM-AS73 (i7-7700HQ/16GB/1TB")</f>
        <v>FX502VM-AS73 (i7-7700HQ/16GB/1TB</v>
      </c>
      <c r="D1213" s="2" t="str">
        <f ca="1">IFERROR(__xludf.DUMMYFUNCTION("""COMPUTED_VALUE"""),"Notebook")</f>
        <v>Notebook</v>
      </c>
      <c r="E1213" s="2">
        <f ca="1">IFERROR(__xludf.DUMMYFUNCTION("""COMPUTED_VALUE"""),15.6)</f>
        <v>15.6</v>
      </c>
      <c r="F1213" s="2" t="str">
        <f ca="1">IFERROR(__xludf.DUMMYFUNCTION("""COMPUTED_VALUE"""),"Full HD 1920x1080")</f>
        <v>Full HD 1920x1080</v>
      </c>
      <c r="G1213" s="2" t="str">
        <f ca="1">IFERROR(__xludf.DUMMYFUNCTION("""COMPUTED_VALUE"""),"Intel Core i7 7700HQ 2.8GHz")</f>
        <v>Intel Core i7 7700HQ 2.8GHz</v>
      </c>
      <c r="H1213" s="2" t="str">
        <f ca="1">IFERROR(__xludf.DUMMYFUNCTION("""COMPUTED_VALUE"""),"16GB")</f>
        <v>16GB</v>
      </c>
      <c r="I1213" s="2" t="str">
        <f ca="1">IFERROR(__xludf.DUMMYFUNCTION("""COMPUTED_VALUE"""),"128GB SSD +  1TB HDD")</f>
        <v>128GB SSD +  1TB HDD</v>
      </c>
      <c r="J1213" s="2" t="str">
        <f ca="1">IFERROR(__xludf.DUMMYFUNCTION("""COMPUTED_VALUE"""),"Nvidia GeForce GTX 1060")</f>
        <v>Nvidia GeForce GTX 1060</v>
      </c>
      <c r="K1213" s="2" t="str">
        <f ca="1">IFERROR(__xludf.DUMMYFUNCTION("""COMPUTED_VALUE"""),"Windows 10")</f>
        <v>Windows 10</v>
      </c>
      <c r="L1213" s="2" t="str">
        <f ca="1">IFERROR(__xludf.DUMMYFUNCTION("""COMPUTED_VALUE"""),"2.2kg")</f>
        <v>2.2kg</v>
      </c>
      <c r="M1213" s="2">
        <f ca="1">IFERROR(__xludf.DUMMYFUNCTION("""COMPUTED_VALUE"""),1749)</f>
        <v>1749</v>
      </c>
    </row>
    <row r="1214" spans="1:13">
      <c r="A1214" s="2">
        <f ca="1">IFERROR(__xludf.DUMMYFUNCTION("""COMPUTED_VALUE"""),1230)</f>
        <v>1230</v>
      </c>
      <c r="B1214" s="2" t="str">
        <f ca="1">IFERROR(__xludf.DUMMYFUNCTION("""COMPUTED_VALUE"""),"MSI")</f>
        <v>MSI</v>
      </c>
      <c r="C1214" s="2" t="str">
        <f ca="1">IFERROR(__xludf.DUMMYFUNCTION("""COMPUTED_VALUE"""),"GS73VR Stealth")</f>
        <v>GS73VR Stealth</v>
      </c>
      <c r="D1214" s="2" t="str">
        <f ca="1">IFERROR(__xludf.DUMMYFUNCTION("""COMPUTED_VALUE"""),"Gaming")</f>
        <v>Gaming</v>
      </c>
      <c r="E1214" s="2">
        <f ca="1">IFERROR(__xludf.DUMMYFUNCTION("""COMPUTED_VALUE"""),17.3)</f>
        <v>17.3</v>
      </c>
      <c r="F1214" s="2" t="str">
        <f ca="1">IFERROR(__xludf.DUMMYFUNCTION("""COMPUTED_VALUE"""),"IPS Panel Full HD 1920x1080")</f>
        <v>IPS Panel Full HD 1920x1080</v>
      </c>
      <c r="G1214" s="2" t="str">
        <f ca="1">IFERROR(__xludf.DUMMYFUNCTION("""COMPUTED_VALUE"""),"Intel Core i7 6700HQ 2.6GHz")</f>
        <v>Intel Core i7 6700HQ 2.6GHz</v>
      </c>
      <c r="H1214" s="2" t="str">
        <f ca="1">IFERROR(__xludf.DUMMYFUNCTION("""COMPUTED_VALUE"""),"16GB")</f>
        <v>16GB</v>
      </c>
      <c r="I1214" s="2" t="str">
        <f ca="1">IFERROR(__xludf.DUMMYFUNCTION("""COMPUTED_VALUE"""),"256GB SSD +  1TB HDD")</f>
        <v>256GB SSD +  1TB HDD</v>
      </c>
      <c r="J1214" s="2" t="str">
        <f ca="1">IFERROR(__xludf.DUMMYFUNCTION("""COMPUTED_VALUE"""),"Nvidia GeForce GTX 1060")</f>
        <v>Nvidia GeForce GTX 1060</v>
      </c>
      <c r="K1214" s="2" t="str">
        <f ca="1">IFERROR(__xludf.DUMMYFUNCTION("""COMPUTED_VALUE"""),"Windows 10")</f>
        <v>Windows 10</v>
      </c>
      <c r="L1214" s="2" t="str">
        <f ca="1">IFERROR(__xludf.DUMMYFUNCTION("""COMPUTED_VALUE"""),"2.43kg")</f>
        <v>2.43kg</v>
      </c>
      <c r="M1214" s="2">
        <f ca="1">IFERROR(__xludf.DUMMYFUNCTION("""COMPUTED_VALUE"""),1948.99)</f>
        <v>1948.99</v>
      </c>
    </row>
    <row r="1215" spans="1:13">
      <c r="A1215" s="2">
        <f ca="1">IFERROR(__xludf.DUMMYFUNCTION("""COMPUTED_VALUE"""),1231)</f>
        <v>1231</v>
      </c>
      <c r="B1215" s="2" t="str">
        <f ca="1">IFERROR(__xludf.DUMMYFUNCTION("""COMPUTED_VALUE"""),"Dell")</f>
        <v>Dell</v>
      </c>
      <c r="C1215" s="2" t="str">
        <f ca="1">IFERROR(__xludf.DUMMYFUNCTION("""COMPUTED_VALUE"""),"Inspiron 7579")</f>
        <v>Inspiron 7579</v>
      </c>
      <c r="D1215" s="2" t="str">
        <f ca="1">IFERROR(__xludf.DUMMYFUNCTION("""COMPUTED_VALUE"""),"2 in 1 Convertible")</f>
        <v>2 in 1 Convertible</v>
      </c>
      <c r="E1215" s="2">
        <f ca="1">IFERROR(__xludf.DUMMYFUNCTION("""COMPUTED_VALUE"""),15.6)</f>
        <v>15.6</v>
      </c>
      <c r="F1215" s="2" t="str">
        <f ca="1">IFERROR(__xludf.DUMMYFUNCTION("""COMPUTED_VALUE"""),"IPS Panel Full HD / Touchscreen 1920x1080")</f>
        <v>IPS Panel Full HD / Touchscreen 1920x1080</v>
      </c>
      <c r="G1215" s="2" t="str">
        <f ca="1">IFERROR(__xludf.DUMMYFUNCTION("""COMPUTED_VALUE"""),"Intel Core i5 7200U 2.5GHz")</f>
        <v>Intel Core i5 7200U 2.5GHz</v>
      </c>
      <c r="H1215" s="2" t="str">
        <f ca="1">IFERROR(__xludf.DUMMYFUNCTION("""COMPUTED_VALUE"""),"8GB")</f>
        <v>8GB</v>
      </c>
      <c r="I1215" s="2" t="str">
        <f ca="1">IFERROR(__xludf.DUMMYFUNCTION("""COMPUTED_VALUE"""),"256GB SSD")</f>
        <v>256GB SSD</v>
      </c>
      <c r="J1215" s="2" t="str">
        <f ca="1">IFERROR(__xludf.DUMMYFUNCTION("""COMPUTED_VALUE"""),"Intel HD Graphics 620")</f>
        <v>Intel HD Graphics 620</v>
      </c>
      <c r="K1215" s="2" t="str">
        <f ca="1">IFERROR(__xludf.DUMMYFUNCTION("""COMPUTED_VALUE"""),"Windows 10")</f>
        <v>Windows 10</v>
      </c>
      <c r="L1215" s="2" t="str">
        <f ca="1">IFERROR(__xludf.DUMMYFUNCTION("""COMPUTED_VALUE"""),"2.191kg")</f>
        <v>2.191kg</v>
      </c>
      <c r="M1215" s="2">
        <f ca="1">IFERROR(__xludf.DUMMYFUNCTION("""COMPUTED_VALUE"""),999)</f>
        <v>999</v>
      </c>
    </row>
    <row r="1216" spans="1:13">
      <c r="A1216" s="2">
        <f ca="1">IFERROR(__xludf.DUMMYFUNCTION("""COMPUTED_VALUE"""),1232)</f>
        <v>1232</v>
      </c>
      <c r="B1216" s="2" t="str">
        <f ca="1">IFERROR(__xludf.DUMMYFUNCTION("""COMPUTED_VALUE"""),"Asus")</f>
        <v>Asus</v>
      </c>
      <c r="C1216" s="2" t="str">
        <f ca="1">IFERROR(__xludf.DUMMYFUNCTION("""COMPUTED_VALUE"""),"ROG Strix")</f>
        <v>ROG Strix</v>
      </c>
      <c r="D1216" s="2" t="str">
        <f ca="1">IFERROR(__xludf.DUMMYFUNCTION("""COMPUTED_VALUE"""),"Gaming")</f>
        <v>Gaming</v>
      </c>
      <c r="E1216" s="2">
        <f ca="1">IFERROR(__xludf.DUMMYFUNCTION("""COMPUTED_VALUE"""),17.3)</f>
        <v>17.3</v>
      </c>
      <c r="F1216" s="2" t="str">
        <f ca="1">IFERROR(__xludf.DUMMYFUNCTION("""COMPUTED_VALUE"""),"Full HD 1920x1080")</f>
        <v>Full HD 1920x1080</v>
      </c>
      <c r="G1216" s="2" t="str">
        <f ca="1">IFERROR(__xludf.DUMMYFUNCTION("""COMPUTED_VALUE"""),"Intel Core i7 7700HQ 2.8GHz")</f>
        <v>Intel Core i7 7700HQ 2.8GHz</v>
      </c>
      <c r="H1216" s="2" t="str">
        <f ca="1">IFERROR(__xludf.DUMMYFUNCTION("""COMPUTED_VALUE"""),"16GB")</f>
        <v>16GB</v>
      </c>
      <c r="I1216" s="2" t="str">
        <f ca="1">IFERROR(__xludf.DUMMYFUNCTION("""COMPUTED_VALUE"""),"256GB SSD +  1TB HDD")</f>
        <v>256GB SSD +  1TB HDD</v>
      </c>
      <c r="J1216" s="2" t="str">
        <f ca="1">IFERROR(__xludf.DUMMYFUNCTION("""COMPUTED_VALUE"""),"Nvidia GeForce GTX 1060")</f>
        <v>Nvidia GeForce GTX 1060</v>
      </c>
      <c r="K1216" s="2" t="str">
        <f ca="1">IFERROR(__xludf.DUMMYFUNCTION("""COMPUTED_VALUE"""),"Windows 10")</f>
        <v>Windows 10</v>
      </c>
      <c r="L1216" s="2" t="str">
        <f ca="1">IFERROR(__xludf.DUMMYFUNCTION("""COMPUTED_VALUE"""),"2.9kg")</f>
        <v>2.9kg</v>
      </c>
      <c r="M1216" s="2">
        <f ca="1">IFERROR(__xludf.DUMMYFUNCTION("""COMPUTED_VALUE"""),1949)</f>
        <v>1949</v>
      </c>
    </row>
    <row r="1217" spans="1:13">
      <c r="A1217" s="2">
        <f ca="1">IFERROR(__xludf.DUMMYFUNCTION("""COMPUTED_VALUE"""),1233)</f>
        <v>1233</v>
      </c>
      <c r="B1217" s="2" t="str">
        <f ca="1">IFERROR(__xludf.DUMMYFUNCTION("""COMPUTED_VALUE"""),"Acer")</f>
        <v>Acer</v>
      </c>
      <c r="C1217" s="2" t="str">
        <f ca="1">IFERROR(__xludf.DUMMYFUNCTION("""COMPUTED_VALUE"""),"C740-C9QX (3205U/2GB/32GB/Chrome")</f>
        <v>C740-C9QX (3205U/2GB/32GB/Chrome</v>
      </c>
      <c r="D1217" s="2" t="str">
        <f ca="1">IFERROR(__xludf.DUMMYFUNCTION("""COMPUTED_VALUE"""),"Netbook")</f>
        <v>Netbook</v>
      </c>
      <c r="E1217" s="2">
        <f ca="1">IFERROR(__xludf.DUMMYFUNCTION("""COMPUTED_VALUE"""),11.6)</f>
        <v>11.6</v>
      </c>
      <c r="F1217" s="2" t="str">
        <f ca="1">IFERROR(__xludf.DUMMYFUNCTION("""COMPUTED_VALUE"""),"1366x768")</f>
        <v>1366x768</v>
      </c>
      <c r="G1217" s="2" t="str">
        <f ca="1">IFERROR(__xludf.DUMMYFUNCTION("""COMPUTED_VALUE"""),"Intel Celeron Dual Core 3205U 1.5GHz")</f>
        <v>Intel Celeron Dual Core 3205U 1.5GHz</v>
      </c>
      <c r="H1217" s="2" t="str">
        <f ca="1">IFERROR(__xludf.DUMMYFUNCTION("""COMPUTED_VALUE"""),"2GB")</f>
        <v>2GB</v>
      </c>
      <c r="I1217" s="2" t="str">
        <f ca="1">IFERROR(__xludf.DUMMYFUNCTION("""COMPUTED_VALUE"""),"32GB SSD")</f>
        <v>32GB SSD</v>
      </c>
      <c r="J1217" s="2" t="str">
        <f ca="1">IFERROR(__xludf.DUMMYFUNCTION("""COMPUTED_VALUE"""),"Intel HD Graphics")</f>
        <v>Intel HD Graphics</v>
      </c>
      <c r="K1217" s="2" t="str">
        <f ca="1">IFERROR(__xludf.DUMMYFUNCTION("""COMPUTED_VALUE"""),"Chrome OS")</f>
        <v>Chrome OS</v>
      </c>
      <c r="L1217" s="2" t="str">
        <f ca="1">IFERROR(__xludf.DUMMYFUNCTION("""COMPUTED_VALUE"""),"1.3kg")</f>
        <v>1.3kg</v>
      </c>
      <c r="M1217" s="2">
        <f ca="1">IFERROR(__xludf.DUMMYFUNCTION("""COMPUTED_VALUE"""),174)</f>
        <v>174</v>
      </c>
    </row>
    <row r="1218" spans="1:13">
      <c r="A1218" s="2">
        <f ca="1">IFERROR(__xludf.DUMMYFUNCTION("""COMPUTED_VALUE"""),1234)</f>
        <v>1234</v>
      </c>
      <c r="B1218" s="2" t="str">
        <f ca="1">IFERROR(__xludf.DUMMYFUNCTION("""COMPUTED_VALUE"""),"Acer")</f>
        <v>Acer</v>
      </c>
      <c r="C1218" s="2" t="str">
        <f ca="1">IFERROR(__xludf.DUMMYFUNCTION("""COMPUTED_VALUE"""),"E5 774G")</f>
        <v>E5 774G</v>
      </c>
      <c r="D1218" s="2" t="str">
        <f ca="1">IFERROR(__xludf.DUMMYFUNCTION("""COMPUTED_VALUE"""),"Notebook")</f>
        <v>Notebook</v>
      </c>
      <c r="E1218" s="2">
        <f ca="1">IFERROR(__xludf.DUMMYFUNCTION("""COMPUTED_VALUE"""),17.3)</f>
        <v>17.3</v>
      </c>
      <c r="F1218" s="2" t="str">
        <f ca="1">IFERROR(__xludf.DUMMYFUNCTION("""COMPUTED_VALUE"""),"1600x900")</f>
        <v>1600x900</v>
      </c>
      <c r="G1218" s="2" t="str">
        <f ca="1">IFERROR(__xludf.DUMMYFUNCTION("""COMPUTED_VALUE"""),"Intel Core i3 6006U 2GHz")</f>
        <v>Intel Core i3 6006U 2GHz</v>
      </c>
      <c r="H1218" s="2" t="str">
        <f ca="1">IFERROR(__xludf.DUMMYFUNCTION("""COMPUTED_VALUE"""),"4GB")</f>
        <v>4GB</v>
      </c>
      <c r="I1218" s="2" t="str">
        <f ca="1">IFERROR(__xludf.DUMMYFUNCTION("""COMPUTED_VALUE"""),"1TB HDD")</f>
        <v>1TB HDD</v>
      </c>
      <c r="J1218" s="2" t="str">
        <f ca="1">IFERROR(__xludf.DUMMYFUNCTION("""COMPUTED_VALUE"""),"Nvidia GeForce 940MX")</f>
        <v>Nvidia GeForce 940MX</v>
      </c>
      <c r="K1218" s="2" t="str">
        <f ca="1">IFERROR(__xludf.DUMMYFUNCTION("""COMPUTED_VALUE"""),"Windows 10")</f>
        <v>Windows 10</v>
      </c>
      <c r="L1218" s="2" t="str">
        <f ca="1">IFERROR(__xludf.DUMMYFUNCTION("""COMPUTED_VALUE"""),"3.3kg")</f>
        <v>3.3kg</v>
      </c>
      <c r="M1218" s="2">
        <f ca="1">IFERROR(__xludf.DUMMYFUNCTION("""COMPUTED_VALUE"""),598)</f>
        <v>598</v>
      </c>
    </row>
    <row r="1219" spans="1:13">
      <c r="A1219" s="2">
        <f ca="1">IFERROR(__xludf.DUMMYFUNCTION("""COMPUTED_VALUE"""),1235)</f>
        <v>1235</v>
      </c>
      <c r="B1219" s="2" t="str">
        <f ca="1">IFERROR(__xludf.DUMMYFUNCTION("""COMPUTED_VALUE"""),"Lenovo")</f>
        <v>Lenovo</v>
      </c>
      <c r="C1219" s="2" t="str">
        <f ca="1">IFERROR(__xludf.DUMMYFUNCTION("""COMPUTED_VALUE"""),"IdeaPad 320-17IKB")</f>
        <v>IdeaPad 320-17IKB</v>
      </c>
      <c r="D1219" s="2" t="str">
        <f ca="1">IFERROR(__xludf.DUMMYFUNCTION("""COMPUTED_VALUE"""),"Notebook")</f>
        <v>Notebook</v>
      </c>
      <c r="E1219" s="2">
        <f ca="1">IFERROR(__xludf.DUMMYFUNCTION("""COMPUTED_VALUE"""),17.3)</f>
        <v>17.3</v>
      </c>
      <c r="F1219" s="2" t="str">
        <f ca="1">IFERROR(__xludf.DUMMYFUNCTION("""COMPUTED_VALUE"""),"1600x900")</f>
        <v>1600x900</v>
      </c>
      <c r="G1219" s="2" t="str">
        <f ca="1">IFERROR(__xludf.DUMMYFUNCTION("""COMPUTED_VALUE"""),"Intel Core i5 7200U 2.5GHz")</f>
        <v>Intel Core i5 7200U 2.5GHz</v>
      </c>
      <c r="H1219" s="2" t="str">
        <f ca="1">IFERROR(__xludf.DUMMYFUNCTION("""COMPUTED_VALUE"""),"8GB")</f>
        <v>8GB</v>
      </c>
      <c r="I1219" s="2" t="str">
        <f ca="1">IFERROR(__xludf.DUMMYFUNCTION("""COMPUTED_VALUE"""),"1TB HDD")</f>
        <v>1TB HDD</v>
      </c>
      <c r="J1219" s="2" t="str">
        <f ca="1">IFERROR(__xludf.DUMMYFUNCTION("""COMPUTED_VALUE"""),"Intel HD Graphics 620")</f>
        <v>Intel HD Graphics 620</v>
      </c>
      <c r="K1219" s="2" t="str">
        <f ca="1">IFERROR(__xludf.DUMMYFUNCTION("""COMPUTED_VALUE"""),"No OS")</f>
        <v>No OS</v>
      </c>
      <c r="L1219" s="2" t="str">
        <f ca="1">IFERROR(__xludf.DUMMYFUNCTION("""COMPUTED_VALUE"""),"2.8kg")</f>
        <v>2.8kg</v>
      </c>
      <c r="M1219" s="2">
        <f ca="1">IFERROR(__xludf.DUMMYFUNCTION("""COMPUTED_VALUE"""),539)</f>
        <v>539</v>
      </c>
    </row>
    <row r="1220" spans="1:13">
      <c r="A1220" s="2">
        <f ca="1">IFERROR(__xludf.DUMMYFUNCTION("""COMPUTED_VALUE"""),1236)</f>
        <v>1236</v>
      </c>
      <c r="B1220" s="2" t="str">
        <f ca="1">IFERROR(__xludf.DUMMYFUNCTION("""COMPUTED_VALUE"""),"Lenovo")</f>
        <v>Lenovo</v>
      </c>
      <c r="C1220" s="2" t="str">
        <f ca="1">IFERROR(__xludf.DUMMYFUNCTION("""COMPUTED_VALUE"""),"IdeaPad Y700-15ISK")</f>
        <v>IdeaPad Y700-15ISK</v>
      </c>
      <c r="D1220" s="2" t="str">
        <f ca="1">IFERROR(__xludf.DUMMYFUNCTION("""COMPUTED_VALUE"""),"Gaming")</f>
        <v>Gaming</v>
      </c>
      <c r="E1220" s="2">
        <f ca="1">IFERROR(__xludf.DUMMYFUNCTION("""COMPUTED_VALUE"""),15.6)</f>
        <v>15.6</v>
      </c>
      <c r="F1220" s="2" t="str">
        <f ca="1">IFERROR(__xludf.DUMMYFUNCTION("""COMPUTED_VALUE"""),"IPS Panel Full HD 1920x1080")</f>
        <v>IPS Panel Full HD 1920x1080</v>
      </c>
      <c r="G1220" s="2" t="str">
        <f ca="1">IFERROR(__xludf.DUMMYFUNCTION("""COMPUTED_VALUE"""),"Intel Core i7 6700HQ 2.6GHz")</f>
        <v>Intel Core i7 6700HQ 2.6GHz</v>
      </c>
      <c r="H1220" s="2" t="str">
        <f ca="1">IFERROR(__xludf.DUMMYFUNCTION("""COMPUTED_VALUE"""),"8GB")</f>
        <v>8GB</v>
      </c>
      <c r="I1220" s="2" t="str">
        <f ca="1">IFERROR(__xludf.DUMMYFUNCTION("""COMPUTED_VALUE"""),"128GB SSD +  1TB HDD")</f>
        <v>128GB SSD +  1TB HDD</v>
      </c>
      <c r="J1220" s="2" t="str">
        <f ca="1">IFERROR(__xludf.DUMMYFUNCTION("""COMPUTED_VALUE"""),"Nvidia GeForce GTX 960&lt;U+039C&gt;")</f>
        <v>Nvidia GeForce GTX 960&lt;U+039C&gt;</v>
      </c>
      <c r="K1220" s="2" t="str">
        <f ca="1">IFERROR(__xludf.DUMMYFUNCTION("""COMPUTED_VALUE"""),"Windows 10")</f>
        <v>Windows 10</v>
      </c>
      <c r="L1220" s="2" t="str">
        <f ca="1">IFERROR(__xludf.DUMMYFUNCTION("""COMPUTED_VALUE"""),"2.6kg")</f>
        <v>2.6kg</v>
      </c>
      <c r="M1220" s="2">
        <f ca="1">IFERROR(__xludf.DUMMYFUNCTION("""COMPUTED_VALUE"""),1272)</f>
        <v>1272</v>
      </c>
    </row>
    <row r="1221" spans="1:13">
      <c r="A1221" s="2">
        <f ca="1">IFERROR(__xludf.DUMMYFUNCTION("""COMPUTED_VALUE"""),1237)</f>
        <v>1237</v>
      </c>
      <c r="B1221" s="2" t="str">
        <f ca="1">IFERROR(__xludf.DUMMYFUNCTION("""COMPUTED_VALUE"""),"Acer")</f>
        <v>Acer</v>
      </c>
      <c r="C1221" s="2" t="str">
        <f ca="1">IFERROR(__xludf.DUMMYFUNCTION("""COMPUTED_VALUE"""),"SP714-51 (i7-7Y75/8GB/256GB/FHD/W10)")</f>
        <v>SP714-51 (i7-7Y75/8GB/256GB/FHD/W10)</v>
      </c>
      <c r="D1221" s="2" t="str">
        <f ca="1">IFERROR(__xludf.DUMMYFUNCTION("""COMPUTED_VALUE"""),"2 in 1 Convertible")</f>
        <v>2 in 1 Convertible</v>
      </c>
      <c r="E1221" s="2">
        <f ca="1">IFERROR(__xludf.DUMMYFUNCTION("""COMPUTED_VALUE"""),14)</f>
        <v>14</v>
      </c>
      <c r="F1221" s="2" t="str">
        <f ca="1">IFERROR(__xludf.DUMMYFUNCTION("""COMPUTED_VALUE"""),"IPS Panel Full HD / Touchscreen 1920x1080")</f>
        <v>IPS Panel Full HD / Touchscreen 1920x1080</v>
      </c>
      <c r="G1221" s="2" t="str">
        <f ca="1">IFERROR(__xludf.DUMMYFUNCTION("""COMPUTED_VALUE"""),"Intel Core i7 7Y75 1.3GHz")</f>
        <v>Intel Core i7 7Y75 1.3GHz</v>
      </c>
      <c r="H1221" s="2" t="str">
        <f ca="1">IFERROR(__xludf.DUMMYFUNCTION("""COMPUTED_VALUE"""),"8GB")</f>
        <v>8GB</v>
      </c>
      <c r="I1221" s="2" t="str">
        <f ca="1">IFERROR(__xludf.DUMMYFUNCTION("""COMPUTED_VALUE"""),"256GB SSD")</f>
        <v>256GB SSD</v>
      </c>
      <c r="J1221" s="2" t="str">
        <f ca="1">IFERROR(__xludf.DUMMYFUNCTION("""COMPUTED_VALUE"""),"Intel HD Graphics 615")</f>
        <v>Intel HD Graphics 615</v>
      </c>
      <c r="K1221" s="2" t="str">
        <f ca="1">IFERROR(__xludf.DUMMYFUNCTION("""COMPUTED_VALUE"""),"Windows 10")</f>
        <v>Windows 10</v>
      </c>
      <c r="L1221" s="2" t="str">
        <f ca="1">IFERROR(__xludf.DUMMYFUNCTION("""COMPUTED_VALUE"""),"1.2kg")</f>
        <v>1.2kg</v>
      </c>
      <c r="M1221" s="2">
        <f ca="1">IFERROR(__xludf.DUMMYFUNCTION("""COMPUTED_VALUE"""),1149)</f>
        <v>1149</v>
      </c>
    </row>
    <row r="1222" spans="1:13">
      <c r="A1222" s="2">
        <f ca="1">IFERROR(__xludf.DUMMYFUNCTION("""COMPUTED_VALUE"""),1238)</f>
        <v>1238</v>
      </c>
      <c r="B1222" s="2" t="str">
        <f ca="1">IFERROR(__xludf.DUMMYFUNCTION("""COMPUTED_VALUE"""),"Lenovo")</f>
        <v>Lenovo</v>
      </c>
      <c r="C1222" s="2" t="str">
        <f ca="1">IFERROR(__xludf.DUMMYFUNCTION("""COMPUTED_VALUE"""),"Thinkpad T560")</f>
        <v>Thinkpad T560</v>
      </c>
      <c r="D1222" s="2" t="str">
        <f ca="1">IFERROR(__xludf.DUMMYFUNCTION("""COMPUTED_VALUE"""),"Notebook")</f>
        <v>Notebook</v>
      </c>
      <c r="E1222" s="2">
        <f ca="1">IFERROR(__xludf.DUMMYFUNCTION("""COMPUTED_VALUE"""),15.6)</f>
        <v>15.6</v>
      </c>
      <c r="F1222" s="2" t="str">
        <f ca="1">IFERROR(__xludf.DUMMYFUNCTION("""COMPUTED_VALUE"""),"IPS Panel Full HD 1920x1080")</f>
        <v>IPS Panel Full HD 1920x1080</v>
      </c>
      <c r="G1222" s="2" t="str">
        <f ca="1">IFERROR(__xludf.DUMMYFUNCTION("""COMPUTED_VALUE"""),"Intel Core i7 6600U 2.6GHz")</f>
        <v>Intel Core i7 6600U 2.6GHz</v>
      </c>
      <c r="H1222" s="2" t="str">
        <f ca="1">IFERROR(__xludf.DUMMYFUNCTION("""COMPUTED_VALUE"""),"8GB")</f>
        <v>8GB</v>
      </c>
      <c r="I1222" s="2" t="str">
        <f ca="1">IFERROR(__xludf.DUMMYFUNCTION("""COMPUTED_VALUE"""),"256GB SSD")</f>
        <v>256GB SSD</v>
      </c>
      <c r="J1222" s="2" t="str">
        <f ca="1">IFERROR(__xludf.DUMMYFUNCTION("""COMPUTED_VALUE"""),"Intel HD Graphics 520")</f>
        <v>Intel HD Graphics 520</v>
      </c>
      <c r="K1222" s="2" t="str">
        <f ca="1">IFERROR(__xludf.DUMMYFUNCTION("""COMPUTED_VALUE"""),"Windows 10")</f>
        <v>Windows 10</v>
      </c>
      <c r="L1222" s="2" t="str">
        <f ca="1">IFERROR(__xludf.DUMMYFUNCTION("""COMPUTED_VALUE"""),"2.3kg")</f>
        <v>2.3kg</v>
      </c>
      <c r="M1222" s="2">
        <f ca="1">IFERROR(__xludf.DUMMYFUNCTION("""COMPUTED_VALUE"""),1529)</f>
        <v>1529</v>
      </c>
    </row>
    <row r="1223" spans="1:13">
      <c r="A1223" s="2">
        <f ca="1">IFERROR(__xludf.DUMMYFUNCTION("""COMPUTED_VALUE"""),1239)</f>
        <v>1239</v>
      </c>
      <c r="B1223" s="2" t="str">
        <f ca="1">IFERROR(__xludf.DUMMYFUNCTION("""COMPUTED_VALUE"""),"MSI")</f>
        <v>MSI</v>
      </c>
      <c r="C1223" s="2" t="str">
        <f ca="1">IFERROR(__xludf.DUMMYFUNCTION("""COMPUTED_VALUE"""),"GP62MVR 6RF")</f>
        <v>GP62MVR 6RF</v>
      </c>
      <c r="D1223" s="2" t="str">
        <f ca="1">IFERROR(__xludf.DUMMYFUNCTION("""COMPUTED_VALUE"""),"Gaming")</f>
        <v>Gaming</v>
      </c>
      <c r="E1223" s="2">
        <f ca="1">IFERROR(__xludf.DUMMYFUNCTION("""COMPUTED_VALUE"""),15.6)</f>
        <v>15.6</v>
      </c>
      <c r="F1223" s="2" t="str">
        <f ca="1">IFERROR(__xludf.DUMMYFUNCTION("""COMPUTED_VALUE"""),"Full HD 1920x1080")</f>
        <v>Full HD 1920x1080</v>
      </c>
      <c r="G1223" s="2" t="str">
        <f ca="1">IFERROR(__xludf.DUMMYFUNCTION("""COMPUTED_VALUE"""),"Intel Core i7 6700HQ 2.6GHz")</f>
        <v>Intel Core i7 6700HQ 2.6GHz</v>
      </c>
      <c r="H1223" s="2" t="str">
        <f ca="1">IFERROR(__xludf.DUMMYFUNCTION("""COMPUTED_VALUE"""),"8GB")</f>
        <v>8GB</v>
      </c>
      <c r="I1223" s="2" t="str">
        <f ca="1">IFERROR(__xludf.DUMMYFUNCTION("""COMPUTED_VALUE"""),"128GB SSD +  1TB HDD")</f>
        <v>128GB SSD +  1TB HDD</v>
      </c>
      <c r="J1223" s="2" t="str">
        <f ca="1">IFERROR(__xludf.DUMMYFUNCTION("""COMPUTED_VALUE"""),"Nvidia GeForce GTX 1060")</f>
        <v>Nvidia GeForce GTX 1060</v>
      </c>
      <c r="K1223" s="2" t="str">
        <f ca="1">IFERROR(__xludf.DUMMYFUNCTION("""COMPUTED_VALUE"""),"Windows 10")</f>
        <v>Windows 10</v>
      </c>
      <c r="L1223" s="2" t="str">
        <f ca="1">IFERROR(__xludf.DUMMYFUNCTION("""COMPUTED_VALUE"""),"2.2kg")</f>
        <v>2.2kg</v>
      </c>
      <c r="M1223" s="2">
        <f ca="1">IFERROR(__xludf.DUMMYFUNCTION("""COMPUTED_VALUE"""),1476.11)</f>
        <v>1476.11</v>
      </c>
    </row>
    <row r="1224" spans="1:13">
      <c r="A1224" s="2">
        <f ca="1">IFERROR(__xludf.DUMMYFUNCTION("""COMPUTED_VALUE"""),1240)</f>
        <v>1240</v>
      </c>
      <c r="B1224" s="2" t="str">
        <f ca="1">IFERROR(__xludf.DUMMYFUNCTION("""COMPUTED_VALUE"""),"HP")</f>
        <v>HP</v>
      </c>
      <c r="C1224" s="2" t="str">
        <f ca="1">IFERROR(__xludf.DUMMYFUNCTION("""COMPUTED_VALUE"""),"15-bw009nv (A12-9720P/6GB/1TB/Radeon")</f>
        <v>15-bw009nv (A12-9720P/6GB/1TB/Radeon</v>
      </c>
      <c r="D1224" s="2" t="str">
        <f ca="1">IFERROR(__xludf.DUMMYFUNCTION("""COMPUTED_VALUE"""),"Notebook")</f>
        <v>Notebook</v>
      </c>
      <c r="E1224" s="2">
        <f ca="1">IFERROR(__xludf.DUMMYFUNCTION("""COMPUTED_VALUE"""),15.6)</f>
        <v>15.6</v>
      </c>
      <c r="F1224" s="2" t="str">
        <f ca="1">IFERROR(__xludf.DUMMYFUNCTION("""COMPUTED_VALUE"""),"Full HD 1920x1080")</f>
        <v>Full HD 1920x1080</v>
      </c>
      <c r="G1224" s="2" t="str">
        <f ca="1">IFERROR(__xludf.DUMMYFUNCTION("""COMPUTED_VALUE"""),"AMD A12-Series 9720P 2.7GHz")</f>
        <v>AMD A12-Series 9720P 2.7GHz</v>
      </c>
      <c r="H1224" s="2" t="str">
        <f ca="1">IFERROR(__xludf.DUMMYFUNCTION("""COMPUTED_VALUE"""),"6GB")</f>
        <v>6GB</v>
      </c>
      <c r="I1224" s="2" t="str">
        <f ca="1">IFERROR(__xludf.DUMMYFUNCTION("""COMPUTED_VALUE"""),"1TB HDD")</f>
        <v>1TB HDD</v>
      </c>
      <c r="J1224" s="2" t="str">
        <f ca="1">IFERROR(__xludf.DUMMYFUNCTION("""COMPUTED_VALUE"""),"AMD Radeon 530")</f>
        <v>AMD Radeon 530</v>
      </c>
      <c r="K1224" s="2" t="str">
        <f ca="1">IFERROR(__xludf.DUMMYFUNCTION("""COMPUTED_VALUE"""),"Windows 10")</f>
        <v>Windows 10</v>
      </c>
      <c r="L1224" s="2" t="str">
        <f ca="1">IFERROR(__xludf.DUMMYFUNCTION("""COMPUTED_VALUE"""),"2.1kg")</f>
        <v>2.1kg</v>
      </c>
      <c r="M1224" s="2">
        <f ca="1">IFERROR(__xludf.DUMMYFUNCTION("""COMPUTED_VALUE"""),529)</f>
        <v>529</v>
      </c>
    </row>
    <row r="1225" spans="1:13">
      <c r="A1225" s="2">
        <f ca="1">IFERROR(__xludf.DUMMYFUNCTION("""COMPUTED_VALUE"""),1241)</f>
        <v>1241</v>
      </c>
      <c r="B1225" s="2" t="str">
        <f ca="1">IFERROR(__xludf.DUMMYFUNCTION("""COMPUTED_VALUE"""),"Dell")</f>
        <v>Dell</v>
      </c>
      <c r="C1225" s="2" t="str">
        <f ca="1">IFERROR(__xludf.DUMMYFUNCTION("""COMPUTED_VALUE"""),"Latitude E7270")</f>
        <v>Latitude E7270</v>
      </c>
      <c r="D1225" s="2" t="str">
        <f ca="1">IFERROR(__xludf.DUMMYFUNCTION("""COMPUTED_VALUE"""),"Ultrabook")</f>
        <v>Ultrabook</v>
      </c>
      <c r="E1225" s="2">
        <f ca="1">IFERROR(__xludf.DUMMYFUNCTION("""COMPUTED_VALUE"""),12.5)</f>
        <v>12.5</v>
      </c>
      <c r="F1225" s="2" t="str">
        <f ca="1">IFERROR(__xludf.DUMMYFUNCTION("""COMPUTED_VALUE"""),"Full HD / Touchscreen 1920x1080")</f>
        <v>Full HD / Touchscreen 1920x1080</v>
      </c>
      <c r="G1225" s="2" t="str">
        <f ca="1">IFERROR(__xludf.DUMMYFUNCTION("""COMPUTED_VALUE"""),"Intel Core i5 6300U 2.4GHz")</f>
        <v>Intel Core i5 6300U 2.4GHz</v>
      </c>
      <c r="H1225" s="2" t="str">
        <f ca="1">IFERROR(__xludf.DUMMYFUNCTION("""COMPUTED_VALUE"""),"8GB")</f>
        <v>8GB</v>
      </c>
      <c r="I1225" s="2" t="str">
        <f ca="1">IFERROR(__xludf.DUMMYFUNCTION("""COMPUTED_VALUE"""),"256GB SSD")</f>
        <v>256GB SSD</v>
      </c>
      <c r="J1225" s="2" t="str">
        <f ca="1">IFERROR(__xludf.DUMMYFUNCTION("""COMPUTED_VALUE"""),"Intel HD Graphics 520")</f>
        <v>Intel HD Graphics 520</v>
      </c>
      <c r="K1225" s="2" t="str">
        <f ca="1">IFERROR(__xludf.DUMMYFUNCTION("""COMPUTED_VALUE"""),"Windows 7")</f>
        <v>Windows 7</v>
      </c>
      <c r="L1225" s="2" t="str">
        <f ca="1">IFERROR(__xludf.DUMMYFUNCTION("""COMPUTED_VALUE"""),"1.26kg")</f>
        <v>1.26kg</v>
      </c>
      <c r="M1225" s="2">
        <f ca="1">IFERROR(__xludf.DUMMYFUNCTION("""COMPUTED_VALUE"""),1713.37)</f>
        <v>1713.37</v>
      </c>
    </row>
    <row r="1226" spans="1:13">
      <c r="A1226" s="2">
        <f ca="1">IFERROR(__xludf.DUMMYFUNCTION("""COMPUTED_VALUE"""),1242)</f>
        <v>1242</v>
      </c>
      <c r="B1226" s="2" t="str">
        <f ca="1">IFERROR(__xludf.DUMMYFUNCTION("""COMPUTED_VALUE"""),"Dell")</f>
        <v>Dell</v>
      </c>
      <c r="C1226" s="2" t="str">
        <f ca="1">IFERROR(__xludf.DUMMYFUNCTION("""COMPUTED_VALUE"""),"Inspiron 5578")</f>
        <v>Inspiron 5578</v>
      </c>
      <c r="D1226" s="2" t="str">
        <f ca="1">IFERROR(__xludf.DUMMYFUNCTION("""COMPUTED_VALUE"""),"2 in 1 Convertible")</f>
        <v>2 in 1 Convertible</v>
      </c>
      <c r="E1226" s="2">
        <f ca="1">IFERROR(__xludf.DUMMYFUNCTION("""COMPUTED_VALUE"""),15)</f>
        <v>15</v>
      </c>
      <c r="F1226" s="2" t="str">
        <f ca="1">IFERROR(__xludf.DUMMYFUNCTION("""COMPUTED_VALUE"""),"Full HD / Touchscreen 1920x1080")</f>
        <v>Full HD / Touchscreen 1920x1080</v>
      </c>
      <c r="G1226" s="2" t="str">
        <f ca="1">IFERROR(__xludf.DUMMYFUNCTION("""COMPUTED_VALUE"""),"Intel Core i3 7100U 2.4GHz")</f>
        <v>Intel Core i3 7100U 2.4GHz</v>
      </c>
      <c r="H1226" s="2" t="str">
        <f ca="1">IFERROR(__xludf.DUMMYFUNCTION("""COMPUTED_VALUE"""),"4GB")</f>
        <v>4GB</v>
      </c>
      <c r="I1226" s="2" t="str">
        <f ca="1">IFERROR(__xludf.DUMMYFUNCTION("""COMPUTED_VALUE"""),"500GB HDD")</f>
        <v>500GB HDD</v>
      </c>
      <c r="J1226" s="2" t="str">
        <f ca="1">IFERROR(__xludf.DUMMYFUNCTION("""COMPUTED_VALUE"""),"Intel HD Graphics 620")</f>
        <v>Intel HD Graphics 620</v>
      </c>
      <c r="K1226" s="2" t="str">
        <f ca="1">IFERROR(__xludf.DUMMYFUNCTION("""COMPUTED_VALUE"""),"Windows 10")</f>
        <v>Windows 10</v>
      </c>
      <c r="L1226" s="2" t="str">
        <f ca="1">IFERROR(__xludf.DUMMYFUNCTION("""COMPUTED_VALUE"""),"2.08kg")</f>
        <v>2.08kg</v>
      </c>
      <c r="M1226" s="2">
        <f ca="1">IFERROR(__xludf.DUMMYFUNCTION("""COMPUTED_VALUE"""),509)</f>
        <v>509</v>
      </c>
    </row>
    <row r="1227" spans="1:13">
      <c r="A1227" s="2">
        <f ca="1">IFERROR(__xludf.DUMMYFUNCTION("""COMPUTED_VALUE"""),1243)</f>
        <v>1243</v>
      </c>
      <c r="B1227" s="2" t="str">
        <f ca="1">IFERROR(__xludf.DUMMYFUNCTION("""COMPUTED_VALUE"""),"Asus")</f>
        <v>Asus</v>
      </c>
      <c r="C1227" s="2" t="str">
        <f ca="1">IFERROR(__xludf.DUMMYFUNCTION("""COMPUTED_VALUE"""),"X540SA-RBPDN09 (N3710/4GB/1TB/W10)")</f>
        <v>X540SA-RBPDN09 (N3710/4GB/1TB/W10)</v>
      </c>
      <c r="D1227" s="2" t="str">
        <f ca="1">IFERROR(__xludf.DUMMYFUNCTION("""COMPUTED_VALUE"""),"Notebook")</f>
        <v>Notebook</v>
      </c>
      <c r="E1227" s="2">
        <f ca="1">IFERROR(__xludf.DUMMYFUNCTION("""COMPUTED_VALUE"""),15.6)</f>
        <v>15.6</v>
      </c>
      <c r="F1227" s="2" t="str">
        <f ca="1">IFERROR(__xludf.DUMMYFUNCTION("""COMPUTED_VALUE"""),"1366x768")</f>
        <v>1366x768</v>
      </c>
      <c r="G1227" s="2" t="str">
        <f ca="1">IFERROR(__xludf.DUMMYFUNCTION("""COMPUTED_VALUE"""),"Intel Pentium Quad Core N3710 1.6GHz")</f>
        <v>Intel Pentium Quad Core N3710 1.6GHz</v>
      </c>
      <c r="H1227" s="2" t="str">
        <f ca="1">IFERROR(__xludf.DUMMYFUNCTION("""COMPUTED_VALUE"""),"4GB")</f>
        <v>4GB</v>
      </c>
      <c r="I1227" s="2" t="str">
        <f ca="1">IFERROR(__xludf.DUMMYFUNCTION("""COMPUTED_VALUE"""),"1TB HDD")</f>
        <v>1TB HDD</v>
      </c>
      <c r="J1227" s="2" t="str">
        <f ca="1">IFERROR(__xludf.DUMMYFUNCTION("""COMPUTED_VALUE"""),"Intel HD Graphics 405")</f>
        <v>Intel HD Graphics 405</v>
      </c>
      <c r="K1227" s="2" t="str">
        <f ca="1">IFERROR(__xludf.DUMMYFUNCTION("""COMPUTED_VALUE"""),"Windows 10")</f>
        <v>Windows 10</v>
      </c>
      <c r="L1227" s="2" t="str">
        <f ca="1">IFERROR(__xludf.DUMMYFUNCTION("""COMPUTED_VALUE"""),"2.65kg")</f>
        <v>2.65kg</v>
      </c>
      <c r="M1227" s="2">
        <f ca="1">IFERROR(__xludf.DUMMYFUNCTION("""COMPUTED_VALUE"""),309)</f>
        <v>309</v>
      </c>
    </row>
    <row r="1228" spans="1:13">
      <c r="A1228" s="2">
        <f ca="1">IFERROR(__xludf.DUMMYFUNCTION("""COMPUTED_VALUE"""),1244)</f>
        <v>1244</v>
      </c>
      <c r="B1228" s="2" t="str">
        <f ca="1">IFERROR(__xludf.DUMMYFUNCTION("""COMPUTED_VALUE"""),"Dell")</f>
        <v>Dell</v>
      </c>
      <c r="C1228" s="2" t="str">
        <f ca="1">IFERROR(__xludf.DUMMYFUNCTION("""COMPUTED_VALUE"""),"XPS 13")</f>
        <v>XPS 13</v>
      </c>
      <c r="D1228" s="2" t="str">
        <f ca="1">IFERROR(__xludf.DUMMYFUNCTION("""COMPUTED_VALUE"""),"Ultrabook")</f>
        <v>Ultrabook</v>
      </c>
      <c r="E1228" s="2">
        <f ca="1">IFERROR(__xludf.DUMMYFUNCTION("""COMPUTED_VALUE"""),13.3)</f>
        <v>13.3</v>
      </c>
      <c r="F1228" s="2" t="str">
        <f ca="1">IFERROR(__xludf.DUMMYFUNCTION("""COMPUTED_VALUE"""),"Quad HD+ / Touchscreen 3200x1800")</f>
        <v>Quad HD+ / Touchscreen 3200x1800</v>
      </c>
      <c r="G1228" s="2" t="str">
        <f ca="1">IFERROR(__xludf.DUMMYFUNCTION("""COMPUTED_VALUE"""),"Intel Core i7 7500U 2.7GHz")</f>
        <v>Intel Core i7 7500U 2.7GHz</v>
      </c>
      <c r="H1228" s="2" t="str">
        <f ca="1">IFERROR(__xludf.DUMMYFUNCTION("""COMPUTED_VALUE"""),"8GB")</f>
        <v>8GB</v>
      </c>
      <c r="I1228" s="2" t="str">
        <f ca="1">IFERROR(__xludf.DUMMYFUNCTION("""COMPUTED_VALUE"""),"256GB SSD")</f>
        <v>256GB SSD</v>
      </c>
      <c r="J1228" s="2" t="str">
        <f ca="1">IFERROR(__xludf.DUMMYFUNCTION("""COMPUTED_VALUE"""),"Intel HD Graphics 620")</f>
        <v>Intel HD Graphics 620</v>
      </c>
      <c r="K1228" s="2" t="str">
        <f ca="1">IFERROR(__xludf.DUMMYFUNCTION("""COMPUTED_VALUE"""),"Windows 10")</f>
        <v>Windows 10</v>
      </c>
      <c r="L1228" s="2" t="str">
        <f ca="1">IFERROR(__xludf.DUMMYFUNCTION("""COMPUTED_VALUE"""),"1.29kg")</f>
        <v>1.29kg</v>
      </c>
      <c r="M1228" s="2">
        <f ca="1">IFERROR(__xludf.DUMMYFUNCTION("""COMPUTED_VALUE"""),1477)</f>
        <v>1477</v>
      </c>
    </row>
    <row r="1229" spans="1:13">
      <c r="A1229" s="2">
        <f ca="1">IFERROR(__xludf.DUMMYFUNCTION("""COMPUTED_VALUE"""),1245)</f>
        <v>1245</v>
      </c>
      <c r="B1229" s="2" t="str">
        <f ca="1">IFERROR(__xludf.DUMMYFUNCTION("""COMPUTED_VALUE"""),"Dell")</f>
        <v>Dell</v>
      </c>
      <c r="C1229" s="2" t="str">
        <f ca="1">IFERROR(__xludf.DUMMYFUNCTION("""COMPUTED_VALUE"""),"Vostro 3568")</f>
        <v>Vostro 3568</v>
      </c>
      <c r="D1229" s="2" t="str">
        <f ca="1">IFERROR(__xludf.DUMMYFUNCTION("""COMPUTED_VALUE"""),"Notebook")</f>
        <v>Notebook</v>
      </c>
      <c r="E1229" s="2">
        <f ca="1">IFERROR(__xludf.DUMMYFUNCTION("""COMPUTED_VALUE"""),15.6)</f>
        <v>15.6</v>
      </c>
      <c r="F1229" s="2" t="str">
        <f ca="1">IFERROR(__xludf.DUMMYFUNCTION("""COMPUTED_VALUE"""),"1366x768")</f>
        <v>1366x768</v>
      </c>
      <c r="G1229" s="2" t="str">
        <f ca="1">IFERROR(__xludf.DUMMYFUNCTION("""COMPUTED_VALUE"""),"Intel Core i5 7200U 2.5GHz")</f>
        <v>Intel Core i5 7200U 2.5GHz</v>
      </c>
      <c r="H1229" s="2" t="str">
        <f ca="1">IFERROR(__xludf.DUMMYFUNCTION("""COMPUTED_VALUE"""),"4GB")</f>
        <v>4GB</v>
      </c>
      <c r="I1229" s="2" t="str">
        <f ca="1">IFERROR(__xludf.DUMMYFUNCTION("""COMPUTED_VALUE"""),"1TB HDD")</f>
        <v>1TB HDD</v>
      </c>
      <c r="J1229" s="2" t="str">
        <f ca="1">IFERROR(__xludf.DUMMYFUNCTION("""COMPUTED_VALUE"""),"Intel HD Graphics 520")</f>
        <v>Intel HD Graphics 520</v>
      </c>
      <c r="K1229" s="2" t="str">
        <f ca="1">IFERROR(__xludf.DUMMYFUNCTION("""COMPUTED_VALUE"""),"Linux")</f>
        <v>Linux</v>
      </c>
      <c r="L1229" s="2" t="str">
        <f ca="1">IFERROR(__xludf.DUMMYFUNCTION("""COMPUTED_VALUE"""),"2.18kg")</f>
        <v>2.18kg</v>
      </c>
      <c r="M1229" s="2">
        <f ca="1">IFERROR(__xludf.DUMMYFUNCTION("""COMPUTED_VALUE"""),521.86)</f>
        <v>521.86</v>
      </c>
    </row>
    <row r="1230" spans="1:13">
      <c r="A1230" s="2">
        <f ca="1">IFERROR(__xludf.DUMMYFUNCTION("""COMPUTED_VALUE"""),1246)</f>
        <v>1246</v>
      </c>
      <c r="B1230" s="2" t="str">
        <f ca="1">IFERROR(__xludf.DUMMYFUNCTION("""COMPUTED_VALUE"""),"Lenovo")</f>
        <v>Lenovo</v>
      </c>
      <c r="C1230" s="2" t="str">
        <f ca="1">IFERROR(__xludf.DUMMYFUNCTION("""COMPUTED_VALUE"""),"IdeaPad Y700-15ISK")</f>
        <v>IdeaPad Y700-15ISK</v>
      </c>
      <c r="D1230" s="2" t="str">
        <f ca="1">IFERROR(__xludf.DUMMYFUNCTION("""COMPUTED_VALUE"""),"Gaming")</f>
        <v>Gaming</v>
      </c>
      <c r="E1230" s="2">
        <f ca="1">IFERROR(__xludf.DUMMYFUNCTION("""COMPUTED_VALUE"""),15.6)</f>
        <v>15.6</v>
      </c>
      <c r="F1230" s="2" t="str">
        <f ca="1">IFERROR(__xludf.DUMMYFUNCTION("""COMPUTED_VALUE"""),"IPS Panel Full HD / Touchscreen 1920x1080")</f>
        <v>IPS Panel Full HD / Touchscreen 1920x1080</v>
      </c>
      <c r="G1230" s="2" t="str">
        <f ca="1">IFERROR(__xludf.DUMMYFUNCTION("""COMPUTED_VALUE"""),"Intel Core i7 6700HQ 2.6GHz")</f>
        <v>Intel Core i7 6700HQ 2.6GHz</v>
      </c>
      <c r="H1230" s="2" t="str">
        <f ca="1">IFERROR(__xludf.DUMMYFUNCTION("""COMPUTED_VALUE"""),"16GB")</f>
        <v>16GB</v>
      </c>
      <c r="I1230" s="2" t="str">
        <f ca="1">IFERROR(__xludf.DUMMYFUNCTION("""COMPUTED_VALUE"""),"128GB SSD +  1TB HDD")</f>
        <v>128GB SSD +  1TB HDD</v>
      </c>
      <c r="J1230" s="2" t="str">
        <f ca="1">IFERROR(__xludf.DUMMYFUNCTION("""COMPUTED_VALUE"""),"Nvidia GeForce GTX 960M")</f>
        <v>Nvidia GeForce GTX 960M</v>
      </c>
      <c r="K1230" s="2" t="str">
        <f ca="1">IFERROR(__xludf.DUMMYFUNCTION("""COMPUTED_VALUE"""),"Windows 10")</f>
        <v>Windows 10</v>
      </c>
      <c r="L1230" s="2" t="str">
        <f ca="1">IFERROR(__xludf.DUMMYFUNCTION("""COMPUTED_VALUE"""),"2.6kg")</f>
        <v>2.6kg</v>
      </c>
      <c r="M1230" s="2">
        <f ca="1">IFERROR(__xludf.DUMMYFUNCTION("""COMPUTED_VALUE"""),1029)</f>
        <v>1029</v>
      </c>
    </row>
    <row r="1231" spans="1:13">
      <c r="A1231" s="2">
        <f ca="1">IFERROR(__xludf.DUMMYFUNCTION("""COMPUTED_VALUE"""),1247)</f>
        <v>1247</v>
      </c>
      <c r="B1231" s="2" t="str">
        <f ca="1">IFERROR(__xludf.DUMMYFUNCTION("""COMPUTED_VALUE"""),"MSI")</f>
        <v>MSI</v>
      </c>
      <c r="C1231" s="2" t="str">
        <f ca="1">IFERROR(__xludf.DUMMYFUNCTION("""COMPUTED_VALUE"""),"GL62M 7RDX")</f>
        <v>GL62M 7RDX</v>
      </c>
      <c r="D1231" s="2" t="str">
        <f ca="1">IFERROR(__xludf.DUMMYFUNCTION("""COMPUTED_VALUE"""),"Gaming")</f>
        <v>Gaming</v>
      </c>
      <c r="E1231" s="2">
        <f ca="1">IFERROR(__xludf.DUMMYFUNCTION("""COMPUTED_VALUE"""),15.6)</f>
        <v>15.6</v>
      </c>
      <c r="F1231" s="2" t="str">
        <f ca="1">IFERROR(__xludf.DUMMYFUNCTION("""COMPUTED_VALUE"""),"Full HD 1920x1080")</f>
        <v>Full HD 1920x1080</v>
      </c>
      <c r="G1231" s="2" t="str">
        <f ca="1">IFERROR(__xludf.DUMMYFUNCTION("""COMPUTED_VALUE"""),"Intel Core i7 7700HQ 2.8GHz")</f>
        <v>Intel Core i7 7700HQ 2.8GHz</v>
      </c>
      <c r="H1231" s="2" t="str">
        <f ca="1">IFERROR(__xludf.DUMMYFUNCTION("""COMPUTED_VALUE"""),"8GB")</f>
        <v>8GB</v>
      </c>
      <c r="I1231" s="2" t="str">
        <f ca="1">IFERROR(__xludf.DUMMYFUNCTION("""COMPUTED_VALUE"""),"128GB SSD +  1TB HDD")</f>
        <v>128GB SSD +  1TB HDD</v>
      </c>
      <c r="J1231" s="2" t="str">
        <f ca="1">IFERROR(__xludf.DUMMYFUNCTION("""COMPUTED_VALUE"""),"Nvidia GeForce GTX 1050")</f>
        <v>Nvidia GeForce GTX 1050</v>
      </c>
      <c r="K1231" s="2" t="str">
        <f ca="1">IFERROR(__xludf.DUMMYFUNCTION("""COMPUTED_VALUE"""),"Windows 10")</f>
        <v>Windows 10</v>
      </c>
      <c r="L1231" s="2" t="str">
        <f ca="1">IFERROR(__xludf.DUMMYFUNCTION("""COMPUTED_VALUE"""),"2.2kg")</f>
        <v>2.2kg</v>
      </c>
      <c r="M1231" s="2">
        <f ca="1">IFERROR(__xludf.DUMMYFUNCTION("""COMPUTED_VALUE"""),1149)</f>
        <v>1149</v>
      </c>
    </row>
    <row r="1232" spans="1:13">
      <c r="A1232" s="2">
        <f ca="1">IFERROR(__xludf.DUMMYFUNCTION("""COMPUTED_VALUE"""),1248)</f>
        <v>1248</v>
      </c>
      <c r="B1232" s="2" t="str">
        <f ca="1">IFERROR(__xludf.DUMMYFUNCTION("""COMPUTED_VALUE"""),"Lenovo")</f>
        <v>Lenovo</v>
      </c>
      <c r="C1232" s="2" t="str">
        <f ca="1">IFERROR(__xludf.DUMMYFUNCTION("""COMPUTED_VALUE"""),"ThinkPad Yoga")</f>
        <v>ThinkPad Yoga</v>
      </c>
      <c r="D1232" s="2" t="str">
        <f ca="1">IFERROR(__xludf.DUMMYFUNCTION("""COMPUTED_VALUE"""),"Netbook")</f>
        <v>Netbook</v>
      </c>
      <c r="E1232" s="2">
        <f ca="1">IFERROR(__xludf.DUMMYFUNCTION("""COMPUTED_VALUE"""),12.5)</f>
        <v>12.5</v>
      </c>
      <c r="F1232" s="2" t="str">
        <f ca="1">IFERROR(__xludf.DUMMYFUNCTION("""COMPUTED_VALUE"""),"IPS Panel Full HD / Touchscreen 1920x1080")</f>
        <v>IPS Panel Full HD / Touchscreen 1920x1080</v>
      </c>
      <c r="G1232" s="2" t="str">
        <f ca="1">IFERROR(__xludf.DUMMYFUNCTION("""COMPUTED_VALUE"""),"Intel Core i7 6500U 2.50GHz")</f>
        <v>Intel Core i7 6500U 2.50GHz</v>
      </c>
      <c r="H1232" s="2" t="str">
        <f ca="1">IFERROR(__xludf.DUMMYFUNCTION("""COMPUTED_VALUE"""),"16GB")</f>
        <v>16GB</v>
      </c>
      <c r="I1232" s="2" t="str">
        <f ca="1">IFERROR(__xludf.DUMMYFUNCTION("""COMPUTED_VALUE"""),"512GB SSD")</f>
        <v>512GB SSD</v>
      </c>
      <c r="J1232" s="2" t="str">
        <f ca="1">IFERROR(__xludf.DUMMYFUNCTION("""COMPUTED_VALUE"""),"Intel HD Graphics 520")</f>
        <v>Intel HD Graphics 520</v>
      </c>
      <c r="K1232" s="2" t="str">
        <f ca="1">IFERROR(__xludf.DUMMYFUNCTION("""COMPUTED_VALUE"""),"Windows 10")</f>
        <v>Windows 10</v>
      </c>
      <c r="L1232" s="2" t="str">
        <f ca="1">IFERROR(__xludf.DUMMYFUNCTION("""COMPUTED_VALUE"""),"1.3kg")</f>
        <v>1.3kg</v>
      </c>
      <c r="M1232" s="2">
        <f ca="1">IFERROR(__xludf.DUMMYFUNCTION("""COMPUTED_VALUE"""),1650)</f>
        <v>1650</v>
      </c>
    </row>
    <row r="1233" spans="1:13">
      <c r="A1233" s="2">
        <f ca="1">IFERROR(__xludf.DUMMYFUNCTION("""COMPUTED_VALUE"""),1249)</f>
        <v>1249</v>
      </c>
      <c r="B1233" s="2" t="str">
        <f ca="1">IFERROR(__xludf.DUMMYFUNCTION("""COMPUTED_VALUE"""),"Razer")</f>
        <v>Razer</v>
      </c>
      <c r="C1233" s="2" t="str">
        <f ca="1">IFERROR(__xludf.DUMMYFUNCTION("""COMPUTED_VALUE"""),"Blade Pro")</f>
        <v>Blade Pro</v>
      </c>
      <c r="D1233" s="2" t="str">
        <f ca="1">IFERROR(__xludf.DUMMYFUNCTION("""COMPUTED_VALUE"""),"Gaming")</f>
        <v>Gaming</v>
      </c>
      <c r="E1233" s="2">
        <f ca="1">IFERROR(__xludf.DUMMYFUNCTION("""COMPUTED_VALUE"""),14)</f>
        <v>14</v>
      </c>
      <c r="F1233" s="2" t="str">
        <f ca="1">IFERROR(__xludf.DUMMYFUNCTION("""COMPUTED_VALUE"""),"Full HD 1920x1080")</f>
        <v>Full HD 1920x1080</v>
      </c>
      <c r="G1233" s="2" t="str">
        <f ca="1">IFERROR(__xludf.DUMMYFUNCTION("""COMPUTED_VALUE"""),"Intel Core i7 7700HQ 2.8GHz")</f>
        <v>Intel Core i7 7700HQ 2.8GHz</v>
      </c>
      <c r="H1233" s="2" t="str">
        <f ca="1">IFERROR(__xludf.DUMMYFUNCTION("""COMPUTED_VALUE"""),"16GB")</f>
        <v>16GB</v>
      </c>
      <c r="I1233" s="2" t="str">
        <f ca="1">IFERROR(__xludf.DUMMYFUNCTION("""COMPUTED_VALUE"""),"1TB SSD")</f>
        <v>1TB SSD</v>
      </c>
      <c r="J1233" s="2" t="str">
        <f ca="1">IFERROR(__xludf.DUMMYFUNCTION("""COMPUTED_VALUE"""),"Nvidia GeForce GTX 1060")</f>
        <v>Nvidia GeForce GTX 1060</v>
      </c>
      <c r="K1233" s="2" t="str">
        <f ca="1">IFERROR(__xludf.DUMMYFUNCTION("""COMPUTED_VALUE"""),"Windows 10")</f>
        <v>Windows 10</v>
      </c>
      <c r="L1233" s="2" t="str">
        <f ca="1">IFERROR(__xludf.DUMMYFUNCTION("""COMPUTED_VALUE"""),"1.95kg")</f>
        <v>1.95kg</v>
      </c>
      <c r="M1233" s="2">
        <f ca="1">IFERROR(__xludf.DUMMYFUNCTION("""COMPUTED_VALUE"""),3499)</f>
        <v>3499</v>
      </c>
    </row>
    <row r="1234" spans="1:13">
      <c r="A1234" s="2">
        <f ca="1">IFERROR(__xludf.DUMMYFUNCTION("""COMPUTED_VALUE"""),1250)</f>
        <v>1250</v>
      </c>
      <c r="B1234" s="2" t="str">
        <f ca="1">IFERROR(__xludf.DUMMYFUNCTION("""COMPUTED_VALUE"""),"Dell")</f>
        <v>Dell</v>
      </c>
      <c r="C1234" s="2" t="str">
        <f ca="1">IFERROR(__xludf.DUMMYFUNCTION("""COMPUTED_VALUE"""),"Inspiron 3567")</f>
        <v>Inspiron 3567</v>
      </c>
      <c r="D1234" s="2" t="str">
        <f ca="1">IFERROR(__xludf.DUMMYFUNCTION("""COMPUTED_VALUE"""),"Notebook")</f>
        <v>Notebook</v>
      </c>
      <c r="E1234" s="2">
        <f ca="1">IFERROR(__xludf.DUMMYFUNCTION("""COMPUTED_VALUE"""),15.6)</f>
        <v>15.6</v>
      </c>
      <c r="F1234" s="2" t="str">
        <f ca="1">IFERROR(__xludf.DUMMYFUNCTION("""COMPUTED_VALUE"""),"Touchscreen 1366x768")</f>
        <v>Touchscreen 1366x768</v>
      </c>
      <c r="G1234" s="2" t="str">
        <f ca="1">IFERROR(__xludf.DUMMYFUNCTION("""COMPUTED_VALUE"""),"Intel Core i3 7100U 2.4GHz")</f>
        <v>Intel Core i3 7100U 2.4GHz</v>
      </c>
      <c r="H1234" s="2" t="str">
        <f ca="1">IFERROR(__xludf.DUMMYFUNCTION("""COMPUTED_VALUE"""),"8GB")</f>
        <v>8GB</v>
      </c>
      <c r="I1234" s="2" t="str">
        <f ca="1">IFERROR(__xludf.DUMMYFUNCTION("""COMPUTED_VALUE"""),"1TB HDD")</f>
        <v>1TB HDD</v>
      </c>
      <c r="J1234" s="2" t="str">
        <f ca="1">IFERROR(__xludf.DUMMYFUNCTION("""COMPUTED_VALUE"""),"Intel HD Graphics 620")</f>
        <v>Intel HD Graphics 620</v>
      </c>
      <c r="K1234" s="2" t="str">
        <f ca="1">IFERROR(__xludf.DUMMYFUNCTION("""COMPUTED_VALUE"""),"Windows 10")</f>
        <v>Windows 10</v>
      </c>
      <c r="L1234" s="2" t="str">
        <f ca="1">IFERROR(__xludf.DUMMYFUNCTION("""COMPUTED_VALUE"""),"2.3kg")</f>
        <v>2.3kg</v>
      </c>
      <c r="M1234" s="2">
        <f ca="1">IFERROR(__xludf.DUMMYFUNCTION("""COMPUTED_VALUE"""),469.01)</f>
        <v>469.01</v>
      </c>
    </row>
    <row r="1235" spans="1:13">
      <c r="A1235" s="2">
        <f ca="1">IFERROR(__xludf.DUMMYFUNCTION("""COMPUTED_VALUE"""),1251)</f>
        <v>1251</v>
      </c>
      <c r="B1235" s="2" t="str">
        <f ca="1">IFERROR(__xludf.DUMMYFUNCTION("""COMPUTED_VALUE"""),"MSI")</f>
        <v>MSI</v>
      </c>
      <c r="C1235" s="2" t="str">
        <f ca="1">IFERROR(__xludf.DUMMYFUNCTION("""COMPUTED_VALUE"""),"GE72VR Apache")</f>
        <v>GE72VR Apache</v>
      </c>
      <c r="D1235" s="2" t="str">
        <f ca="1">IFERROR(__xludf.DUMMYFUNCTION("""COMPUTED_VALUE"""),"Gaming")</f>
        <v>Gaming</v>
      </c>
      <c r="E1235" s="2">
        <f ca="1">IFERROR(__xludf.DUMMYFUNCTION("""COMPUTED_VALUE"""),17.3)</f>
        <v>17.3</v>
      </c>
      <c r="F1235" s="2" t="str">
        <f ca="1">IFERROR(__xludf.DUMMYFUNCTION("""COMPUTED_VALUE"""),"Full HD 1920x1080")</f>
        <v>Full HD 1920x1080</v>
      </c>
      <c r="G1235" s="2" t="str">
        <f ca="1">IFERROR(__xludf.DUMMYFUNCTION("""COMPUTED_VALUE"""),"Intel Core i7 7700HQ 2.8GHz")</f>
        <v>Intel Core i7 7700HQ 2.8GHz</v>
      </c>
      <c r="H1235" s="2" t="str">
        <f ca="1">IFERROR(__xludf.DUMMYFUNCTION("""COMPUTED_VALUE"""),"16GB")</f>
        <v>16GB</v>
      </c>
      <c r="I1235" s="2" t="str">
        <f ca="1">IFERROR(__xludf.DUMMYFUNCTION("""COMPUTED_VALUE"""),"256GB SSD +  1TB HDD")</f>
        <v>256GB SSD +  1TB HDD</v>
      </c>
      <c r="J1235" s="2" t="str">
        <f ca="1">IFERROR(__xludf.DUMMYFUNCTION("""COMPUTED_VALUE"""),"Nvidia GeForce GTX 1060")</f>
        <v>Nvidia GeForce GTX 1060</v>
      </c>
      <c r="K1235" s="2" t="str">
        <f ca="1">IFERROR(__xludf.DUMMYFUNCTION("""COMPUTED_VALUE"""),"Windows 10")</f>
        <v>Windows 10</v>
      </c>
      <c r="L1235" s="2" t="str">
        <f ca="1">IFERROR(__xludf.DUMMYFUNCTION("""COMPUTED_VALUE"""),"2.7kg")</f>
        <v>2.7kg</v>
      </c>
      <c r="M1235" s="2">
        <f ca="1">IFERROR(__xludf.DUMMYFUNCTION("""COMPUTED_VALUE"""),1598)</f>
        <v>1598</v>
      </c>
    </row>
    <row r="1236" spans="1:13">
      <c r="A1236" s="2">
        <f ca="1">IFERROR(__xludf.DUMMYFUNCTION("""COMPUTED_VALUE"""),1252)</f>
        <v>1252</v>
      </c>
      <c r="B1236" s="2" t="str">
        <f ca="1">IFERROR(__xludf.DUMMYFUNCTION("""COMPUTED_VALUE"""),"Apple")</f>
        <v>Apple</v>
      </c>
      <c r="C1236" s="2" t="str">
        <f ca="1">IFERROR(__xludf.DUMMYFUNCTION("""COMPUTED_VALUE"""),"MacBook Air")</f>
        <v>MacBook Air</v>
      </c>
      <c r="D1236" s="2" t="str">
        <f ca="1">IFERROR(__xludf.DUMMYFUNCTION("""COMPUTED_VALUE"""),"Ultrabook")</f>
        <v>Ultrabook</v>
      </c>
      <c r="E1236" s="2">
        <f ca="1">IFERROR(__xludf.DUMMYFUNCTION("""COMPUTED_VALUE"""),11.6)</f>
        <v>11.6</v>
      </c>
      <c r="F1236" s="2" t="str">
        <f ca="1">IFERROR(__xludf.DUMMYFUNCTION("""COMPUTED_VALUE"""),"1366x768")</f>
        <v>1366x768</v>
      </c>
      <c r="G1236" s="2" t="str">
        <f ca="1">IFERROR(__xludf.DUMMYFUNCTION("""COMPUTED_VALUE"""),"Intel Core i5 1.6GHz")</f>
        <v>Intel Core i5 1.6GHz</v>
      </c>
      <c r="H1236" s="2" t="str">
        <f ca="1">IFERROR(__xludf.DUMMYFUNCTION("""COMPUTED_VALUE"""),"4GB")</f>
        <v>4GB</v>
      </c>
      <c r="I1236" s="2" t="str">
        <f ca="1">IFERROR(__xludf.DUMMYFUNCTION("""COMPUTED_VALUE"""),"256GB Flash Storage")</f>
        <v>256GB Flash Storage</v>
      </c>
      <c r="J1236" s="2" t="str">
        <f ca="1">IFERROR(__xludf.DUMMYFUNCTION("""COMPUTED_VALUE"""),"Intel HD Graphics 6000")</f>
        <v>Intel HD Graphics 6000</v>
      </c>
      <c r="K1236" s="2" t="str">
        <f ca="1">IFERROR(__xludf.DUMMYFUNCTION("""COMPUTED_VALUE"""),"Mac OS X")</f>
        <v>Mac OS X</v>
      </c>
      <c r="L1236" s="2" t="str">
        <f ca="1">IFERROR(__xludf.DUMMYFUNCTION("""COMPUTED_VALUE"""),"1.08kg")</f>
        <v>1.08kg</v>
      </c>
      <c r="M1236" s="2">
        <f ca="1">IFERROR(__xludf.DUMMYFUNCTION("""COMPUTED_VALUE"""),959)</f>
        <v>959</v>
      </c>
    </row>
    <row r="1237" spans="1:13">
      <c r="A1237" s="2">
        <f ca="1">IFERROR(__xludf.DUMMYFUNCTION("""COMPUTED_VALUE"""),1253)</f>
        <v>1253</v>
      </c>
      <c r="B1237" s="2" t="str">
        <f ca="1">IFERROR(__xludf.DUMMYFUNCTION("""COMPUTED_VALUE"""),"HP")</f>
        <v>HP</v>
      </c>
      <c r="C1237" s="2" t="str">
        <f ca="1">IFERROR(__xludf.DUMMYFUNCTION("""COMPUTED_VALUE"""),"15-bs023nv (i3-6006U/4GB/1TB/FHD/W10)")</f>
        <v>15-bs023nv (i3-6006U/4GB/1TB/FHD/W10)</v>
      </c>
      <c r="D1237" s="2" t="str">
        <f ca="1">IFERROR(__xludf.DUMMYFUNCTION("""COMPUTED_VALUE"""),"Notebook")</f>
        <v>Notebook</v>
      </c>
      <c r="E1237" s="2">
        <f ca="1">IFERROR(__xludf.DUMMYFUNCTION("""COMPUTED_VALUE"""),15.6)</f>
        <v>15.6</v>
      </c>
      <c r="F1237" s="2" t="str">
        <f ca="1">IFERROR(__xludf.DUMMYFUNCTION("""COMPUTED_VALUE"""),"Full HD 1920x1080")</f>
        <v>Full HD 1920x1080</v>
      </c>
      <c r="G1237" s="2" t="str">
        <f ca="1">IFERROR(__xludf.DUMMYFUNCTION("""COMPUTED_VALUE"""),"Intel Core i3 6006U 2GHz")</f>
        <v>Intel Core i3 6006U 2GHz</v>
      </c>
      <c r="H1237" s="2" t="str">
        <f ca="1">IFERROR(__xludf.DUMMYFUNCTION("""COMPUTED_VALUE"""),"4GB")</f>
        <v>4GB</v>
      </c>
      <c r="I1237" s="2" t="str">
        <f ca="1">IFERROR(__xludf.DUMMYFUNCTION("""COMPUTED_VALUE"""),"1TB HDD")</f>
        <v>1TB HDD</v>
      </c>
      <c r="J1237" s="2" t="str">
        <f ca="1">IFERROR(__xludf.DUMMYFUNCTION("""COMPUTED_VALUE"""),"Intel HD Graphics 520")</f>
        <v>Intel HD Graphics 520</v>
      </c>
      <c r="K1237" s="2" t="str">
        <f ca="1">IFERROR(__xludf.DUMMYFUNCTION("""COMPUTED_VALUE"""),"Windows 10")</f>
        <v>Windows 10</v>
      </c>
      <c r="L1237" s="2" t="str">
        <f ca="1">IFERROR(__xludf.DUMMYFUNCTION("""COMPUTED_VALUE"""),"2.1kg")</f>
        <v>2.1kg</v>
      </c>
      <c r="M1237" s="2">
        <f ca="1">IFERROR(__xludf.DUMMYFUNCTION("""COMPUTED_VALUE"""),478)</f>
        <v>478</v>
      </c>
    </row>
    <row r="1238" spans="1:13">
      <c r="A1238" s="2">
        <f ca="1">IFERROR(__xludf.DUMMYFUNCTION("""COMPUTED_VALUE"""),1254)</f>
        <v>1254</v>
      </c>
      <c r="B1238" s="2" t="str">
        <f ca="1">IFERROR(__xludf.DUMMYFUNCTION("""COMPUTED_VALUE"""),"HP")</f>
        <v>HP</v>
      </c>
      <c r="C1238" s="2" t="str">
        <f ca="1">IFERROR(__xludf.DUMMYFUNCTION("""COMPUTED_VALUE"""),"EliteBook 840")</f>
        <v>EliteBook 840</v>
      </c>
      <c r="D1238" s="2" t="str">
        <f ca="1">IFERROR(__xludf.DUMMYFUNCTION("""COMPUTED_VALUE"""),"Ultrabook")</f>
        <v>Ultrabook</v>
      </c>
      <c r="E1238" s="2">
        <f ca="1">IFERROR(__xludf.DUMMYFUNCTION("""COMPUTED_VALUE"""),14)</f>
        <v>14</v>
      </c>
      <c r="F1238" s="2" t="str">
        <f ca="1">IFERROR(__xludf.DUMMYFUNCTION("""COMPUTED_VALUE"""),"2560x1440")</f>
        <v>2560x1440</v>
      </c>
      <c r="G1238" s="2" t="str">
        <f ca="1">IFERROR(__xludf.DUMMYFUNCTION("""COMPUTED_VALUE"""),"Intel Core i7 6500U 2.5GHz")</f>
        <v>Intel Core i7 6500U 2.5GHz</v>
      </c>
      <c r="H1238" s="2" t="str">
        <f ca="1">IFERROR(__xludf.DUMMYFUNCTION("""COMPUTED_VALUE"""),"8GB")</f>
        <v>8GB</v>
      </c>
      <c r="I1238" s="2" t="str">
        <f ca="1">IFERROR(__xludf.DUMMYFUNCTION("""COMPUTED_VALUE"""),"256GB SSD")</f>
        <v>256GB SSD</v>
      </c>
      <c r="J1238" s="2" t="str">
        <f ca="1">IFERROR(__xludf.DUMMYFUNCTION("""COMPUTED_VALUE"""),"Intel HD Graphics 520")</f>
        <v>Intel HD Graphics 520</v>
      </c>
      <c r="K1238" s="2" t="str">
        <f ca="1">IFERROR(__xludf.DUMMYFUNCTION("""COMPUTED_VALUE"""),"Windows 7")</f>
        <v>Windows 7</v>
      </c>
      <c r="L1238" s="2" t="str">
        <f ca="1">IFERROR(__xludf.DUMMYFUNCTION("""COMPUTED_VALUE"""),"1.54kg")</f>
        <v>1.54kg</v>
      </c>
      <c r="M1238" s="2">
        <f ca="1">IFERROR(__xludf.DUMMYFUNCTION("""COMPUTED_VALUE"""),2198.19)</f>
        <v>2198.19</v>
      </c>
    </row>
    <row r="1239" spans="1:13">
      <c r="A1239" s="2">
        <f ca="1">IFERROR(__xludf.DUMMYFUNCTION("""COMPUTED_VALUE"""),1255)</f>
        <v>1255</v>
      </c>
      <c r="B1239" s="2" t="str">
        <f ca="1">IFERROR(__xludf.DUMMYFUNCTION("""COMPUTED_VALUE"""),"Dell")</f>
        <v>Dell</v>
      </c>
      <c r="C1239" s="2" t="str">
        <f ca="1">IFERROR(__xludf.DUMMYFUNCTION("""COMPUTED_VALUE"""),"Vostro 3559")</f>
        <v>Vostro 3559</v>
      </c>
      <c r="D1239" s="2" t="str">
        <f ca="1">IFERROR(__xludf.DUMMYFUNCTION("""COMPUTED_VALUE"""),"Notebook")</f>
        <v>Notebook</v>
      </c>
      <c r="E1239" s="2">
        <f ca="1">IFERROR(__xludf.DUMMYFUNCTION("""COMPUTED_VALUE"""),15.6)</f>
        <v>15.6</v>
      </c>
      <c r="F1239" s="2" t="str">
        <f ca="1">IFERROR(__xludf.DUMMYFUNCTION("""COMPUTED_VALUE"""),"1366x768")</f>
        <v>1366x768</v>
      </c>
      <c r="G1239" s="2" t="str">
        <f ca="1">IFERROR(__xludf.DUMMYFUNCTION("""COMPUTED_VALUE"""),"Intel Core i5 6200U 2.3GHz")</f>
        <v>Intel Core i5 6200U 2.3GHz</v>
      </c>
      <c r="H1239" s="2" t="str">
        <f ca="1">IFERROR(__xludf.DUMMYFUNCTION("""COMPUTED_VALUE"""),"4GB")</f>
        <v>4GB</v>
      </c>
      <c r="I1239" s="2" t="str">
        <f ca="1">IFERROR(__xludf.DUMMYFUNCTION("""COMPUTED_VALUE"""),"500GB HDD")</f>
        <v>500GB HDD</v>
      </c>
      <c r="J1239" s="2" t="str">
        <f ca="1">IFERROR(__xludf.DUMMYFUNCTION("""COMPUTED_VALUE"""),"Intel HD Graphics 520")</f>
        <v>Intel HD Graphics 520</v>
      </c>
      <c r="K1239" s="2" t="str">
        <f ca="1">IFERROR(__xludf.DUMMYFUNCTION("""COMPUTED_VALUE"""),"Windows 7")</f>
        <v>Windows 7</v>
      </c>
      <c r="L1239" s="2" t="str">
        <f ca="1">IFERROR(__xludf.DUMMYFUNCTION("""COMPUTED_VALUE"""),"2.24kg")</f>
        <v>2.24kg</v>
      </c>
      <c r="M1239" s="2">
        <f ca="1">IFERROR(__xludf.DUMMYFUNCTION("""COMPUTED_VALUE"""),737)</f>
        <v>737</v>
      </c>
    </row>
    <row r="1240" spans="1:13">
      <c r="A1240" s="2">
        <f ca="1">IFERROR(__xludf.DUMMYFUNCTION("""COMPUTED_VALUE"""),1256)</f>
        <v>1256</v>
      </c>
      <c r="B1240" s="2" t="str">
        <f ca="1">IFERROR(__xludf.DUMMYFUNCTION("""COMPUTED_VALUE"""),"MSI")</f>
        <v>MSI</v>
      </c>
      <c r="C1240" s="2" t="str">
        <f ca="1">IFERROR(__xludf.DUMMYFUNCTION("""COMPUTED_VALUE"""),"GL62 6QF")</f>
        <v>GL62 6QF</v>
      </c>
      <c r="D1240" s="2" t="str">
        <f ca="1">IFERROR(__xludf.DUMMYFUNCTION("""COMPUTED_VALUE"""),"Gaming")</f>
        <v>Gaming</v>
      </c>
      <c r="E1240" s="2">
        <f ca="1">IFERROR(__xludf.DUMMYFUNCTION("""COMPUTED_VALUE"""),15.6)</f>
        <v>15.6</v>
      </c>
      <c r="F1240" s="2" t="str">
        <f ca="1">IFERROR(__xludf.DUMMYFUNCTION("""COMPUTED_VALUE"""),"Full HD 1920x1080")</f>
        <v>Full HD 1920x1080</v>
      </c>
      <c r="G1240" s="2" t="str">
        <f ca="1">IFERROR(__xludf.DUMMYFUNCTION("""COMPUTED_VALUE"""),"Intel Core i7 6700HQ 2.6GHz")</f>
        <v>Intel Core i7 6700HQ 2.6GHz</v>
      </c>
      <c r="H1240" s="2" t="str">
        <f ca="1">IFERROR(__xludf.DUMMYFUNCTION("""COMPUTED_VALUE"""),"8GB")</f>
        <v>8GB</v>
      </c>
      <c r="I1240" s="2" t="str">
        <f ca="1">IFERROR(__xludf.DUMMYFUNCTION("""COMPUTED_VALUE"""),"128GB SSD +  1TB HDD")</f>
        <v>128GB SSD +  1TB HDD</v>
      </c>
      <c r="J1240" s="2" t="str">
        <f ca="1">IFERROR(__xludf.DUMMYFUNCTION("""COMPUTED_VALUE"""),"Nvidia GeForce GTX 960M")</f>
        <v>Nvidia GeForce GTX 960M</v>
      </c>
      <c r="K1240" s="2" t="str">
        <f ca="1">IFERROR(__xludf.DUMMYFUNCTION("""COMPUTED_VALUE"""),"Windows 10")</f>
        <v>Windows 10</v>
      </c>
      <c r="L1240" s="2" t="str">
        <f ca="1">IFERROR(__xludf.DUMMYFUNCTION("""COMPUTED_VALUE"""),"2.3kg")</f>
        <v>2.3kg</v>
      </c>
      <c r="M1240" s="2">
        <f ca="1">IFERROR(__xludf.DUMMYFUNCTION("""COMPUTED_VALUE"""),1169)</f>
        <v>1169</v>
      </c>
    </row>
    <row r="1241" spans="1:13">
      <c r="A1241" s="2">
        <f ca="1">IFERROR(__xludf.DUMMYFUNCTION("""COMPUTED_VALUE"""),1257)</f>
        <v>1257</v>
      </c>
      <c r="B1241" s="2" t="str">
        <f ca="1">IFERROR(__xludf.DUMMYFUNCTION("""COMPUTED_VALUE"""),"Lenovo")</f>
        <v>Lenovo</v>
      </c>
      <c r="C1241" s="2" t="str">
        <f ca="1">IFERROR(__xludf.DUMMYFUNCTION("""COMPUTED_VALUE"""),"ThinkPad 13")</f>
        <v>ThinkPad 13</v>
      </c>
      <c r="D1241" s="2" t="str">
        <f ca="1">IFERROR(__xludf.DUMMYFUNCTION("""COMPUTED_VALUE"""),"Notebook")</f>
        <v>Notebook</v>
      </c>
      <c r="E1241" s="2">
        <f ca="1">IFERROR(__xludf.DUMMYFUNCTION("""COMPUTED_VALUE"""),13.3)</f>
        <v>13.3</v>
      </c>
      <c r="F1241" s="2" t="str">
        <f ca="1">IFERROR(__xludf.DUMMYFUNCTION("""COMPUTED_VALUE"""),"IPS Panel Full HD 1920x1080")</f>
        <v>IPS Panel Full HD 1920x1080</v>
      </c>
      <c r="G1241" s="2" t="str">
        <f ca="1">IFERROR(__xludf.DUMMYFUNCTION("""COMPUTED_VALUE"""),"Intel Core i7 7500U 2.7GHz")</f>
        <v>Intel Core i7 7500U 2.7GHz</v>
      </c>
      <c r="H1241" s="2" t="str">
        <f ca="1">IFERROR(__xludf.DUMMYFUNCTION("""COMPUTED_VALUE"""),"16GB")</f>
        <v>16GB</v>
      </c>
      <c r="I1241" s="2" t="str">
        <f ca="1">IFERROR(__xludf.DUMMYFUNCTION("""COMPUTED_VALUE"""),"512GB SSD")</f>
        <v>512GB SSD</v>
      </c>
      <c r="J1241" s="2" t="str">
        <f ca="1">IFERROR(__xludf.DUMMYFUNCTION("""COMPUTED_VALUE"""),"Intel HD Graphics 620")</f>
        <v>Intel HD Graphics 620</v>
      </c>
      <c r="K1241" s="2" t="str">
        <f ca="1">IFERROR(__xludf.DUMMYFUNCTION("""COMPUTED_VALUE"""),"Windows 10")</f>
        <v>Windows 10</v>
      </c>
      <c r="L1241" s="2" t="str">
        <f ca="1">IFERROR(__xludf.DUMMYFUNCTION("""COMPUTED_VALUE"""),"1.4kg")</f>
        <v>1.4kg</v>
      </c>
      <c r="M1241" s="2">
        <f ca="1">IFERROR(__xludf.DUMMYFUNCTION("""COMPUTED_VALUE"""),1499)</f>
        <v>1499</v>
      </c>
    </row>
    <row r="1242" spans="1:13">
      <c r="A1242" s="2">
        <f ca="1">IFERROR(__xludf.DUMMYFUNCTION("""COMPUTED_VALUE"""),1258)</f>
        <v>1258</v>
      </c>
      <c r="B1242" s="2" t="str">
        <f ca="1">IFERROR(__xludf.DUMMYFUNCTION("""COMPUTED_VALUE"""),"Lenovo")</f>
        <v>Lenovo</v>
      </c>
      <c r="C1242" s="2" t="str">
        <f ca="1">IFERROR(__xludf.DUMMYFUNCTION("""COMPUTED_VALUE"""),"IdeaPad 320-15ABR")</f>
        <v>IdeaPad 320-15ABR</v>
      </c>
      <c r="D1242" s="2" t="str">
        <f ca="1">IFERROR(__xludf.DUMMYFUNCTION("""COMPUTED_VALUE"""),"Notebook")</f>
        <v>Notebook</v>
      </c>
      <c r="E1242" s="2">
        <f ca="1">IFERROR(__xludf.DUMMYFUNCTION("""COMPUTED_VALUE"""),15.6)</f>
        <v>15.6</v>
      </c>
      <c r="F1242" s="2" t="str">
        <f ca="1">IFERROR(__xludf.DUMMYFUNCTION("""COMPUTED_VALUE"""),"Full HD 1920x1080")</f>
        <v>Full HD 1920x1080</v>
      </c>
      <c r="G1242" s="2" t="str">
        <f ca="1">IFERROR(__xludf.DUMMYFUNCTION("""COMPUTED_VALUE"""),"AMD A12-Series 9720P 3.6GHz")</f>
        <v>AMD A12-Series 9720P 3.6GHz</v>
      </c>
      <c r="H1242" s="2" t="str">
        <f ca="1">IFERROR(__xludf.DUMMYFUNCTION("""COMPUTED_VALUE"""),"6GB")</f>
        <v>6GB</v>
      </c>
      <c r="I1242" s="2" t="str">
        <f ca="1">IFERROR(__xludf.DUMMYFUNCTION("""COMPUTED_VALUE"""),"256GB SSD")</f>
        <v>256GB SSD</v>
      </c>
      <c r="J1242" s="2" t="str">
        <f ca="1">IFERROR(__xludf.DUMMYFUNCTION("""COMPUTED_VALUE"""),"AMD Radeon 530")</f>
        <v>AMD Radeon 530</v>
      </c>
      <c r="K1242" s="2" t="str">
        <f ca="1">IFERROR(__xludf.DUMMYFUNCTION("""COMPUTED_VALUE"""),"Windows 10")</f>
        <v>Windows 10</v>
      </c>
      <c r="L1242" s="2" t="str">
        <f ca="1">IFERROR(__xludf.DUMMYFUNCTION("""COMPUTED_VALUE"""),"2.2kg")</f>
        <v>2.2kg</v>
      </c>
      <c r="M1242" s="2">
        <f ca="1">IFERROR(__xludf.DUMMYFUNCTION("""COMPUTED_VALUE"""),597.57)</f>
        <v>597.57000000000005</v>
      </c>
    </row>
    <row r="1243" spans="1:13">
      <c r="A1243" s="2">
        <f ca="1">IFERROR(__xludf.DUMMYFUNCTION("""COMPUTED_VALUE"""),1259)</f>
        <v>1259</v>
      </c>
      <c r="B1243" s="2" t="str">
        <f ca="1">IFERROR(__xludf.DUMMYFUNCTION("""COMPUTED_VALUE"""),"Asus")</f>
        <v>Asus</v>
      </c>
      <c r="C1243" s="2" t="str">
        <f ca="1">IFERROR(__xludf.DUMMYFUNCTION("""COMPUTED_VALUE"""),"ZenBook UX310UA-WB71")</f>
        <v>ZenBook UX310UA-WB71</v>
      </c>
      <c r="D1243" s="2" t="str">
        <f ca="1">IFERROR(__xludf.DUMMYFUNCTION("""COMPUTED_VALUE"""),"Ultrabook")</f>
        <v>Ultrabook</v>
      </c>
      <c r="E1243" s="2">
        <f ca="1">IFERROR(__xludf.DUMMYFUNCTION("""COMPUTED_VALUE"""),13.3)</f>
        <v>13.3</v>
      </c>
      <c r="F1243" s="2" t="str">
        <f ca="1">IFERROR(__xludf.DUMMYFUNCTION("""COMPUTED_VALUE"""),"Full HD 1920x1080")</f>
        <v>Full HD 1920x1080</v>
      </c>
      <c r="G1243" s="2" t="str">
        <f ca="1">IFERROR(__xludf.DUMMYFUNCTION("""COMPUTED_VALUE"""),"Intel Core i7 6500U 2.5GHz")</f>
        <v>Intel Core i7 6500U 2.5GHz</v>
      </c>
      <c r="H1243" s="2" t="str">
        <f ca="1">IFERROR(__xludf.DUMMYFUNCTION("""COMPUTED_VALUE"""),"8GB")</f>
        <v>8GB</v>
      </c>
      <c r="I1243" s="2" t="str">
        <f ca="1">IFERROR(__xludf.DUMMYFUNCTION("""COMPUTED_VALUE"""),"256GB SSD")</f>
        <v>256GB SSD</v>
      </c>
      <c r="J1243" s="2" t="str">
        <f ca="1">IFERROR(__xludf.DUMMYFUNCTION("""COMPUTED_VALUE"""),"Intel HD Graphics 520")</f>
        <v>Intel HD Graphics 520</v>
      </c>
      <c r="K1243" s="2" t="str">
        <f ca="1">IFERROR(__xludf.DUMMYFUNCTION("""COMPUTED_VALUE"""),"Windows 10")</f>
        <v>Windows 10</v>
      </c>
      <c r="L1243" s="2" t="str">
        <f ca="1">IFERROR(__xludf.DUMMYFUNCTION("""COMPUTED_VALUE"""),"1.45kg")</f>
        <v>1.45kg</v>
      </c>
      <c r="M1243" s="2">
        <f ca="1">IFERROR(__xludf.DUMMYFUNCTION("""COMPUTED_VALUE"""),1280)</f>
        <v>1280</v>
      </c>
    </row>
    <row r="1244" spans="1:13">
      <c r="A1244" s="2">
        <f ca="1">IFERROR(__xludf.DUMMYFUNCTION("""COMPUTED_VALUE"""),1260)</f>
        <v>1260</v>
      </c>
      <c r="B1244" s="2" t="str">
        <f ca="1">IFERROR(__xludf.DUMMYFUNCTION("""COMPUTED_VALUE"""),"Acer")</f>
        <v>Acer</v>
      </c>
      <c r="C1244" s="2" t="str">
        <f ca="1">IFERROR(__xludf.DUMMYFUNCTION("""COMPUTED_VALUE"""),"Aspire ES1-572")</f>
        <v>Aspire ES1-572</v>
      </c>
      <c r="D1244" s="2" t="str">
        <f ca="1">IFERROR(__xludf.DUMMYFUNCTION("""COMPUTED_VALUE"""),"Notebook")</f>
        <v>Notebook</v>
      </c>
      <c r="E1244" s="2">
        <f ca="1">IFERROR(__xludf.DUMMYFUNCTION("""COMPUTED_VALUE"""),15.6)</f>
        <v>15.6</v>
      </c>
      <c r="F1244" s="2" t="str">
        <f ca="1">IFERROR(__xludf.DUMMYFUNCTION("""COMPUTED_VALUE"""),"1366x768")</f>
        <v>1366x768</v>
      </c>
      <c r="G1244" s="2" t="str">
        <f ca="1">IFERROR(__xludf.DUMMYFUNCTION("""COMPUTED_VALUE"""),"Intel Core i3 6006U 2.0GHz")</f>
        <v>Intel Core i3 6006U 2.0GHz</v>
      </c>
      <c r="H1244" s="2" t="str">
        <f ca="1">IFERROR(__xludf.DUMMYFUNCTION("""COMPUTED_VALUE"""),"4GB")</f>
        <v>4GB</v>
      </c>
      <c r="I1244" s="2" t="str">
        <f ca="1">IFERROR(__xludf.DUMMYFUNCTION("""COMPUTED_VALUE"""),"500GB HDD")</f>
        <v>500GB HDD</v>
      </c>
      <c r="J1244" s="2" t="str">
        <f ca="1">IFERROR(__xludf.DUMMYFUNCTION("""COMPUTED_VALUE"""),"Intel HD Graphics 520")</f>
        <v>Intel HD Graphics 520</v>
      </c>
      <c r="K1244" s="2" t="str">
        <f ca="1">IFERROR(__xludf.DUMMYFUNCTION("""COMPUTED_VALUE"""),"Linux")</f>
        <v>Linux</v>
      </c>
      <c r="L1244" s="2" t="str">
        <f ca="1">IFERROR(__xludf.DUMMYFUNCTION("""COMPUTED_VALUE"""),"2.4kg")</f>
        <v>2.4kg</v>
      </c>
      <c r="M1244" s="2">
        <f ca="1">IFERROR(__xludf.DUMMYFUNCTION("""COMPUTED_VALUE"""),361.8)</f>
        <v>361.8</v>
      </c>
    </row>
    <row r="1245" spans="1:13">
      <c r="A1245" s="2">
        <f ca="1">IFERROR(__xludf.DUMMYFUNCTION("""COMPUTED_VALUE"""),1261)</f>
        <v>1261</v>
      </c>
      <c r="B1245" s="2" t="str">
        <f ca="1">IFERROR(__xludf.DUMMYFUNCTION("""COMPUTED_VALUE"""),"Dell")</f>
        <v>Dell</v>
      </c>
      <c r="C1245" s="2" t="str">
        <f ca="1">IFERROR(__xludf.DUMMYFUNCTION("""COMPUTED_VALUE"""),"Inspiron 7779")</f>
        <v>Inspiron 7779</v>
      </c>
      <c r="D1245" s="2" t="str">
        <f ca="1">IFERROR(__xludf.DUMMYFUNCTION("""COMPUTED_VALUE"""),"2 in 1 Convertible")</f>
        <v>2 in 1 Convertible</v>
      </c>
      <c r="E1245" s="2">
        <f ca="1">IFERROR(__xludf.DUMMYFUNCTION("""COMPUTED_VALUE"""),17.3)</f>
        <v>17.3</v>
      </c>
      <c r="F1245" s="2" t="str">
        <f ca="1">IFERROR(__xludf.DUMMYFUNCTION("""COMPUTED_VALUE"""),"Full HD / Touchscreen 1920x1080")</f>
        <v>Full HD / Touchscreen 1920x1080</v>
      </c>
      <c r="G1245" s="2" t="str">
        <f ca="1">IFERROR(__xludf.DUMMYFUNCTION("""COMPUTED_VALUE"""),"Intel Core i7 7500U 2.7GHz")</f>
        <v>Intel Core i7 7500U 2.7GHz</v>
      </c>
      <c r="H1245" s="2" t="str">
        <f ca="1">IFERROR(__xludf.DUMMYFUNCTION("""COMPUTED_VALUE"""),"16GB")</f>
        <v>16GB</v>
      </c>
      <c r="I1245" s="2" t="str">
        <f ca="1">IFERROR(__xludf.DUMMYFUNCTION("""COMPUTED_VALUE"""),"512GB SSD")</f>
        <v>512GB SSD</v>
      </c>
      <c r="J1245" s="2" t="str">
        <f ca="1">IFERROR(__xludf.DUMMYFUNCTION("""COMPUTED_VALUE"""),"Nvidia GeForce 940MX")</f>
        <v>Nvidia GeForce 940MX</v>
      </c>
      <c r="K1245" s="2" t="str">
        <f ca="1">IFERROR(__xludf.DUMMYFUNCTION("""COMPUTED_VALUE"""),"Windows 10")</f>
        <v>Windows 10</v>
      </c>
      <c r="L1245" s="2" t="str">
        <f ca="1">IFERROR(__xludf.DUMMYFUNCTION("""COMPUTED_VALUE"""),"2.77kg")</f>
        <v>2.77kg</v>
      </c>
      <c r="M1245" s="2">
        <f ca="1">IFERROR(__xludf.DUMMYFUNCTION("""COMPUTED_VALUE"""),1799)</f>
        <v>1799</v>
      </c>
    </row>
    <row r="1246" spans="1:13">
      <c r="A1246" s="2">
        <f ca="1">IFERROR(__xludf.DUMMYFUNCTION("""COMPUTED_VALUE"""),1262)</f>
        <v>1262</v>
      </c>
      <c r="B1246" s="2" t="str">
        <f ca="1">IFERROR(__xludf.DUMMYFUNCTION("""COMPUTED_VALUE"""),"HP")</f>
        <v>HP</v>
      </c>
      <c r="C1246" s="2" t="str">
        <f ca="1">IFERROR(__xludf.DUMMYFUNCTION("""COMPUTED_VALUE"""),"EliteBook 840")</f>
        <v>EliteBook 840</v>
      </c>
      <c r="D1246" s="2" t="str">
        <f ca="1">IFERROR(__xludf.DUMMYFUNCTION("""COMPUTED_VALUE"""),"Notebook")</f>
        <v>Notebook</v>
      </c>
      <c r="E1246" s="2">
        <f ca="1">IFERROR(__xludf.DUMMYFUNCTION("""COMPUTED_VALUE"""),14)</f>
        <v>14</v>
      </c>
      <c r="F1246" s="2" t="str">
        <f ca="1">IFERROR(__xludf.DUMMYFUNCTION("""COMPUTED_VALUE"""),"Full HD 1920x1080")</f>
        <v>Full HD 1920x1080</v>
      </c>
      <c r="G1246" s="2" t="str">
        <f ca="1">IFERROR(__xludf.DUMMYFUNCTION("""COMPUTED_VALUE"""),"Intel Core i5 6200U 2.3GHz")</f>
        <v>Intel Core i5 6200U 2.3GHz</v>
      </c>
      <c r="H1246" s="2" t="str">
        <f ca="1">IFERROR(__xludf.DUMMYFUNCTION("""COMPUTED_VALUE"""),"4GB")</f>
        <v>4GB</v>
      </c>
      <c r="I1246" s="2" t="str">
        <f ca="1">IFERROR(__xludf.DUMMYFUNCTION("""COMPUTED_VALUE"""),"256GB SSD")</f>
        <v>256GB SSD</v>
      </c>
      <c r="J1246" s="2" t="str">
        <f ca="1">IFERROR(__xludf.DUMMYFUNCTION("""COMPUTED_VALUE"""),"Intel HD Graphics 520")</f>
        <v>Intel HD Graphics 520</v>
      </c>
      <c r="K1246" s="2" t="str">
        <f ca="1">IFERROR(__xludf.DUMMYFUNCTION("""COMPUTED_VALUE"""),"Windows 7")</f>
        <v>Windows 7</v>
      </c>
      <c r="L1246" s="2" t="str">
        <f ca="1">IFERROR(__xludf.DUMMYFUNCTION("""COMPUTED_VALUE"""),"1.54kg")</f>
        <v>1.54kg</v>
      </c>
      <c r="M1246" s="2">
        <f ca="1">IFERROR(__xludf.DUMMYFUNCTION("""COMPUTED_VALUE"""),1099.99)</f>
        <v>1099.99</v>
      </c>
    </row>
    <row r="1247" spans="1:13">
      <c r="A1247" s="2">
        <f ca="1">IFERROR(__xludf.DUMMYFUNCTION("""COMPUTED_VALUE"""),1263)</f>
        <v>1263</v>
      </c>
      <c r="B1247" s="2" t="str">
        <f ca="1">IFERROR(__xludf.DUMMYFUNCTION("""COMPUTED_VALUE"""),"Asus")</f>
        <v>Asus</v>
      </c>
      <c r="C1247" s="2" t="str">
        <f ca="1">IFERROR(__xludf.DUMMYFUNCTION("""COMPUTED_VALUE"""),"Rog GL553VE-FY052T")</f>
        <v>Rog GL553VE-FY052T</v>
      </c>
      <c r="D1247" s="2" t="str">
        <f ca="1">IFERROR(__xludf.DUMMYFUNCTION("""COMPUTED_VALUE"""),"Gaming")</f>
        <v>Gaming</v>
      </c>
      <c r="E1247" s="2">
        <f ca="1">IFERROR(__xludf.DUMMYFUNCTION("""COMPUTED_VALUE"""),15.6)</f>
        <v>15.6</v>
      </c>
      <c r="F1247" s="2" t="str">
        <f ca="1">IFERROR(__xludf.DUMMYFUNCTION("""COMPUTED_VALUE"""),"IPS Panel Full HD 1920x1080")</f>
        <v>IPS Panel Full HD 1920x1080</v>
      </c>
      <c r="G1247" s="2" t="str">
        <f ca="1">IFERROR(__xludf.DUMMYFUNCTION("""COMPUTED_VALUE"""),"Intel Core i7 7700HQ 2.8GHz")</f>
        <v>Intel Core i7 7700HQ 2.8GHz</v>
      </c>
      <c r="H1247" s="2" t="str">
        <f ca="1">IFERROR(__xludf.DUMMYFUNCTION("""COMPUTED_VALUE"""),"16GB")</f>
        <v>16GB</v>
      </c>
      <c r="I1247" s="2" t="str">
        <f ca="1">IFERROR(__xludf.DUMMYFUNCTION("""COMPUTED_VALUE"""),"256GB SSD +  1TB HDD")</f>
        <v>256GB SSD +  1TB HDD</v>
      </c>
      <c r="J1247" s="2" t="str">
        <f ca="1">IFERROR(__xludf.DUMMYFUNCTION("""COMPUTED_VALUE"""),"Nvidia GeForce GTX 1050 Ti")</f>
        <v>Nvidia GeForce GTX 1050 Ti</v>
      </c>
      <c r="K1247" s="2" t="str">
        <f ca="1">IFERROR(__xludf.DUMMYFUNCTION("""COMPUTED_VALUE"""),"Windows 10")</f>
        <v>Windows 10</v>
      </c>
      <c r="L1247" s="2" t="str">
        <f ca="1">IFERROR(__xludf.DUMMYFUNCTION("""COMPUTED_VALUE"""),"2.5kg")</f>
        <v>2.5kg</v>
      </c>
      <c r="M1247" s="2">
        <f ca="1">IFERROR(__xludf.DUMMYFUNCTION("""COMPUTED_VALUE"""),1600)</f>
        <v>1600</v>
      </c>
    </row>
    <row r="1248" spans="1:13">
      <c r="A1248" s="2">
        <f ca="1">IFERROR(__xludf.DUMMYFUNCTION("""COMPUTED_VALUE"""),1264)</f>
        <v>1264</v>
      </c>
      <c r="B1248" s="2" t="str">
        <f ca="1">IFERROR(__xludf.DUMMYFUNCTION("""COMPUTED_VALUE"""),"Dell")</f>
        <v>Dell</v>
      </c>
      <c r="C1248" s="2" t="str">
        <f ca="1">IFERROR(__xludf.DUMMYFUNCTION("""COMPUTED_VALUE"""),"Latitude 5480")</f>
        <v>Latitude 5480</v>
      </c>
      <c r="D1248" s="2" t="str">
        <f ca="1">IFERROR(__xludf.DUMMYFUNCTION("""COMPUTED_VALUE"""),"Notebook")</f>
        <v>Notebook</v>
      </c>
      <c r="E1248" s="2">
        <f ca="1">IFERROR(__xludf.DUMMYFUNCTION("""COMPUTED_VALUE"""),14)</f>
        <v>14</v>
      </c>
      <c r="F1248" s="2" t="str">
        <f ca="1">IFERROR(__xludf.DUMMYFUNCTION("""COMPUTED_VALUE"""),"1366x768")</f>
        <v>1366x768</v>
      </c>
      <c r="G1248" s="2" t="str">
        <f ca="1">IFERROR(__xludf.DUMMYFUNCTION("""COMPUTED_VALUE"""),"Intel Core i5 7200U 2.5GHz")</f>
        <v>Intel Core i5 7200U 2.5GHz</v>
      </c>
      <c r="H1248" s="2" t="str">
        <f ca="1">IFERROR(__xludf.DUMMYFUNCTION("""COMPUTED_VALUE"""),"4GB")</f>
        <v>4GB</v>
      </c>
      <c r="I1248" s="2" t="str">
        <f ca="1">IFERROR(__xludf.DUMMYFUNCTION("""COMPUTED_VALUE"""),"500GB HDD")</f>
        <v>500GB HDD</v>
      </c>
      <c r="J1248" s="2" t="str">
        <f ca="1">IFERROR(__xludf.DUMMYFUNCTION("""COMPUTED_VALUE"""),"Intel HD Graphics 620")</f>
        <v>Intel HD Graphics 620</v>
      </c>
      <c r="K1248" s="2" t="str">
        <f ca="1">IFERROR(__xludf.DUMMYFUNCTION("""COMPUTED_VALUE"""),"Windows 10")</f>
        <v>Windows 10</v>
      </c>
      <c r="L1248" s="2" t="str">
        <f ca="1">IFERROR(__xludf.DUMMYFUNCTION("""COMPUTED_VALUE"""),"1.6kg")</f>
        <v>1.6kg</v>
      </c>
      <c r="M1248" s="2">
        <f ca="1">IFERROR(__xludf.DUMMYFUNCTION("""COMPUTED_VALUE"""),875)</f>
        <v>875</v>
      </c>
    </row>
    <row r="1249" spans="1:13">
      <c r="A1249" s="2">
        <f ca="1">IFERROR(__xludf.DUMMYFUNCTION("""COMPUTED_VALUE"""),1265)</f>
        <v>1265</v>
      </c>
      <c r="B1249" s="2" t="str">
        <f ca="1">IFERROR(__xludf.DUMMYFUNCTION("""COMPUTED_VALUE"""),"Asus")</f>
        <v>Asus</v>
      </c>
      <c r="C1249" s="2" t="str">
        <f ca="1">IFERROR(__xludf.DUMMYFUNCTION("""COMPUTED_VALUE"""),"Rog GL502VS")</f>
        <v>Rog GL502VS</v>
      </c>
      <c r="D1249" s="2" t="str">
        <f ca="1">IFERROR(__xludf.DUMMYFUNCTION("""COMPUTED_VALUE"""),"Gaming")</f>
        <v>Gaming</v>
      </c>
      <c r="E1249" s="2">
        <f ca="1">IFERROR(__xludf.DUMMYFUNCTION("""COMPUTED_VALUE"""),15.6)</f>
        <v>15.6</v>
      </c>
      <c r="F1249" s="2" t="str">
        <f ca="1">IFERROR(__xludf.DUMMYFUNCTION("""COMPUTED_VALUE"""),"IPS Panel Full HD 1920x1080")</f>
        <v>IPS Panel Full HD 1920x1080</v>
      </c>
      <c r="G1249" s="2" t="str">
        <f ca="1">IFERROR(__xludf.DUMMYFUNCTION("""COMPUTED_VALUE"""),"Intel Core i7 6700HQ 2.6GHz")</f>
        <v>Intel Core i7 6700HQ 2.6GHz</v>
      </c>
      <c r="H1249" s="2" t="str">
        <f ca="1">IFERROR(__xludf.DUMMYFUNCTION("""COMPUTED_VALUE"""),"16GB")</f>
        <v>16GB</v>
      </c>
      <c r="I1249" s="2" t="str">
        <f ca="1">IFERROR(__xludf.DUMMYFUNCTION("""COMPUTED_VALUE"""),"256GB SSD +  1TB HDD")</f>
        <v>256GB SSD +  1TB HDD</v>
      </c>
      <c r="J1249" s="2" t="str">
        <f ca="1">IFERROR(__xludf.DUMMYFUNCTION("""COMPUTED_VALUE"""),"Nvidia GeForce GTX 1070")</f>
        <v>Nvidia GeForce GTX 1070</v>
      </c>
      <c r="K1249" s="2" t="str">
        <f ca="1">IFERROR(__xludf.DUMMYFUNCTION("""COMPUTED_VALUE"""),"Windows 10")</f>
        <v>Windows 10</v>
      </c>
      <c r="L1249" s="2" t="str">
        <f ca="1">IFERROR(__xludf.DUMMYFUNCTION("""COMPUTED_VALUE"""),"2.34kg")</f>
        <v>2.34kg</v>
      </c>
      <c r="M1249" s="2">
        <f ca="1">IFERROR(__xludf.DUMMYFUNCTION("""COMPUTED_VALUE"""),2325)</f>
        <v>2325</v>
      </c>
    </row>
    <row r="1250" spans="1:13">
      <c r="A1250" s="2">
        <f ca="1">IFERROR(__xludf.DUMMYFUNCTION("""COMPUTED_VALUE"""),1266)</f>
        <v>1266</v>
      </c>
      <c r="B1250" s="2" t="str">
        <f ca="1">IFERROR(__xludf.DUMMYFUNCTION("""COMPUTED_VALUE"""),"Lenovo")</f>
        <v>Lenovo</v>
      </c>
      <c r="C1250" s="2" t="str">
        <f ca="1">IFERROR(__xludf.DUMMYFUNCTION("""COMPUTED_VALUE"""),"V510-15IKB (i5-7200U/8GB/256GB/FHD/No")</f>
        <v>V510-15IKB (i5-7200U/8GB/256GB/FHD/No</v>
      </c>
      <c r="D1250" s="2" t="str">
        <f ca="1">IFERROR(__xludf.DUMMYFUNCTION("""COMPUTED_VALUE"""),"Notebook")</f>
        <v>Notebook</v>
      </c>
      <c r="E1250" s="2">
        <f ca="1">IFERROR(__xludf.DUMMYFUNCTION("""COMPUTED_VALUE"""),15.6)</f>
        <v>15.6</v>
      </c>
      <c r="F1250" s="2" t="str">
        <f ca="1">IFERROR(__xludf.DUMMYFUNCTION("""COMPUTED_VALUE"""),"IPS Panel Full HD 1920x1080")</f>
        <v>IPS Panel Full HD 1920x1080</v>
      </c>
      <c r="G1250" s="2" t="str">
        <f ca="1">IFERROR(__xludf.DUMMYFUNCTION("""COMPUTED_VALUE"""),"Intel Core i5 7200U 2.5GHz")</f>
        <v>Intel Core i5 7200U 2.5GHz</v>
      </c>
      <c r="H1250" s="2" t="str">
        <f ca="1">IFERROR(__xludf.DUMMYFUNCTION("""COMPUTED_VALUE"""),"8GB")</f>
        <v>8GB</v>
      </c>
      <c r="I1250" s="2" t="str">
        <f ca="1">IFERROR(__xludf.DUMMYFUNCTION("""COMPUTED_VALUE"""),"256GB SSD")</f>
        <v>256GB SSD</v>
      </c>
      <c r="J1250" s="2" t="str">
        <f ca="1">IFERROR(__xludf.DUMMYFUNCTION("""COMPUTED_VALUE"""),"Intel HD Graphics 620")</f>
        <v>Intel HD Graphics 620</v>
      </c>
      <c r="K1250" s="2" t="str">
        <f ca="1">IFERROR(__xludf.DUMMYFUNCTION("""COMPUTED_VALUE"""),"No OS")</f>
        <v>No OS</v>
      </c>
      <c r="L1250" s="2" t="str">
        <f ca="1">IFERROR(__xludf.DUMMYFUNCTION("""COMPUTED_VALUE"""),"2.3kg")</f>
        <v>2.3kg</v>
      </c>
      <c r="M1250" s="2">
        <f ca="1">IFERROR(__xludf.DUMMYFUNCTION("""COMPUTED_VALUE"""),573)</f>
        <v>573</v>
      </c>
    </row>
    <row r="1251" spans="1:13">
      <c r="A1251" s="2">
        <f ca="1">IFERROR(__xludf.DUMMYFUNCTION("""COMPUTED_VALUE"""),1267)</f>
        <v>1267</v>
      </c>
      <c r="B1251" s="2" t="str">
        <f ca="1">IFERROR(__xludf.DUMMYFUNCTION("""COMPUTED_VALUE"""),"Dell")</f>
        <v>Dell</v>
      </c>
      <c r="C1251" s="2" t="str">
        <f ca="1">IFERROR(__xludf.DUMMYFUNCTION("""COMPUTED_VALUE"""),"XPS 13")</f>
        <v>XPS 13</v>
      </c>
      <c r="D1251" s="2" t="str">
        <f ca="1">IFERROR(__xludf.DUMMYFUNCTION("""COMPUTED_VALUE"""),"2 in 1 Convertible")</f>
        <v>2 in 1 Convertible</v>
      </c>
      <c r="E1251" s="2">
        <f ca="1">IFERROR(__xludf.DUMMYFUNCTION("""COMPUTED_VALUE"""),13.3)</f>
        <v>13.3</v>
      </c>
      <c r="F1251" s="2" t="str">
        <f ca="1">IFERROR(__xludf.DUMMYFUNCTION("""COMPUTED_VALUE"""),"Quad HD+ / Touchscreen 3200x1800")</f>
        <v>Quad HD+ / Touchscreen 3200x1800</v>
      </c>
      <c r="G1251" s="2" t="str">
        <f ca="1">IFERROR(__xludf.DUMMYFUNCTION("""COMPUTED_VALUE"""),"Intel Core i5 7Y54 1.2GHz")</f>
        <v>Intel Core i5 7Y54 1.2GHz</v>
      </c>
      <c r="H1251" s="2" t="str">
        <f ca="1">IFERROR(__xludf.DUMMYFUNCTION("""COMPUTED_VALUE"""),"8GB")</f>
        <v>8GB</v>
      </c>
      <c r="I1251" s="2" t="str">
        <f ca="1">IFERROR(__xludf.DUMMYFUNCTION("""COMPUTED_VALUE"""),"256GB SSD")</f>
        <v>256GB SSD</v>
      </c>
      <c r="J1251" s="2" t="str">
        <f ca="1">IFERROR(__xludf.DUMMYFUNCTION("""COMPUTED_VALUE"""),"Intel HD Graphics 615")</f>
        <v>Intel HD Graphics 615</v>
      </c>
      <c r="K1251" s="2" t="str">
        <f ca="1">IFERROR(__xludf.DUMMYFUNCTION("""COMPUTED_VALUE"""),"Windows 10")</f>
        <v>Windows 10</v>
      </c>
      <c r="L1251" s="2" t="str">
        <f ca="1">IFERROR(__xludf.DUMMYFUNCTION("""COMPUTED_VALUE"""),"1.24kg")</f>
        <v>1.24kg</v>
      </c>
      <c r="M1251" s="2">
        <f ca="1">IFERROR(__xludf.DUMMYFUNCTION("""COMPUTED_VALUE"""),1813)</f>
        <v>1813</v>
      </c>
    </row>
    <row r="1252" spans="1:13">
      <c r="A1252" s="2">
        <f ca="1">IFERROR(__xludf.DUMMYFUNCTION("""COMPUTED_VALUE"""),1268)</f>
        <v>1268</v>
      </c>
      <c r="B1252" s="2" t="str">
        <f ca="1">IFERROR(__xludf.DUMMYFUNCTION("""COMPUTED_VALUE"""),"Dell")</f>
        <v>Dell</v>
      </c>
      <c r="C1252" s="2" t="str">
        <f ca="1">IFERROR(__xludf.DUMMYFUNCTION("""COMPUTED_VALUE"""),"Inspiron 3552")</f>
        <v>Inspiron 3552</v>
      </c>
      <c r="D1252" s="2" t="str">
        <f ca="1">IFERROR(__xludf.DUMMYFUNCTION("""COMPUTED_VALUE"""),"Notebook")</f>
        <v>Notebook</v>
      </c>
      <c r="E1252" s="2">
        <f ca="1">IFERROR(__xludf.DUMMYFUNCTION("""COMPUTED_VALUE"""),15.6)</f>
        <v>15.6</v>
      </c>
      <c r="F1252" s="2" t="str">
        <f ca="1">IFERROR(__xludf.DUMMYFUNCTION("""COMPUTED_VALUE"""),"1366x768")</f>
        <v>1366x768</v>
      </c>
      <c r="G1252" s="2" t="str">
        <f ca="1">IFERROR(__xludf.DUMMYFUNCTION("""COMPUTED_VALUE"""),"Intel Pentium Quad Core N3710 1.6GHz")</f>
        <v>Intel Pentium Quad Core N3710 1.6GHz</v>
      </c>
      <c r="H1252" s="2" t="str">
        <f ca="1">IFERROR(__xludf.DUMMYFUNCTION("""COMPUTED_VALUE"""),"4GB")</f>
        <v>4GB</v>
      </c>
      <c r="I1252" s="2" t="str">
        <f ca="1">IFERROR(__xludf.DUMMYFUNCTION("""COMPUTED_VALUE"""),"500GB HDD")</f>
        <v>500GB HDD</v>
      </c>
      <c r="J1252" s="2" t="str">
        <f ca="1">IFERROR(__xludf.DUMMYFUNCTION("""COMPUTED_VALUE"""),"Intel HD Graphics")</f>
        <v>Intel HD Graphics</v>
      </c>
      <c r="K1252" s="2" t="str">
        <f ca="1">IFERROR(__xludf.DUMMYFUNCTION("""COMPUTED_VALUE"""),"Linux")</f>
        <v>Linux</v>
      </c>
      <c r="L1252" s="2" t="str">
        <f ca="1">IFERROR(__xludf.DUMMYFUNCTION("""COMPUTED_VALUE"""),"2.2kg")</f>
        <v>2.2kg</v>
      </c>
      <c r="M1252" s="2">
        <f ca="1">IFERROR(__xludf.DUMMYFUNCTION("""COMPUTED_VALUE"""),324)</f>
        <v>324</v>
      </c>
    </row>
    <row r="1253" spans="1:13">
      <c r="A1253" s="2">
        <f ca="1">IFERROR(__xludf.DUMMYFUNCTION("""COMPUTED_VALUE"""),1269)</f>
        <v>1269</v>
      </c>
      <c r="B1253" s="2" t="str">
        <f ca="1">IFERROR(__xludf.DUMMYFUNCTION("""COMPUTED_VALUE"""),"HP")</f>
        <v>HP</v>
      </c>
      <c r="C1253" s="2" t="str">
        <f ca="1">IFERROR(__xludf.DUMMYFUNCTION("""COMPUTED_VALUE"""),"255 G6")</f>
        <v>255 G6</v>
      </c>
      <c r="D1253" s="2" t="str">
        <f ca="1">IFERROR(__xludf.DUMMYFUNCTION("""COMPUTED_VALUE"""),"Notebook")</f>
        <v>Notebook</v>
      </c>
      <c r="E1253" s="2">
        <f ca="1">IFERROR(__xludf.DUMMYFUNCTION("""COMPUTED_VALUE"""),15.6)</f>
        <v>15.6</v>
      </c>
      <c r="F1253" s="2" t="str">
        <f ca="1">IFERROR(__xludf.DUMMYFUNCTION("""COMPUTED_VALUE"""),"1366x768")</f>
        <v>1366x768</v>
      </c>
      <c r="G1253" s="2" t="str">
        <f ca="1">IFERROR(__xludf.DUMMYFUNCTION("""COMPUTED_VALUE"""),"AMD A6-Series 9220 2.5GHz")</f>
        <v>AMD A6-Series 9220 2.5GHz</v>
      </c>
      <c r="H1253" s="2" t="str">
        <f ca="1">IFERROR(__xludf.DUMMYFUNCTION("""COMPUTED_VALUE"""),"4GB")</f>
        <v>4GB</v>
      </c>
      <c r="I1253" s="2" t="str">
        <f ca="1">IFERROR(__xludf.DUMMYFUNCTION("""COMPUTED_VALUE"""),"500GB HDD")</f>
        <v>500GB HDD</v>
      </c>
      <c r="J1253" s="2" t="str">
        <f ca="1">IFERROR(__xludf.DUMMYFUNCTION("""COMPUTED_VALUE"""),"AMD Radeon R4 Graphics")</f>
        <v>AMD Radeon R4 Graphics</v>
      </c>
      <c r="K1253" s="2" t="str">
        <f ca="1">IFERROR(__xludf.DUMMYFUNCTION("""COMPUTED_VALUE"""),"Windows 10")</f>
        <v>Windows 10</v>
      </c>
      <c r="L1253" s="2" t="str">
        <f ca="1">IFERROR(__xludf.DUMMYFUNCTION("""COMPUTED_VALUE"""),"1.86kg")</f>
        <v>1.86kg</v>
      </c>
      <c r="M1253" s="2">
        <f ca="1">IFERROR(__xludf.DUMMYFUNCTION("""COMPUTED_VALUE"""),399)</f>
        <v>399</v>
      </c>
    </row>
    <row r="1254" spans="1:13">
      <c r="A1254" s="2">
        <f ca="1">IFERROR(__xludf.DUMMYFUNCTION("""COMPUTED_VALUE"""),1270)</f>
        <v>1270</v>
      </c>
      <c r="B1254" s="2" t="str">
        <f ca="1">IFERROR(__xludf.DUMMYFUNCTION("""COMPUTED_VALUE"""),"Lenovo")</f>
        <v>Lenovo</v>
      </c>
      <c r="C1254" s="2" t="str">
        <f ca="1">IFERROR(__xludf.DUMMYFUNCTION("""COMPUTED_VALUE"""),"IdeaPad 310-15ISK")</f>
        <v>IdeaPad 310-15ISK</v>
      </c>
      <c r="D1254" s="2" t="str">
        <f ca="1">IFERROR(__xludf.DUMMYFUNCTION("""COMPUTED_VALUE"""),"Notebook")</f>
        <v>Notebook</v>
      </c>
      <c r="E1254" s="2">
        <f ca="1">IFERROR(__xludf.DUMMYFUNCTION("""COMPUTED_VALUE"""),15.6)</f>
        <v>15.6</v>
      </c>
      <c r="F1254" s="2" t="str">
        <f ca="1">IFERROR(__xludf.DUMMYFUNCTION("""COMPUTED_VALUE"""),"Full HD 1920x1080")</f>
        <v>Full HD 1920x1080</v>
      </c>
      <c r="G1254" s="2" t="str">
        <f ca="1">IFERROR(__xludf.DUMMYFUNCTION("""COMPUTED_VALUE"""),"Intel Core i3 6100U 2.3GHz")</f>
        <v>Intel Core i3 6100U 2.3GHz</v>
      </c>
      <c r="H1254" s="2" t="str">
        <f ca="1">IFERROR(__xludf.DUMMYFUNCTION("""COMPUTED_VALUE"""),"6GB")</f>
        <v>6GB</v>
      </c>
      <c r="I1254" s="2" t="str">
        <f ca="1">IFERROR(__xludf.DUMMYFUNCTION("""COMPUTED_VALUE"""),"128GB SSD")</f>
        <v>128GB SSD</v>
      </c>
      <c r="J1254" s="2" t="str">
        <f ca="1">IFERROR(__xludf.DUMMYFUNCTION("""COMPUTED_VALUE"""),"Nvidia GeForce 920MX")</f>
        <v>Nvidia GeForce 920MX</v>
      </c>
      <c r="K1254" s="2" t="str">
        <f ca="1">IFERROR(__xludf.DUMMYFUNCTION("""COMPUTED_VALUE"""),"Windows 10")</f>
        <v>Windows 10</v>
      </c>
      <c r="L1254" s="2" t="str">
        <f ca="1">IFERROR(__xludf.DUMMYFUNCTION("""COMPUTED_VALUE"""),"2.4kg")</f>
        <v>2.4kg</v>
      </c>
      <c r="M1254" s="2">
        <f ca="1">IFERROR(__xludf.DUMMYFUNCTION("""COMPUTED_VALUE"""),569)</f>
        <v>569</v>
      </c>
    </row>
    <row r="1255" spans="1:13">
      <c r="A1255" s="2">
        <f ca="1">IFERROR(__xludf.DUMMYFUNCTION("""COMPUTED_VALUE"""),1271)</f>
        <v>1271</v>
      </c>
      <c r="B1255" s="2" t="str">
        <f ca="1">IFERROR(__xludf.DUMMYFUNCTION("""COMPUTED_VALUE"""),"Lenovo")</f>
        <v>Lenovo</v>
      </c>
      <c r="C1255" s="2" t="str">
        <f ca="1">IFERROR(__xludf.DUMMYFUNCTION("""COMPUTED_VALUE"""),"ThinkPad L460")</f>
        <v>ThinkPad L460</v>
      </c>
      <c r="D1255" s="2" t="str">
        <f ca="1">IFERROR(__xludf.DUMMYFUNCTION("""COMPUTED_VALUE"""),"Notebook")</f>
        <v>Notebook</v>
      </c>
      <c r="E1255" s="2">
        <f ca="1">IFERROR(__xludf.DUMMYFUNCTION("""COMPUTED_VALUE"""),14)</f>
        <v>14</v>
      </c>
      <c r="F1255" s="2" t="str">
        <f ca="1">IFERROR(__xludf.DUMMYFUNCTION("""COMPUTED_VALUE"""),"IPS Panel Full HD 1920x1080")</f>
        <v>IPS Panel Full HD 1920x1080</v>
      </c>
      <c r="G1255" s="2" t="str">
        <f ca="1">IFERROR(__xludf.DUMMYFUNCTION("""COMPUTED_VALUE"""),"Intel Core i5 6200U 2.3GHz")</f>
        <v>Intel Core i5 6200U 2.3GHz</v>
      </c>
      <c r="H1255" s="2" t="str">
        <f ca="1">IFERROR(__xludf.DUMMYFUNCTION("""COMPUTED_VALUE"""),"8GB")</f>
        <v>8GB</v>
      </c>
      <c r="I1255" s="2" t="str">
        <f ca="1">IFERROR(__xludf.DUMMYFUNCTION("""COMPUTED_VALUE"""),"256GB SSD")</f>
        <v>256GB SSD</v>
      </c>
      <c r="J1255" s="2" t="str">
        <f ca="1">IFERROR(__xludf.DUMMYFUNCTION("""COMPUTED_VALUE"""),"Intel HD Graphics 520")</f>
        <v>Intel HD Graphics 520</v>
      </c>
      <c r="K1255" s="2" t="str">
        <f ca="1">IFERROR(__xludf.DUMMYFUNCTION("""COMPUTED_VALUE"""),"Windows 10")</f>
        <v>Windows 10</v>
      </c>
      <c r="L1255" s="2" t="str">
        <f ca="1">IFERROR(__xludf.DUMMYFUNCTION("""COMPUTED_VALUE"""),"1.9kg")</f>
        <v>1.9kg</v>
      </c>
      <c r="M1255" s="2">
        <f ca="1">IFERROR(__xludf.DUMMYFUNCTION("""COMPUTED_VALUE"""),1072)</f>
        <v>1072</v>
      </c>
    </row>
    <row r="1256" spans="1:13">
      <c r="A1256" s="2">
        <f ca="1">IFERROR(__xludf.DUMMYFUNCTION("""COMPUTED_VALUE"""),1272)</f>
        <v>1272</v>
      </c>
      <c r="B1256" s="2" t="str">
        <f ca="1">IFERROR(__xludf.DUMMYFUNCTION("""COMPUTED_VALUE"""),"Dell")</f>
        <v>Dell</v>
      </c>
      <c r="C1256" s="2" t="str">
        <f ca="1">IFERROR(__xludf.DUMMYFUNCTION("""COMPUTED_VALUE"""),"Inspiron 3552")</f>
        <v>Inspiron 3552</v>
      </c>
      <c r="D1256" s="2" t="str">
        <f ca="1">IFERROR(__xludf.DUMMYFUNCTION("""COMPUTED_VALUE"""),"Notebook")</f>
        <v>Notebook</v>
      </c>
      <c r="E1256" s="2">
        <f ca="1">IFERROR(__xludf.DUMMYFUNCTION("""COMPUTED_VALUE"""),15.6)</f>
        <v>15.6</v>
      </c>
      <c r="F1256" s="2" t="str">
        <f ca="1">IFERROR(__xludf.DUMMYFUNCTION("""COMPUTED_VALUE"""),"1366x768")</f>
        <v>1366x768</v>
      </c>
      <c r="G1256" s="2" t="str">
        <f ca="1">IFERROR(__xludf.DUMMYFUNCTION("""COMPUTED_VALUE"""),"Intel Pentium Quad Core N3700 1.6GHz")</f>
        <v>Intel Pentium Quad Core N3700 1.6GHz</v>
      </c>
      <c r="H1256" s="2" t="str">
        <f ca="1">IFERROR(__xludf.DUMMYFUNCTION("""COMPUTED_VALUE"""),"4GB")</f>
        <v>4GB</v>
      </c>
      <c r="I1256" s="2" t="str">
        <f ca="1">IFERROR(__xludf.DUMMYFUNCTION("""COMPUTED_VALUE"""),"500GB HDD")</f>
        <v>500GB HDD</v>
      </c>
      <c r="J1256" s="2" t="str">
        <f ca="1">IFERROR(__xludf.DUMMYFUNCTION("""COMPUTED_VALUE"""),"Intel HD Graphics")</f>
        <v>Intel HD Graphics</v>
      </c>
      <c r="K1256" s="2" t="str">
        <f ca="1">IFERROR(__xludf.DUMMYFUNCTION("""COMPUTED_VALUE"""),"Windows 10")</f>
        <v>Windows 10</v>
      </c>
      <c r="L1256" s="2" t="str">
        <f ca="1">IFERROR(__xludf.DUMMYFUNCTION("""COMPUTED_VALUE"""),"2.2kg")</f>
        <v>2.2kg</v>
      </c>
      <c r="M1256" s="2">
        <f ca="1">IFERROR(__xludf.DUMMYFUNCTION("""COMPUTED_VALUE"""),443.99)</f>
        <v>443.99</v>
      </c>
    </row>
    <row r="1257" spans="1:13">
      <c r="A1257" s="2">
        <f ca="1">IFERROR(__xludf.DUMMYFUNCTION("""COMPUTED_VALUE"""),1273)</f>
        <v>1273</v>
      </c>
      <c r="B1257" s="2" t="str">
        <f ca="1">IFERROR(__xludf.DUMMYFUNCTION("""COMPUTED_VALUE"""),"Asus")</f>
        <v>Asus</v>
      </c>
      <c r="C1257" s="2" t="str">
        <f ca="1">IFERROR(__xludf.DUMMYFUNCTION("""COMPUTED_VALUE"""),"X541NA-GO020T (N3350/4GB/1TB/W10)")</f>
        <v>X541NA-GO020T (N3350/4GB/1TB/W10)</v>
      </c>
      <c r="D1257" s="2" t="str">
        <f ca="1">IFERROR(__xludf.DUMMYFUNCTION("""COMPUTED_VALUE"""),"Notebook")</f>
        <v>Notebook</v>
      </c>
      <c r="E1257" s="2">
        <f ca="1">IFERROR(__xludf.DUMMYFUNCTION("""COMPUTED_VALUE"""),15.6)</f>
        <v>15.6</v>
      </c>
      <c r="F1257" s="2" t="str">
        <f ca="1">IFERROR(__xludf.DUMMYFUNCTION("""COMPUTED_VALUE"""),"1366x768")</f>
        <v>1366x768</v>
      </c>
      <c r="G1257" s="2" t="str">
        <f ca="1">IFERROR(__xludf.DUMMYFUNCTION("""COMPUTED_VALUE"""),"Intel Celeron Dual Core N3350 1.1GHz")</f>
        <v>Intel Celeron Dual Core N3350 1.1GHz</v>
      </c>
      <c r="H1257" s="2" t="str">
        <f ca="1">IFERROR(__xludf.DUMMYFUNCTION("""COMPUTED_VALUE"""),"4GB")</f>
        <v>4GB</v>
      </c>
      <c r="I1257" s="2" t="str">
        <f ca="1">IFERROR(__xludf.DUMMYFUNCTION("""COMPUTED_VALUE"""),"1TB HDD")</f>
        <v>1TB HDD</v>
      </c>
      <c r="J1257" s="2" t="str">
        <f ca="1">IFERROR(__xludf.DUMMYFUNCTION("""COMPUTED_VALUE"""),"Intel HD Graphics 500")</f>
        <v>Intel HD Graphics 500</v>
      </c>
      <c r="K1257" s="2" t="str">
        <f ca="1">IFERROR(__xludf.DUMMYFUNCTION("""COMPUTED_VALUE"""),"Windows 10")</f>
        <v>Windows 10</v>
      </c>
      <c r="L1257" s="2" t="str">
        <f ca="1">IFERROR(__xludf.DUMMYFUNCTION("""COMPUTED_VALUE"""),"2kg")</f>
        <v>2kg</v>
      </c>
      <c r="M1257" s="2">
        <f ca="1">IFERROR(__xludf.DUMMYFUNCTION("""COMPUTED_VALUE"""),339)</f>
        <v>339</v>
      </c>
    </row>
    <row r="1258" spans="1:13">
      <c r="A1258" s="2">
        <f ca="1">IFERROR(__xludf.DUMMYFUNCTION("""COMPUTED_VALUE"""),1274)</f>
        <v>1274</v>
      </c>
      <c r="B1258" s="2" t="str">
        <f ca="1">IFERROR(__xludf.DUMMYFUNCTION("""COMPUTED_VALUE"""),"Asus")</f>
        <v>Asus</v>
      </c>
      <c r="C1258" s="2" t="str">
        <f ca="1">IFERROR(__xludf.DUMMYFUNCTION("""COMPUTED_VALUE"""),"Rog G752VT-GC073T")</f>
        <v>Rog G752VT-GC073T</v>
      </c>
      <c r="D1258" s="2" t="str">
        <f ca="1">IFERROR(__xludf.DUMMYFUNCTION("""COMPUTED_VALUE"""),"Gaming")</f>
        <v>Gaming</v>
      </c>
      <c r="E1258" s="2">
        <f ca="1">IFERROR(__xludf.DUMMYFUNCTION("""COMPUTED_VALUE"""),17.3)</f>
        <v>17.3</v>
      </c>
      <c r="F1258" s="2" t="str">
        <f ca="1">IFERROR(__xludf.DUMMYFUNCTION("""COMPUTED_VALUE"""),"IPS Panel Full HD 1920x1080")</f>
        <v>IPS Panel Full HD 1920x1080</v>
      </c>
      <c r="G1258" s="2" t="str">
        <f ca="1">IFERROR(__xludf.DUMMYFUNCTION("""COMPUTED_VALUE"""),"Intel Core i7 6700HQ 2.6GHz")</f>
        <v>Intel Core i7 6700HQ 2.6GHz</v>
      </c>
      <c r="H1258" s="2" t="str">
        <f ca="1">IFERROR(__xludf.DUMMYFUNCTION("""COMPUTED_VALUE"""),"16GB")</f>
        <v>16GB</v>
      </c>
      <c r="I1258" s="2" t="str">
        <f ca="1">IFERROR(__xludf.DUMMYFUNCTION("""COMPUTED_VALUE"""),"128GB SSD +  1TB HDD")</f>
        <v>128GB SSD +  1TB HDD</v>
      </c>
      <c r="J1258" s="2" t="str">
        <f ca="1">IFERROR(__xludf.DUMMYFUNCTION("""COMPUTED_VALUE"""),"Nvidia GeForce GTX 970M")</f>
        <v>Nvidia GeForce GTX 970M</v>
      </c>
      <c r="K1258" s="2" t="str">
        <f ca="1">IFERROR(__xludf.DUMMYFUNCTION("""COMPUTED_VALUE"""),"Windows 10")</f>
        <v>Windows 10</v>
      </c>
      <c r="L1258" s="2" t="str">
        <f ca="1">IFERROR(__xludf.DUMMYFUNCTION("""COMPUTED_VALUE"""),"4.0kg")</f>
        <v>4.0kg</v>
      </c>
      <c r="M1258" s="2">
        <f ca="1">IFERROR(__xludf.DUMMYFUNCTION("""COMPUTED_VALUE"""),1900)</f>
        <v>1900</v>
      </c>
    </row>
    <row r="1259" spans="1:13">
      <c r="A1259" s="2">
        <f ca="1">IFERROR(__xludf.DUMMYFUNCTION("""COMPUTED_VALUE"""),1275)</f>
        <v>1275</v>
      </c>
      <c r="B1259" s="2" t="str">
        <f ca="1">IFERROR(__xludf.DUMMYFUNCTION("""COMPUTED_VALUE"""),"Dell")</f>
        <v>Dell</v>
      </c>
      <c r="C1259" s="2" t="str">
        <f ca="1">IFERROR(__xludf.DUMMYFUNCTION("""COMPUTED_VALUE"""),"Vostro 3568")</f>
        <v>Vostro 3568</v>
      </c>
      <c r="D1259" s="2" t="str">
        <f ca="1">IFERROR(__xludf.DUMMYFUNCTION("""COMPUTED_VALUE"""),"Notebook")</f>
        <v>Notebook</v>
      </c>
      <c r="E1259" s="2">
        <f ca="1">IFERROR(__xludf.DUMMYFUNCTION("""COMPUTED_VALUE"""),15.6)</f>
        <v>15.6</v>
      </c>
      <c r="F1259" s="2" t="str">
        <f ca="1">IFERROR(__xludf.DUMMYFUNCTION("""COMPUTED_VALUE"""),"1366x768")</f>
        <v>1366x768</v>
      </c>
      <c r="G1259" s="2" t="str">
        <f ca="1">IFERROR(__xludf.DUMMYFUNCTION("""COMPUTED_VALUE"""),"Intel Core i3 6006U 2GHz")</f>
        <v>Intel Core i3 6006U 2GHz</v>
      </c>
      <c r="H1259" s="2" t="str">
        <f ca="1">IFERROR(__xludf.DUMMYFUNCTION("""COMPUTED_VALUE"""),"4GB")</f>
        <v>4GB</v>
      </c>
      <c r="I1259" s="2" t="str">
        <f ca="1">IFERROR(__xludf.DUMMYFUNCTION("""COMPUTED_VALUE"""),"500GB HDD")</f>
        <v>500GB HDD</v>
      </c>
      <c r="J1259" s="2" t="str">
        <f ca="1">IFERROR(__xludf.DUMMYFUNCTION("""COMPUTED_VALUE"""),"Intel HD Graphics 520")</f>
        <v>Intel HD Graphics 520</v>
      </c>
      <c r="K1259" s="2" t="str">
        <f ca="1">IFERROR(__xludf.DUMMYFUNCTION("""COMPUTED_VALUE"""),"Windows 10")</f>
        <v>Windows 10</v>
      </c>
      <c r="L1259" s="2" t="str">
        <f ca="1">IFERROR(__xludf.DUMMYFUNCTION("""COMPUTED_VALUE"""),"2.29kg")</f>
        <v>2.29kg</v>
      </c>
      <c r="M1259" s="2">
        <f ca="1">IFERROR(__xludf.DUMMYFUNCTION("""COMPUTED_VALUE"""),490)</f>
        <v>490</v>
      </c>
    </row>
    <row r="1260" spans="1:13">
      <c r="A1260" s="2">
        <f ca="1">IFERROR(__xludf.DUMMYFUNCTION("""COMPUTED_VALUE"""),1276)</f>
        <v>1276</v>
      </c>
      <c r="B1260" s="2" t="str">
        <f ca="1">IFERROR(__xludf.DUMMYFUNCTION("""COMPUTED_VALUE"""),"Lenovo")</f>
        <v>Lenovo</v>
      </c>
      <c r="C1260" s="2" t="str">
        <f ca="1">IFERROR(__xludf.DUMMYFUNCTION("""COMPUTED_VALUE"""),"B51-80 (i7-6500U/8GB/1008GB/Radeon")</f>
        <v>B51-80 (i7-6500U/8GB/1008GB/Radeon</v>
      </c>
      <c r="D1260" s="2" t="str">
        <f ca="1">IFERROR(__xludf.DUMMYFUNCTION("""COMPUTED_VALUE"""),"Notebook")</f>
        <v>Notebook</v>
      </c>
      <c r="E1260" s="2">
        <f ca="1">IFERROR(__xludf.DUMMYFUNCTION("""COMPUTED_VALUE"""),15.6)</f>
        <v>15.6</v>
      </c>
      <c r="F1260" s="2" t="str">
        <f ca="1">IFERROR(__xludf.DUMMYFUNCTION("""COMPUTED_VALUE"""),"Full HD 1920x1080")</f>
        <v>Full HD 1920x1080</v>
      </c>
      <c r="G1260" s="2" t="str">
        <f ca="1">IFERROR(__xludf.DUMMYFUNCTION("""COMPUTED_VALUE"""),"Intel Core i7 6500U 2.5GHz")</f>
        <v>Intel Core i7 6500U 2.5GHz</v>
      </c>
      <c r="H1260" s="2" t="str">
        <f ca="1">IFERROR(__xludf.DUMMYFUNCTION("""COMPUTED_VALUE"""),"8GB")</f>
        <v>8GB</v>
      </c>
      <c r="I1260" s="2" t="str">
        <f ca="1">IFERROR(__xludf.DUMMYFUNCTION("""COMPUTED_VALUE"""),"1.0TB Hybrid")</f>
        <v>1.0TB Hybrid</v>
      </c>
      <c r="J1260" s="2" t="str">
        <f ca="1">IFERROR(__xludf.DUMMYFUNCTION("""COMPUTED_VALUE"""),"AMD Radeon R5 M330")</f>
        <v>AMD Radeon R5 M330</v>
      </c>
      <c r="K1260" s="2" t="str">
        <f ca="1">IFERROR(__xludf.DUMMYFUNCTION("""COMPUTED_VALUE"""),"Windows 7")</f>
        <v>Windows 7</v>
      </c>
      <c r="L1260" s="2" t="str">
        <f ca="1">IFERROR(__xludf.DUMMYFUNCTION("""COMPUTED_VALUE"""),"2.32kg")</f>
        <v>2.32kg</v>
      </c>
      <c r="M1260" s="2">
        <f ca="1">IFERROR(__xludf.DUMMYFUNCTION("""COMPUTED_VALUE"""),895)</f>
        <v>895</v>
      </c>
    </row>
    <row r="1261" spans="1:13">
      <c r="A1261" s="2">
        <f ca="1">IFERROR(__xludf.DUMMYFUNCTION("""COMPUTED_VALUE"""),1277)</f>
        <v>1277</v>
      </c>
      <c r="B1261" s="2" t="str">
        <f ca="1">IFERROR(__xludf.DUMMYFUNCTION("""COMPUTED_VALUE"""),"MSI")</f>
        <v>MSI</v>
      </c>
      <c r="C1261" s="2" t="str">
        <f ca="1">IFERROR(__xludf.DUMMYFUNCTION("""COMPUTED_VALUE"""),"GE62 Apache")</f>
        <v>GE62 Apache</v>
      </c>
      <c r="D1261" s="2" t="str">
        <f ca="1">IFERROR(__xludf.DUMMYFUNCTION("""COMPUTED_VALUE"""),"Gaming")</f>
        <v>Gaming</v>
      </c>
      <c r="E1261" s="2">
        <f ca="1">IFERROR(__xludf.DUMMYFUNCTION("""COMPUTED_VALUE"""),15.6)</f>
        <v>15.6</v>
      </c>
      <c r="F1261" s="2" t="str">
        <f ca="1">IFERROR(__xludf.DUMMYFUNCTION("""COMPUTED_VALUE"""),"Full HD 1920x1080")</f>
        <v>Full HD 1920x1080</v>
      </c>
      <c r="G1261" s="2" t="str">
        <f ca="1">IFERROR(__xludf.DUMMYFUNCTION("""COMPUTED_VALUE"""),"Intel Core i7 6700HQ 2.6GHz")</f>
        <v>Intel Core i7 6700HQ 2.6GHz</v>
      </c>
      <c r="H1261" s="2" t="str">
        <f ca="1">IFERROR(__xludf.DUMMYFUNCTION("""COMPUTED_VALUE"""),"8GB")</f>
        <v>8GB</v>
      </c>
      <c r="I1261" s="2" t="str">
        <f ca="1">IFERROR(__xludf.DUMMYFUNCTION("""COMPUTED_VALUE"""),"128GB SSD +  1TB HDD")</f>
        <v>128GB SSD +  1TB HDD</v>
      </c>
      <c r="J1261" s="2" t="str">
        <f ca="1">IFERROR(__xludf.DUMMYFUNCTION("""COMPUTED_VALUE"""),"Nvidia GeForce GTX 960M")</f>
        <v>Nvidia GeForce GTX 960M</v>
      </c>
      <c r="K1261" s="2" t="str">
        <f ca="1">IFERROR(__xludf.DUMMYFUNCTION("""COMPUTED_VALUE"""),"Windows 10")</f>
        <v>Windows 10</v>
      </c>
      <c r="L1261" s="2" t="str">
        <f ca="1">IFERROR(__xludf.DUMMYFUNCTION("""COMPUTED_VALUE"""),"2.4kg")</f>
        <v>2.4kg</v>
      </c>
      <c r="M1261" s="2">
        <f ca="1">IFERROR(__xludf.DUMMYFUNCTION("""COMPUTED_VALUE"""),1229)</f>
        <v>1229</v>
      </c>
    </row>
    <row r="1262" spans="1:13">
      <c r="A1262" s="2">
        <f ca="1">IFERROR(__xludf.DUMMYFUNCTION("""COMPUTED_VALUE"""),1278)</f>
        <v>1278</v>
      </c>
      <c r="B1262" s="2" t="str">
        <f ca="1">IFERROR(__xludf.DUMMYFUNCTION("""COMPUTED_VALUE"""),"Lenovo")</f>
        <v>Lenovo</v>
      </c>
      <c r="C1262" s="2" t="str">
        <f ca="1">IFERROR(__xludf.DUMMYFUNCTION("""COMPUTED_VALUE"""),"Yoga 500-14IBD")</f>
        <v>Yoga 500-14IBD</v>
      </c>
      <c r="D1262" s="2" t="str">
        <f ca="1">IFERROR(__xludf.DUMMYFUNCTION("""COMPUTED_VALUE"""),"2 in 1 Convertible")</f>
        <v>2 in 1 Convertible</v>
      </c>
      <c r="E1262" s="2">
        <f ca="1">IFERROR(__xludf.DUMMYFUNCTION("""COMPUTED_VALUE"""),14)</f>
        <v>14</v>
      </c>
      <c r="F1262" s="2" t="str">
        <f ca="1">IFERROR(__xludf.DUMMYFUNCTION("""COMPUTED_VALUE"""),"Full HD / Touchscreen 1920x1080")</f>
        <v>Full HD / Touchscreen 1920x1080</v>
      </c>
      <c r="G1262" s="2" t="str">
        <f ca="1">IFERROR(__xludf.DUMMYFUNCTION("""COMPUTED_VALUE"""),"Intel Core i5 6200U 2.3GHz")</f>
        <v>Intel Core i5 6200U 2.3GHz</v>
      </c>
      <c r="H1262" s="2" t="str">
        <f ca="1">IFERROR(__xludf.DUMMYFUNCTION("""COMPUTED_VALUE"""),"4GB")</f>
        <v>4GB</v>
      </c>
      <c r="I1262" s="2" t="str">
        <f ca="1">IFERROR(__xludf.DUMMYFUNCTION("""COMPUTED_VALUE"""),"128GB SSD")</f>
        <v>128GB SSD</v>
      </c>
      <c r="J1262" s="2" t="str">
        <f ca="1">IFERROR(__xludf.DUMMYFUNCTION("""COMPUTED_VALUE"""),"Intel HD Graphics 520")</f>
        <v>Intel HD Graphics 520</v>
      </c>
      <c r="K1262" s="2" t="str">
        <f ca="1">IFERROR(__xludf.DUMMYFUNCTION("""COMPUTED_VALUE"""),"Windows 10")</f>
        <v>Windows 10</v>
      </c>
      <c r="L1262" s="2" t="str">
        <f ca="1">IFERROR(__xludf.DUMMYFUNCTION("""COMPUTED_VALUE"""),"1.8kg")</f>
        <v>1.8kg</v>
      </c>
      <c r="M1262" s="2">
        <f ca="1">IFERROR(__xludf.DUMMYFUNCTION("""COMPUTED_VALUE"""),833.01)</f>
        <v>833.01</v>
      </c>
    </row>
    <row r="1263" spans="1:13">
      <c r="A1263" s="2">
        <f ca="1">IFERROR(__xludf.DUMMYFUNCTION("""COMPUTED_VALUE"""),1279)</f>
        <v>1279</v>
      </c>
      <c r="B1263" s="2" t="str">
        <f ca="1">IFERROR(__xludf.DUMMYFUNCTION("""COMPUTED_VALUE"""),"Asus")</f>
        <v>Asus</v>
      </c>
      <c r="C1263" s="2" t="str">
        <f ca="1">IFERROR(__xludf.DUMMYFUNCTION("""COMPUTED_VALUE"""),"ZenBook UX305CA-UBM1")</f>
        <v>ZenBook UX305CA-UBM1</v>
      </c>
      <c r="D1263" s="2" t="str">
        <f ca="1">IFERROR(__xludf.DUMMYFUNCTION("""COMPUTED_VALUE"""),"Ultrabook")</f>
        <v>Ultrabook</v>
      </c>
      <c r="E1263" s="2">
        <f ca="1">IFERROR(__xludf.DUMMYFUNCTION("""COMPUTED_VALUE"""),13.3)</f>
        <v>13.3</v>
      </c>
      <c r="F1263" s="2" t="str">
        <f ca="1">IFERROR(__xludf.DUMMYFUNCTION("""COMPUTED_VALUE"""),"IPS Panel Full HD 1920x1080")</f>
        <v>IPS Panel Full HD 1920x1080</v>
      </c>
      <c r="G1263" s="2" t="str">
        <f ca="1">IFERROR(__xludf.DUMMYFUNCTION("""COMPUTED_VALUE"""),"Intel Core M 6Y30 0.9GHz")</f>
        <v>Intel Core M 6Y30 0.9GHz</v>
      </c>
      <c r="H1263" s="2" t="str">
        <f ca="1">IFERROR(__xludf.DUMMYFUNCTION("""COMPUTED_VALUE"""),"8GB")</f>
        <v>8GB</v>
      </c>
      <c r="I1263" s="2" t="str">
        <f ca="1">IFERROR(__xludf.DUMMYFUNCTION("""COMPUTED_VALUE"""),"512GB SSD")</f>
        <v>512GB SSD</v>
      </c>
      <c r="J1263" s="2" t="str">
        <f ca="1">IFERROR(__xludf.DUMMYFUNCTION("""COMPUTED_VALUE"""),"Intel HD Graphics 515")</f>
        <v>Intel HD Graphics 515</v>
      </c>
      <c r="K1263" s="2" t="str">
        <f ca="1">IFERROR(__xludf.DUMMYFUNCTION("""COMPUTED_VALUE"""),"Windows 10")</f>
        <v>Windows 10</v>
      </c>
      <c r="L1263" s="2" t="str">
        <f ca="1">IFERROR(__xludf.DUMMYFUNCTION("""COMPUTED_VALUE"""),"1.2kg")</f>
        <v>1.2kg</v>
      </c>
      <c r="M1263" s="2">
        <f ca="1">IFERROR(__xludf.DUMMYFUNCTION("""COMPUTED_VALUE"""),729)</f>
        <v>729</v>
      </c>
    </row>
    <row r="1264" spans="1:13">
      <c r="A1264" s="2">
        <f ca="1">IFERROR(__xludf.DUMMYFUNCTION("""COMPUTED_VALUE"""),1280)</f>
        <v>1280</v>
      </c>
      <c r="B1264" s="2" t="str">
        <f ca="1">IFERROR(__xludf.DUMMYFUNCTION("""COMPUTED_VALUE"""),"Dell")</f>
        <v>Dell</v>
      </c>
      <c r="C1264" s="2" t="str">
        <f ca="1">IFERROR(__xludf.DUMMYFUNCTION("""COMPUTED_VALUE"""),"Inspiron 3567")</f>
        <v>Inspiron 3567</v>
      </c>
      <c r="D1264" s="2" t="str">
        <f ca="1">IFERROR(__xludf.DUMMYFUNCTION("""COMPUTED_VALUE"""),"Notebook")</f>
        <v>Notebook</v>
      </c>
      <c r="E1264" s="2">
        <f ca="1">IFERROR(__xludf.DUMMYFUNCTION("""COMPUTED_VALUE"""),15.6)</f>
        <v>15.6</v>
      </c>
      <c r="F1264" s="2" t="str">
        <f ca="1">IFERROR(__xludf.DUMMYFUNCTION("""COMPUTED_VALUE"""),"1366x768")</f>
        <v>1366x768</v>
      </c>
      <c r="G1264" s="2" t="str">
        <f ca="1">IFERROR(__xludf.DUMMYFUNCTION("""COMPUTED_VALUE"""),"Intel Core i3 7100U 2.4GHz")</f>
        <v>Intel Core i3 7100U 2.4GHz</v>
      </c>
      <c r="H1264" s="2" t="str">
        <f ca="1">IFERROR(__xludf.DUMMYFUNCTION("""COMPUTED_VALUE"""),"6GB")</f>
        <v>6GB</v>
      </c>
      <c r="I1264" s="2" t="str">
        <f ca="1">IFERROR(__xludf.DUMMYFUNCTION("""COMPUTED_VALUE"""),"1TB HDD")</f>
        <v>1TB HDD</v>
      </c>
      <c r="J1264" s="2" t="str">
        <f ca="1">IFERROR(__xludf.DUMMYFUNCTION("""COMPUTED_VALUE"""),"Intel HD Graphics 620")</f>
        <v>Intel HD Graphics 620</v>
      </c>
      <c r="K1264" s="2" t="str">
        <f ca="1">IFERROR(__xludf.DUMMYFUNCTION("""COMPUTED_VALUE"""),"Windows 10")</f>
        <v>Windows 10</v>
      </c>
      <c r="L1264" s="2" t="str">
        <f ca="1">IFERROR(__xludf.DUMMYFUNCTION("""COMPUTED_VALUE"""),"2.3kg")</f>
        <v>2.3kg</v>
      </c>
      <c r="M1264" s="2">
        <f ca="1">IFERROR(__xludf.DUMMYFUNCTION("""COMPUTED_VALUE"""),459)</f>
        <v>459</v>
      </c>
    </row>
    <row r="1265" spans="1:13">
      <c r="A1265" s="2">
        <f ca="1">IFERROR(__xludf.DUMMYFUNCTION("""COMPUTED_VALUE"""),1281)</f>
        <v>1281</v>
      </c>
      <c r="B1265" s="2" t="str">
        <f ca="1">IFERROR(__xludf.DUMMYFUNCTION("""COMPUTED_VALUE"""),"Acer")</f>
        <v>Acer</v>
      </c>
      <c r="C1265" s="2" t="str">
        <f ca="1">IFERROR(__xludf.DUMMYFUNCTION("""COMPUTED_VALUE"""),"Aspire ES1-531")</f>
        <v>Aspire ES1-531</v>
      </c>
      <c r="D1265" s="2" t="str">
        <f ca="1">IFERROR(__xludf.DUMMYFUNCTION("""COMPUTED_VALUE"""),"Notebook")</f>
        <v>Notebook</v>
      </c>
      <c r="E1265" s="2">
        <f ca="1">IFERROR(__xludf.DUMMYFUNCTION("""COMPUTED_VALUE"""),15.6)</f>
        <v>15.6</v>
      </c>
      <c r="F1265" s="2" t="str">
        <f ca="1">IFERROR(__xludf.DUMMYFUNCTION("""COMPUTED_VALUE"""),"1366x768")</f>
        <v>1366x768</v>
      </c>
      <c r="G1265" s="2" t="str">
        <f ca="1">IFERROR(__xludf.DUMMYFUNCTION("""COMPUTED_VALUE"""),"Intel Celeron Dual Core N3060 1.6GHz")</f>
        <v>Intel Celeron Dual Core N3060 1.6GHz</v>
      </c>
      <c r="H1265" s="2" t="str">
        <f ca="1">IFERROR(__xludf.DUMMYFUNCTION("""COMPUTED_VALUE"""),"4GB")</f>
        <v>4GB</v>
      </c>
      <c r="I1265" s="2" t="str">
        <f ca="1">IFERROR(__xludf.DUMMYFUNCTION("""COMPUTED_VALUE"""),"500GB HDD")</f>
        <v>500GB HDD</v>
      </c>
      <c r="J1265" s="2" t="str">
        <f ca="1">IFERROR(__xludf.DUMMYFUNCTION("""COMPUTED_VALUE"""),"Intel HD Graphics 400")</f>
        <v>Intel HD Graphics 400</v>
      </c>
      <c r="K1265" s="2" t="str">
        <f ca="1">IFERROR(__xludf.DUMMYFUNCTION("""COMPUTED_VALUE"""),"Linux")</f>
        <v>Linux</v>
      </c>
      <c r="L1265" s="2" t="str">
        <f ca="1">IFERROR(__xludf.DUMMYFUNCTION("""COMPUTED_VALUE"""),"2.4kg")</f>
        <v>2.4kg</v>
      </c>
      <c r="M1265" s="2">
        <f ca="1">IFERROR(__xludf.DUMMYFUNCTION("""COMPUTED_VALUE"""),289)</f>
        <v>289</v>
      </c>
    </row>
    <row r="1266" spans="1:13">
      <c r="A1266" s="2">
        <f ca="1">IFERROR(__xludf.DUMMYFUNCTION("""COMPUTED_VALUE"""),1282)</f>
        <v>1282</v>
      </c>
      <c r="B1266" s="2" t="str">
        <f ca="1">IFERROR(__xludf.DUMMYFUNCTION("""COMPUTED_VALUE"""),"Dell")</f>
        <v>Dell</v>
      </c>
      <c r="C1266" s="2" t="str">
        <f ca="1">IFERROR(__xludf.DUMMYFUNCTION("""COMPUTED_VALUE"""),"Inspiron 3552")</f>
        <v>Inspiron 3552</v>
      </c>
      <c r="D1266" s="2" t="str">
        <f ca="1">IFERROR(__xludf.DUMMYFUNCTION("""COMPUTED_VALUE"""),"Notebook")</f>
        <v>Notebook</v>
      </c>
      <c r="E1266" s="2">
        <f ca="1">IFERROR(__xludf.DUMMYFUNCTION("""COMPUTED_VALUE"""),15.6)</f>
        <v>15.6</v>
      </c>
      <c r="F1266" s="2" t="str">
        <f ca="1">IFERROR(__xludf.DUMMYFUNCTION("""COMPUTED_VALUE"""),"1366x768")</f>
        <v>1366x768</v>
      </c>
      <c r="G1266" s="2" t="str">
        <f ca="1">IFERROR(__xludf.DUMMYFUNCTION("""COMPUTED_VALUE"""),"Intel Celeron Dual Core N3050 1.6GHz")</f>
        <v>Intel Celeron Dual Core N3050 1.6GHz</v>
      </c>
      <c r="H1266" s="2" t="str">
        <f ca="1">IFERROR(__xludf.DUMMYFUNCTION("""COMPUTED_VALUE"""),"2GB")</f>
        <v>2GB</v>
      </c>
      <c r="I1266" s="2" t="str">
        <f ca="1">IFERROR(__xludf.DUMMYFUNCTION("""COMPUTED_VALUE"""),"500GB HDD")</f>
        <v>500GB HDD</v>
      </c>
      <c r="J1266" s="2" t="str">
        <f ca="1">IFERROR(__xludf.DUMMYFUNCTION("""COMPUTED_VALUE"""),"Intel HD Graphics")</f>
        <v>Intel HD Graphics</v>
      </c>
      <c r="K1266" s="2" t="str">
        <f ca="1">IFERROR(__xludf.DUMMYFUNCTION("""COMPUTED_VALUE"""),"Windows 10")</f>
        <v>Windows 10</v>
      </c>
      <c r="L1266" s="2" t="str">
        <f ca="1">IFERROR(__xludf.DUMMYFUNCTION("""COMPUTED_VALUE"""),"2.20kg")</f>
        <v>2.20kg</v>
      </c>
      <c r="M1266" s="2">
        <f ca="1">IFERROR(__xludf.DUMMYFUNCTION("""COMPUTED_VALUE"""),379)</f>
        <v>379</v>
      </c>
    </row>
    <row r="1267" spans="1:13">
      <c r="A1267" s="2">
        <f ca="1">IFERROR(__xludf.DUMMYFUNCTION("""COMPUTED_VALUE"""),1283)</f>
        <v>1283</v>
      </c>
      <c r="B1267" s="2" t="str">
        <f ca="1">IFERROR(__xludf.DUMMYFUNCTION("""COMPUTED_VALUE"""),"Lenovo")</f>
        <v>Lenovo</v>
      </c>
      <c r="C1267" s="2" t="str">
        <f ca="1">IFERROR(__xludf.DUMMYFUNCTION("""COMPUTED_VALUE"""),"IdeaPad Y700-15ISK")</f>
        <v>IdeaPad Y700-15ISK</v>
      </c>
      <c r="D1267" s="2" t="str">
        <f ca="1">IFERROR(__xludf.DUMMYFUNCTION("""COMPUTED_VALUE"""),"Notebook")</f>
        <v>Notebook</v>
      </c>
      <c r="E1267" s="2">
        <f ca="1">IFERROR(__xludf.DUMMYFUNCTION("""COMPUTED_VALUE"""),15.6)</f>
        <v>15.6</v>
      </c>
      <c r="F1267" s="2" t="str">
        <f ca="1">IFERROR(__xludf.DUMMYFUNCTION("""COMPUTED_VALUE"""),"IPS Panel Full HD 1920x1080")</f>
        <v>IPS Panel Full HD 1920x1080</v>
      </c>
      <c r="G1267" s="2" t="str">
        <f ca="1">IFERROR(__xludf.DUMMYFUNCTION("""COMPUTED_VALUE"""),"Intel Core i7 6700HQ 2.6GHz")</f>
        <v>Intel Core i7 6700HQ 2.6GHz</v>
      </c>
      <c r="H1267" s="2" t="str">
        <f ca="1">IFERROR(__xludf.DUMMYFUNCTION("""COMPUTED_VALUE"""),"8GB")</f>
        <v>8GB</v>
      </c>
      <c r="I1267" s="2" t="str">
        <f ca="1">IFERROR(__xludf.DUMMYFUNCTION("""COMPUTED_VALUE"""),"1TB HDD")</f>
        <v>1TB HDD</v>
      </c>
      <c r="J1267" s="2" t="str">
        <f ca="1">IFERROR(__xludf.DUMMYFUNCTION("""COMPUTED_VALUE"""),"Nvidia GeForce GTX 960M")</f>
        <v>Nvidia GeForce GTX 960M</v>
      </c>
      <c r="K1267" s="2" t="str">
        <f ca="1">IFERROR(__xludf.DUMMYFUNCTION("""COMPUTED_VALUE"""),"Windows 10")</f>
        <v>Windows 10</v>
      </c>
      <c r="L1267" s="2" t="str">
        <f ca="1">IFERROR(__xludf.DUMMYFUNCTION("""COMPUTED_VALUE"""),"2.6kg")</f>
        <v>2.6kg</v>
      </c>
      <c r="M1267" s="2">
        <f ca="1">IFERROR(__xludf.DUMMYFUNCTION("""COMPUTED_VALUE"""),899)</f>
        <v>899</v>
      </c>
    </row>
    <row r="1268" spans="1:13">
      <c r="A1268" s="2">
        <f ca="1">IFERROR(__xludf.DUMMYFUNCTION("""COMPUTED_VALUE"""),1284)</f>
        <v>1284</v>
      </c>
      <c r="B1268" s="2" t="str">
        <f ca="1">IFERROR(__xludf.DUMMYFUNCTION("""COMPUTED_VALUE"""),"HP")</f>
        <v>HP</v>
      </c>
      <c r="C1268" s="2" t="str">
        <f ca="1">IFERROR(__xludf.DUMMYFUNCTION("""COMPUTED_VALUE"""),"Pavilion 15-AW003nv")</f>
        <v>Pavilion 15-AW003nv</v>
      </c>
      <c r="D1268" s="2" t="str">
        <f ca="1">IFERROR(__xludf.DUMMYFUNCTION("""COMPUTED_VALUE"""),"Notebook")</f>
        <v>Notebook</v>
      </c>
      <c r="E1268" s="2">
        <f ca="1">IFERROR(__xludf.DUMMYFUNCTION("""COMPUTED_VALUE"""),15.6)</f>
        <v>15.6</v>
      </c>
      <c r="F1268" s="2" t="str">
        <f ca="1">IFERROR(__xludf.DUMMYFUNCTION("""COMPUTED_VALUE"""),"Full HD 1920x1080")</f>
        <v>Full HD 1920x1080</v>
      </c>
      <c r="G1268" s="2" t="str">
        <f ca="1">IFERROR(__xludf.DUMMYFUNCTION("""COMPUTED_VALUE"""),"AMD A9-Series 9410 2.9GHz")</f>
        <v>AMD A9-Series 9410 2.9GHz</v>
      </c>
      <c r="H1268" s="2" t="str">
        <f ca="1">IFERROR(__xludf.DUMMYFUNCTION("""COMPUTED_VALUE"""),"6GB")</f>
        <v>6GB</v>
      </c>
      <c r="I1268" s="2" t="str">
        <f ca="1">IFERROR(__xludf.DUMMYFUNCTION("""COMPUTED_VALUE"""),"1.0TB Hybrid")</f>
        <v>1.0TB Hybrid</v>
      </c>
      <c r="J1268" s="2" t="str">
        <f ca="1">IFERROR(__xludf.DUMMYFUNCTION("""COMPUTED_VALUE"""),"AMD Radeon R7 M440")</f>
        <v>AMD Radeon R7 M440</v>
      </c>
      <c r="K1268" s="2" t="str">
        <f ca="1">IFERROR(__xludf.DUMMYFUNCTION("""COMPUTED_VALUE"""),"Windows 10")</f>
        <v>Windows 10</v>
      </c>
      <c r="L1268" s="2" t="str">
        <f ca="1">IFERROR(__xludf.DUMMYFUNCTION("""COMPUTED_VALUE"""),"2.04kg")</f>
        <v>2.04kg</v>
      </c>
      <c r="M1268" s="2">
        <f ca="1">IFERROR(__xludf.DUMMYFUNCTION("""COMPUTED_VALUE"""),549.99)</f>
        <v>549.99</v>
      </c>
    </row>
    <row r="1269" spans="1:13">
      <c r="A1269" s="2">
        <f ca="1">IFERROR(__xludf.DUMMYFUNCTION("""COMPUTED_VALUE"""),1285)</f>
        <v>1285</v>
      </c>
      <c r="B1269" s="2" t="str">
        <f ca="1">IFERROR(__xludf.DUMMYFUNCTION("""COMPUTED_VALUE"""),"Dell")</f>
        <v>Dell</v>
      </c>
      <c r="C1269" s="2" t="str">
        <f ca="1">IFERROR(__xludf.DUMMYFUNCTION("""COMPUTED_VALUE"""),"Inspiron 3567")</f>
        <v>Inspiron 3567</v>
      </c>
      <c r="D1269" s="2" t="str">
        <f ca="1">IFERROR(__xludf.DUMMYFUNCTION("""COMPUTED_VALUE"""),"Notebook")</f>
        <v>Notebook</v>
      </c>
      <c r="E1269" s="2">
        <f ca="1">IFERROR(__xludf.DUMMYFUNCTION("""COMPUTED_VALUE"""),15.6)</f>
        <v>15.6</v>
      </c>
      <c r="F1269" s="2" t="str">
        <f ca="1">IFERROR(__xludf.DUMMYFUNCTION("""COMPUTED_VALUE"""),"1366x768")</f>
        <v>1366x768</v>
      </c>
      <c r="G1269" s="2" t="str">
        <f ca="1">IFERROR(__xludf.DUMMYFUNCTION("""COMPUTED_VALUE"""),"Intel Core i7 7500U 2.7GHz")</f>
        <v>Intel Core i7 7500U 2.7GHz</v>
      </c>
      <c r="H1269" s="2" t="str">
        <f ca="1">IFERROR(__xludf.DUMMYFUNCTION("""COMPUTED_VALUE"""),"8GB")</f>
        <v>8GB</v>
      </c>
      <c r="I1269" s="2" t="str">
        <f ca="1">IFERROR(__xludf.DUMMYFUNCTION("""COMPUTED_VALUE"""),"1TB HDD")</f>
        <v>1TB HDD</v>
      </c>
      <c r="J1269" s="2" t="str">
        <f ca="1">IFERROR(__xludf.DUMMYFUNCTION("""COMPUTED_VALUE"""),"AMD Radeon R5 M430")</f>
        <v>AMD Radeon R5 M430</v>
      </c>
      <c r="K1269" s="2" t="str">
        <f ca="1">IFERROR(__xludf.DUMMYFUNCTION("""COMPUTED_VALUE"""),"Linux")</f>
        <v>Linux</v>
      </c>
      <c r="L1269" s="2" t="str">
        <f ca="1">IFERROR(__xludf.DUMMYFUNCTION("""COMPUTED_VALUE"""),"2.3kg")</f>
        <v>2.3kg</v>
      </c>
      <c r="M1269" s="2">
        <f ca="1">IFERROR(__xludf.DUMMYFUNCTION("""COMPUTED_VALUE"""),805.99)</f>
        <v>805.99</v>
      </c>
    </row>
    <row r="1270" spans="1:13">
      <c r="A1270" s="2">
        <f ca="1">IFERROR(__xludf.DUMMYFUNCTION("""COMPUTED_VALUE"""),1286)</f>
        <v>1286</v>
      </c>
      <c r="B1270" s="2" t="str">
        <f ca="1">IFERROR(__xludf.DUMMYFUNCTION("""COMPUTED_VALUE"""),"HP")</f>
        <v>HP</v>
      </c>
      <c r="C1270" s="2" t="str">
        <f ca="1">IFERROR(__xludf.DUMMYFUNCTION("""COMPUTED_VALUE"""),"Stream 11-Y000na")</f>
        <v>Stream 11-Y000na</v>
      </c>
      <c r="D1270" s="2" t="str">
        <f ca="1">IFERROR(__xludf.DUMMYFUNCTION("""COMPUTED_VALUE"""),"Netbook")</f>
        <v>Netbook</v>
      </c>
      <c r="E1270" s="2">
        <f ca="1">IFERROR(__xludf.DUMMYFUNCTION("""COMPUTED_VALUE"""),11.6)</f>
        <v>11.6</v>
      </c>
      <c r="F1270" s="2" t="str">
        <f ca="1">IFERROR(__xludf.DUMMYFUNCTION("""COMPUTED_VALUE"""),"1366x768")</f>
        <v>1366x768</v>
      </c>
      <c r="G1270" s="2" t="str">
        <f ca="1">IFERROR(__xludf.DUMMYFUNCTION("""COMPUTED_VALUE"""),"Intel Celeron Dual Core N3060 1.6GHz")</f>
        <v>Intel Celeron Dual Core N3060 1.6GHz</v>
      </c>
      <c r="H1270" s="2" t="str">
        <f ca="1">IFERROR(__xludf.DUMMYFUNCTION("""COMPUTED_VALUE"""),"2GB")</f>
        <v>2GB</v>
      </c>
      <c r="I1270" s="2" t="str">
        <f ca="1">IFERROR(__xludf.DUMMYFUNCTION("""COMPUTED_VALUE"""),"32GB Flash Storage")</f>
        <v>32GB Flash Storage</v>
      </c>
      <c r="J1270" s="2" t="str">
        <f ca="1">IFERROR(__xludf.DUMMYFUNCTION("""COMPUTED_VALUE"""),"Intel HD Graphics 400")</f>
        <v>Intel HD Graphics 400</v>
      </c>
      <c r="K1270" s="2" t="str">
        <f ca="1">IFERROR(__xludf.DUMMYFUNCTION("""COMPUTED_VALUE"""),"Windows 10")</f>
        <v>Windows 10</v>
      </c>
      <c r="L1270" s="2" t="str">
        <f ca="1">IFERROR(__xludf.DUMMYFUNCTION("""COMPUTED_VALUE"""),"1.17kg")</f>
        <v>1.17kg</v>
      </c>
      <c r="M1270" s="2">
        <f ca="1">IFERROR(__xludf.DUMMYFUNCTION("""COMPUTED_VALUE"""),209)</f>
        <v>209</v>
      </c>
    </row>
    <row r="1271" spans="1:13">
      <c r="A1271" s="2">
        <f ca="1">IFERROR(__xludf.DUMMYFUNCTION("""COMPUTED_VALUE"""),1287)</f>
        <v>1287</v>
      </c>
      <c r="B1271" s="2" t="str">
        <f ca="1">IFERROR(__xludf.DUMMYFUNCTION("""COMPUTED_VALUE"""),"Asus")</f>
        <v>Asus</v>
      </c>
      <c r="C1271" s="2" t="str">
        <f ca="1">IFERROR(__xludf.DUMMYFUNCTION("""COMPUTED_VALUE"""),"X556UJ-XO044T (i7-6500U/4GB/500GB/GeForce")</f>
        <v>X556UJ-XO044T (i7-6500U/4GB/500GB/GeForce</v>
      </c>
      <c r="D1271" s="2" t="str">
        <f ca="1">IFERROR(__xludf.DUMMYFUNCTION("""COMPUTED_VALUE"""),"Notebook")</f>
        <v>Notebook</v>
      </c>
      <c r="E1271" s="2">
        <f ca="1">IFERROR(__xludf.DUMMYFUNCTION("""COMPUTED_VALUE"""),15.6)</f>
        <v>15.6</v>
      </c>
      <c r="F1271" s="2" t="str">
        <f ca="1">IFERROR(__xludf.DUMMYFUNCTION("""COMPUTED_VALUE"""),"1366x768")</f>
        <v>1366x768</v>
      </c>
      <c r="G1271" s="2" t="str">
        <f ca="1">IFERROR(__xludf.DUMMYFUNCTION("""COMPUTED_VALUE"""),"Intel Core i7 6500U 2.5GHz")</f>
        <v>Intel Core i7 6500U 2.5GHz</v>
      </c>
      <c r="H1271" s="2" t="str">
        <f ca="1">IFERROR(__xludf.DUMMYFUNCTION("""COMPUTED_VALUE"""),"4GB")</f>
        <v>4GB</v>
      </c>
      <c r="I1271" s="2" t="str">
        <f ca="1">IFERROR(__xludf.DUMMYFUNCTION("""COMPUTED_VALUE"""),"500GB HDD")</f>
        <v>500GB HDD</v>
      </c>
      <c r="J1271" s="2" t="str">
        <f ca="1">IFERROR(__xludf.DUMMYFUNCTION("""COMPUTED_VALUE"""),"Nvidia GeForce 920M")</f>
        <v>Nvidia GeForce 920M</v>
      </c>
      <c r="K1271" s="2" t="str">
        <f ca="1">IFERROR(__xludf.DUMMYFUNCTION("""COMPUTED_VALUE"""),"Windows 10")</f>
        <v>Windows 10</v>
      </c>
      <c r="L1271" s="2" t="str">
        <f ca="1">IFERROR(__xludf.DUMMYFUNCTION("""COMPUTED_VALUE"""),"2.2kg")</f>
        <v>2.2kg</v>
      </c>
      <c r="M1271" s="2">
        <f ca="1">IFERROR(__xludf.DUMMYFUNCTION("""COMPUTED_VALUE"""),720.32)</f>
        <v>720.32</v>
      </c>
    </row>
    <row r="1272" spans="1:13">
      <c r="A1272" s="2">
        <f ca="1">IFERROR(__xludf.DUMMYFUNCTION("""COMPUTED_VALUE"""),1288)</f>
        <v>1288</v>
      </c>
      <c r="B1272" s="2" t="str">
        <f ca="1">IFERROR(__xludf.DUMMYFUNCTION("""COMPUTED_VALUE"""),"Lenovo")</f>
        <v>Lenovo</v>
      </c>
      <c r="C1272" s="2" t="str">
        <f ca="1">IFERROR(__xludf.DUMMYFUNCTION("""COMPUTED_VALUE"""),"Yoga 500-14ISK")</f>
        <v>Yoga 500-14ISK</v>
      </c>
      <c r="D1272" s="2" t="str">
        <f ca="1">IFERROR(__xludf.DUMMYFUNCTION("""COMPUTED_VALUE"""),"2 in 1 Convertible")</f>
        <v>2 in 1 Convertible</v>
      </c>
      <c r="E1272" s="2">
        <f ca="1">IFERROR(__xludf.DUMMYFUNCTION("""COMPUTED_VALUE"""),14)</f>
        <v>14</v>
      </c>
      <c r="F1272" s="2" t="str">
        <f ca="1">IFERROR(__xludf.DUMMYFUNCTION("""COMPUTED_VALUE"""),"IPS Panel Full HD / Touchscreen 1920x1080")</f>
        <v>IPS Panel Full HD / Touchscreen 1920x1080</v>
      </c>
      <c r="G1272" s="2" t="str">
        <f ca="1">IFERROR(__xludf.DUMMYFUNCTION("""COMPUTED_VALUE"""),"Intel Core i7 6500U 2.5GHz")</f>
        <v>Intel Core i7 6500U 2.5GHz</v>
      </c>
      <c r="H1272" s="2" t="str">
        <f ca="1">IFERROR(__xludf.DUMMYFUNCTION("""COMPUTED_VALUE"""),"4GB")</f>
        <v>4GB</v>
      </c>
      <c r="I1272" s="2" t="str">
        <f ca="1">IFERROR(__xludf.DUMMYFUNCTION("""COMPUTED_VALUE"""),"128GB SSD")</f>
        <v>128GB SSD</v>
      </c>
      <c r="J1272" s="2" t="str">
        <f ca="1">IFERROR(__xludf.DUMMYFUNCTION("""COMPUTED_VALUE"""),"Intel HD Graphics 520")</f>
        <v>Intel HD Graphics 520</v>
      </c>
      <c r="K1272" s="2" t="str">
        <f ca="1">IFERROR(__xludf.DUMMYFUNCTION("""COMPUTED_VALUE"""),"Windows 10")</f>
        <v>Windows 10</v>
      </c>
      <c r="L1272" s="2" t="str">
        <f ca="1">IFERROR(__xludf.DUMMYFUNCTION("""COMPUTED_VALUE"""),"1.8kg")</f>
        <v>1.8kg</v>
      </c>
      <c r="M1272" s="2">
        <f ca="1">IFERROR(__xludf.DUMMYFUNCTION("""COMPUTED_VALUE"""),638)</f>
        <v>638</v>
      </c>
    </row>
    <row r="1273" spans="1:13">
      <c r="A1273" s="2">
        <f ca="1">IFERROR(__xludf.DUMMYFUNCTION("""COMPUTED_VALUE"""),1289)</f>
        <v>1289</v>
      </c>
      <c r="B1273" s="2" t="str">
        <f ca="1">IFERROR(__xludf.DUMMYFUNCTION("""COMPUTED_VALUE"""),"Lenovo")</f>
        <v>Lenovo</v>
      </c>
      <c r="C1273" s="2" t="str">
        <f ca="1">IFERROR(__xludf.DUMMYFUNCTION("""COMPUTED_VALUE"""),"Yoga 900-13ISK")</f>
        <v>Yoga 900-13ISK</v>
      </c>
      <c r="D1273" s="2" t="str">
        <f ca="1">IFERROR(__xludf.DUMMYFUNCTION("""COMPUTED_VALUE"""),"2 in 1 Convertible")</f>
        <v>2 in 1 Convertible</v>
      </c>
      <c r="E1273" s="2">
        <f ca="1">IFERROR(__xludf.DUMMYFUNCTION("""COMPUTED_VALUE"""),13.3)</f>
        <v>13.3</v>
      </c>
      <c r="F1273" s="2" t="str">
        <f ca="1">IFERROR(__xludf.DUMMYFUNCTION("""COMPUTED_VALUE"""),"IPS Panel Quad HD+ / Touchscreen 3200x1800")</f>
        <v>IPS Panel Quad HD+ / Touchscreen 3200x1800</v>
      </c>
      <c r="G1273" s="2" t="str">
        <f ca="1">IFERROR(__xludf.DUMMYFUNCTION("""COMPUTED_VALUE"""),"Intel Core i7 6500U 2.5GHz")</f>
        <v>Intel Core i7 6500U 2.5GHz</v>
      </c>
      <c r="H1273" s="2" t="str">
        <f ca="1">IFERROR(__xludf.DUMMYFUNCTION("""COMPUTED_VALUE"""),"16GB")</f>
        <v>16GB</v>
      </c>
      <c r="I1273" s="2" t="str">
        <f ca="1">IFERROR(__xludf.DUMMYFUNCTION("""COMPUTED_VALUE"""),"512GB SSD")</f>
        <v>512GB SSD</v>
      </c>
      <c r="J1273" s="2" t="str">
        <f ca="1">IFERROR(__xludf.DUMMYFUNCTION("""COMPUTED_VALUE"""),"Intel HD Graphics 520")</f>
        <v>Intel HD Graphics 520</v>
      </c>
      <c r="K1273" s="2" t="str">
        <f ca="1">IFERROR(__xludf.DUMMYFUNCTION("""COMPUTED_VALUE"""),"Windows 10")</f>
        <v>Windows 10</v>
      </c>
      <c r="L1273" s="2" t="str">
        <f ca="1">IFERROR(__xludf.DUMMYFUNCTION("""COMPUTED_VALUE"""),"1.3kg")</f>
        <v>1.3kg</v>
      </c>
      <c r="M1273" s="2">
        <f ca="1">IFERROR(__xludf.DUMMYFUNCTION("""COMPUTED_VALUE"""),1499)</f>
        <v>1499</v>
      </c>
    </row>
    <row r="1274" spans="1:13">
      <c r="A1274" s="2">
        <f ca="1">IFERROR(__xludf.DUMMYFUNCTION("""COMPUTED_VALUE"""),1290)</f>
        <v>1290</v>
      </c>
      <c r="B1274" s="2" t="str">
        <f ca="1">IFERROR(__xludf.DUMMYFUNCTION("""COMPUTED_VALUE"""),"Lenovo")</f>
        <v>Lenovo</v>
      </c>
      <c r="C1274" s="2" t="str">
        <f ca="1">IFERROR(__xludf.DUMMYFUNCTION("""COMPUTED_VALUE"""),"IdeaPad 100S-14IBR")</f>
        <v>IdeaPad 100S-14IBR</v>
      </c>
      <c r="D1274" s="2" t="str">
        <f ca="1">IFERROR(__xludf.DUMMYFUNCTION("""COMPUTED_VALUE"""),"Notebook")</f>
        <v>Notebook</v>
      </c>
      <c r="E1274" s="2">
        <f ca="1">IFERROR(__xludf.DUMMYFUNCTION("""COMPUTED_VALUE"""),14)</f>
        <v>14</v>
      </c>
      <c r="F1274" s="2" t="str">
        <f ca="1">IFERROR(__xludf.DUMMYFUNCTION("""COMPUTED_VALUE"""),"1366x768")</f>
        <v>1366x768</v>
      </c>
      <c r="G1274" s="2" t="str">
        <f ca="1">IFERROR(__xludf.DUMMYFUNCTION("""COMPUTED_VALUE"""),"Intel Celeron Dual Core N3050 1.6GHz")</f>
        <v>Intel Celeron Dual Core N3050 1.6GHz</v>
      </c>
      <c r="H1274" s="2" t="str">
        <f ca="1">IFERROR(__xludf.DUMMYFUNCTION("""COMPUTED_VALUE"""),"2GB")</f>
        <v>2GB</v>
      </c>
      <c r="I1274" s="2" t="str">
        <f ca="1">IFERROR(__xludf.DUMMYFUNCTION("""COMPUTED_VALUE"""),"64GB Flash Storage")</f>
        <v>64GB Flash Storage</v>
      </c>
      <c r="J1274" s="2" t="str">
        <f ca="1">IFERROR(__xludf.DUMMYFUNCTION("""COMPUTED_VALUE"""),"Intel HD Graphics")</f>
        <v>Intel HD Graphics</v>
      </c>
      <c r="K1274" s="2" t="str">
        <f ca="1">IFERROR(__xludf.DUMMYFUNCTION("""COMPUTED_VALUE"""),"Windows 10")</f>
        <v>Windows 10</v>
      </c>
      <c r="L1274" s="2" t="str">
        <f ca="1">IFERROR(__xludf.DUMMYFUNCTION("""COMPUTED_VALUE"""),"1.5kg")</f>
        <v>1.5kg</v>
      </c>
      <c r="M1274" s="2">
        <f ca="1">IFERROR(__xludf.DUMMYFUNCTION("""COMPUTED_VALUE"""),229)</f>
        <v>229</v>
      </c>
    </row>
    <row r="1275" spans="1:13">
      <c r="A1275" s="2">
        <f ca="1">IFERROR(__xludf.DUMMYFUNCTION("""COMPUTED_VALUE"""),1291)</f>
        <v>1291</v>
      </c>
      <c r="B1275" s="2" t="str">
        <f ca="1">IFERROR(__xludf.DUMMYFUNCTION("""COMPUTED_VALUE"""),"HP")</f>
        <v>HP</v>
      </c>
      <c r="C1275" s="2" t="str">
        <f ca="1">IFERROR(__xludf.DUMMYFUNCTION("""COMPUTED_VALUE"""),"15-AC110nv (i7-6500U/6GB/1TB/Radeon")</f>
        <v>15-AC110nv (i7-6500U/6GB/1TB/Radeon</v>
      </c>
      <c r="D1275" s="2" t="str">
        <f ca="1">IFERROR(__xludf.DUMMYFUNCTION("""COMPUTED_VALUE"""),"Notebook")</f>
        <v>Notebook</v>
      </c>
      <c r="E1275" s="2">
        <f ca="1">IFERROR(__xludf.DUMMYFUNCTION("""COMPUTED_VALUE"""),15.6)</f>
        <v>15.6</v>
      </c>
      <c r="F1275" s="2" t="str">
        <f ca="1">IFERROR(__xludf.DUMMYFUNCTION("""COMPUTED_VALUE"""),"1366x768")</f>
        <v>1366x768</v>
      </c>
      <c r="G1275" s="2" t="str">
        <f ca="1">IFERROR(__xludf.DUMMYFUNCTION("""COMPUTED_VALUE"""),"Intel Core i7 6500U 2.5GHz")</f>
        <v>Intel Core i7 6500U 2.5GHz</v>
      </c>
      <c r="H1275" s="2" t="str">
        <f ca="1">IFERROR(__xludf.DUMMYFUNCTION("""COMPUTED_VALUE"""),"6GB")</f>
        <v>6GB</v>
      </c>
      <c r="I1275" s="2" t="str">
        <f ca="1">IFERROR(__xludf.DUMMYFUNCTION("""COMPUTED_VALUE"""),"1TB HDD")</f>
        <v>1TB HDD</v>
      </c>
      <c r="J1275" s="2" t="str">
        <f ca="1">IFERROR(__xludf.DUMMYFUNCTION("""COMPUTED_VALUE"""),"AMD Radeon R5 M330")</f>
        <v>AMD Radeon R5 M330</v>
      </c>
      <c r="K1275" s="2" t="str">
        <f ca="1">IFERROR(__xludf.DUMMYFUNCTION("""COMPUTED_VALUE"""),"Windows 10")</f>
        <v>Windows 10</v>
      </c>
      <c r="L1275" s="2" t="str">
        <f ca="1">IFERROR(__xludf.DUMMYFUNCTION("""COMPUTED_VALUE"""),"2.19kg")</f>
        <v>2.19kg</v>
      </c>
      <c r="M1275" s="2">
        <f ca="1">IFERROR(__xludf.DUMMYFUNCTION("""COMPUTED_VALUE"""),764)</f>
        <v>764</v>
      </c>
    </row>
    <row r="1276" spans="1:13">
      <c r="A1276" s="2">
        <f ca="1">IFERROR(__xludf.DUMMYFUNCTION("""COMPUTED_VALUE"""),1292)</f>
        <v>1292</v>
      </c>
      <c r="B1276" s="2" t="str">
        <f ca="1">IFERROR(__xludf.DUMMYFUNCTION("""COMPUTED_VALUE"""),"Asus")</f>
        <v>Asus</v>
      </c>
      <c r="C1276" s="2" t="str">
        <f ca="1">IFERROR(__xludf.DUMMYFUNCTION("""COMPUTED_VALUE"""),"X553SA-XX031T (N3050/4GB/500GB/W10)")</f>
        <v>X553SA-XX031T (N3050/4GB/500GB/W10)</v>
      </c>
      <c r="D1276" s="2" t="str">
        <f ca="1">IFERROR(__xludf.DUMMYFUNCTION("""COMPUTED_VALUE"""),"Notebook")</f>
        <v>Notebook</v>
      </c>
      <c r="E1276" s="2">
        <f ca="1">IFERROR(__xludf.DUMMYFUNCTION("""COMPUTED_VALUE"""),15.6)</f>
        <v>15.6</v>
      </c>
      <c r="F1276" s="2" t="str">
        <f ca="1">IFERROR(__xludf.DUMMYFUNCTION("""COMPUTED_VALUE"""),"1366x768")</f>
        <v>1366x768</v>
      </c>
      <c r="G1276" s="2" t="str">
        <f ca="1">IFERROR(__xludf.DUMMYFUNCTION("""COMPUTED_VALUE"""),"Intel Celeron Dual Core N3050 1.6GHz")</f>
        <v>Intel Celeron Dual Core N3050 1.6GHz</v>
      </c>
      <c r="H1276" s="2" t="str">
        <f ca="1">IFERROR(__xludf.DUMMYFUNCTION("""COMPUTED_VALUE"""),"4GB")</f>
        <v>4GB</v>
      </c>
      <c r="I1276" s="2" t="str">
        <f ca="1">IFERROR(__xludf.DUMMYFUNCTION("""COMPUTED_VALUE"""),"500GB HDD")</f>
        <v>500GB HDD</v>
      </c>
      <c r="J1276" s="2" t="str">
        <f ca="1">IFERROR(__xludf.DUMMYFUNCTION("""COMPUTED_VALUE"""),"Intel HD Graphics")</f>
        <v>Intel HD Graphics</v>
      </c>
      <c r="K1276" s="2" t="str">
        <f ca="1">IFERROR(__xludf.DUMMYFUNCTION("""COMPUTED_VALUE"""),"Windows 10")</f>
        <v>Windows 10</v>
      </c>
      <c r="L1276" s="2" t="str">
        <f ca="1">IFERROR(__xludf.DUMMYFUNCTION("""COMPUTED_VALUE"""),"2.2kg")</f>
        <v>2.2kg</v>
      </c>
      <c r="M1276" s="2">
        <f ca="1">IFERROR(__xludf.DUMMYFUNCTION("""COMPUTED_VALUE"""),369)</f>
        <v>369</v>
      </c>
    </row>
    <row r="1277" spans="1:13">
      <c r="A1277" s="2">
        <f ca="1">IFERROR(__xludf.DUMMYFUNCTION("""COMPUTED_VALUE"""),1293)</f>
        <v>1293</v>
      </c>
      <c r="B1277" s="2" t="str">
        <f ca="1">IFERROR(__xludf.DUMMYFUNCTION("""COMPUTED_VALUE"""),"Asus")</f>
        <v>Asus</v>
      </c>
      <c r="C1277" s="2" t="str">
        <f ca="1">IFERROR(__xludf.DUMMYFUNCTION("""COMPUTED_VALUE"""),"ZenBook UX305CA-UBM1")</f>
        <v>ZenBook UX305CA-UBM1</v>
      </c>
      <c r="D1277" s="2" t="str">
        <f ca="1">IFERROR(__xludf.DUMMYFUNCTION("""COMPUTED_VALUE"""),"Ultrabook")</f>
        <v>Ultrabook</v>
      </c>
      <c r="E1277" s="2">
        <f ca="1">IFERROR(__xludf.DUMMYFUNCTION("""COMPUTED_VALUE"""),13.3)</f>
        <v>13.3</v>
      </c>
      <c r="F1277" s="2" t="str">
        <f ca="1">IFERROR(__xludf.DUMMYFUNCTION("""COMPUTED_VALUE"""),"IPS Panel Full HD 1920x1080")</f>
        <v>IPS Panel Full HD 1920x1080</v>
      </c>
      <c r="G1277" s="2" t="str">
        <f ca="1">IFERROR(__xludf.DUMMYFUNCTION("""COMPUTED_VALUE"""),"Intel Core M 6Y30 0.9GHz")</f>
        <v>Intel Core M 6Y30 0.9GHz</v>
      </c>
      <c r="H1277" s="2" t="str">
        <f ca="1">IFERROR(__xludf.DUMMYFUNCTION("""COMPUTED_VALUE"""),"8GB")</f>
        <v>8GB</v>
      </c>
      <c r="I1277" s="2" t="str">
        <f ca="1">IFERROR(__xludf.DUMMYFUNCTION("""COMPUTED_VALUE"""),"512GB SSD")</f>
        <v>512GB SSD</v>
      </c>
      <c r="J1277" s="2" t="str">
        <f ca="1">IFERROR(__xludf.DUMMYFUNCTION("""COMPUTED_VALUE"""),"Intel HD Graphics 515")</f>
        <v>Intel HD Graphics 515</v>
      </c>
      <c r="K1277" s="2" t="str">
        <f ca="1">IFERROR(__xludf.DUMMYFUNCTION("""COMPUTED_VALUE"""),"Windows 10")</f>
        <v>Windows 10</v>
      </c>
      <c r="L1277" s="2" t="str">
        <f ca="1">IFERROR(__xludf.DUMMYFUNCTION("""COMPUTED_VALUE"""),"1.2kg")</f>
        <v>1.2kg</v>
      </c>
      <c r="M1277" s="2">
        <f ca="1">IFERROR(__xludf.DUMMYFUNCTION("""COMPUTED_VALUE"""),729)</f>
        <v>729</v>
      </c>
    </row>
    <row r="1278" spans="1:13">
      <c r="A1278" s="2">
        <f ca="1">IFERROR(__xludf.DUMMYFUNCTION("""COMPUTED_VALUE"""),1294)</f>
        <v>1294</v>
      </c>
      <c r="B1278" s="2" t="str">
        <f ca="1">IFERROR(__xludf.DUMMYFUNCTION("""COMPUTED_VALUE"""),"Dell")</f>
        <v>Dell</v>
      </c>
      <c r="C1278" s="2" t="str">
        <f ca="1">IFERROR(__xludf.DUMMYFUNCTION("""COMPUTED_VALUE"""),"Inspiron 3567")</f>
        <v>Inspiron 3567</v>
      </c>
      <c r="D1278" s="2" t="str">
        <f ca="1">IFERROR(__xludf.DUMMYFUNCTION("""COMPUTED_VALUE"""),"Notebook")</f>
        <v>Notebook</v>
      </c>
      <c r="E1278" s="2">
        <f ca="1">IFERROR(__xludf.DUMMYFUNCTION("""COMPUTED_VALUE"""),15.6)</f>
        <v>15.6</v>
      </c>
      <c r="F1278" s="2" t="str">
        <f ca="1">IFERROR(__xludf.DUMMYFUNCTION("""COMPUTED_VALUE"""),"1366x768")</f>
        <v>1366x768</v>
      </c>
      <c r="G1278" s="2" t="str">
        <f ca="1">IFERROR(__xludf.DUMMYFUNCTION("""COMPUTED_VALUE"""),"Intel Core i3 7100U 2.4GHz")</f>
        <v>Intel Core i3 7100U 2.4GHz</v>
      </c>
      <c r="H1278" s="2" t="str">
        <f ca="1">IFERROR(__xludf.DUMMYFUNCTION("""COMPUTED_VALUE"""),"6GB")</f>
        <v>6GB</v>
      </c>
      <c r="I1278" s="2" t="str">
        <f ca="1">IFERROR(__xludf.DUMMYFUNCTION("""COMPUTED_VALUE"""),"1TB HDD")</f>
        <v>1TB HDD</v>
      </c>
      <c r="J1278" s="2" t="str">
        <f ca="1">IFERROR(__xludf.DUMMYFUNCTION("""COMPUTED_VALUE"""),"Intel HD Graphics 620")</f>
        <v>Intel HD Graphics 620</v>
      </c>
      <c r="K1278" s="2" t="str">
        <f ca="1">IFERROR(__xludf.DUMMYFUNCTION("""COMPUTED_VALUE"""),"Windows 10")</f>
        <v>Windows 10</v>
      </c>
      <c r="L1278" s="2" t="str">
        <f ca="1">IFERROR(__xludf.DUMMYFUNCTION("""COMPUTED_VALUE"""),"2.3kg")</f>
        <v>2.3kg</v>
      </c>
      <c r="M1278" s="2">
        <f ca="1">IFERROR(__xludf.DUMMYFUNCTION("""COMPUTED_VALUE"""),459)</f>
        <v>459</v>
      </c>
    </row>
    <row r="1279" spans="1:13">
      <c r="A1279" s="2">
        <f ca="1">IFERROR(__xludf.DUMMYFUNCTION("""COMPUTED_VALUE"""),1295)</f>
        <v>1295</v>
      </c>
      <c r="B1279" s="2" t="str">
        <f ca="1">IFERROR(__xludf.DUMMYFUNCTION("""COMPUTED_VALUE"""),"Acer")</f>
        <v>Acer</v>
      </c>
      <c r="C1279" s="2" t="str">
        <f ca="1">IFERROR(__xludf.DUMMYFUNCTION("""COMPUTED_VALUE"""),"Aspire ES1-531")</f>
        <v>Aspire ES1-531</v>
      </c>
      <c r="D1279" s="2" t="str">
        <f ca="1">IFERROR(__xludf.DUMMYFUNCTION("""COMPUTED_VALUE"""),"Notebook")</f>
        <v>Notebook</v>
      </c>
      <c r="E1279" s="2">
        <f ca="1">IFERROR(__xludf.DUMMYFUNCTION("""COMPUTED_VALUE"""),15.6)</f>
        <v>15.6</v>
      </c>
      <c r="F1279" s="2" t="str">
        <f ca="1">IFERROR(__xludf.DUMMYFUNCTION("""COMPUTED_VALUE"""),"1366x768")</f>
        <v>1366x768</v>
      </c>
      <c r="G1279" s="2" t="str">
        <f ca="1">IFERROR(__xludf.DUMMYFUNCTION("""COMPUTED_VALUE"""),"Intel Celeron Dual Core N3060 1.6GHz")</f>
        <v>Intel Celeron Dual Core N3060 1.6GHz</v>
      </c>
      <c r="H1279" s="2" t="str">
        <f ca="1">IFERROR(__xludf.DUMMYFUNCTION("""COMPUTED_VALUE"""),"4GB")</f>
        <v>4GB</v>
      </c>
      <c r="I1279" s="2" t="str">
        <f ca="1">IFERROR(__xludf.DUMMYFUNCTION("""COMPUTED_VALUE"""),"500GB HDD")</f>
        <v>500GB HDD</v>
      </c>
      <c r="J1279" s="2" t="str">
        <f ca="1">IFERROR(__xludf.DUMMYFUNCTION("""COMPUTED_VALUE"""),"Intel HD Graphics 400")</f>
        <v>Intel HD Graphics 400</v>
      </c>
      <c r="K1279" s="2" t="str">
        <f ca="1">IFERROR(__xludf.DUMMYFUNCTION("""COMPUTED_VALUE"""),"Linux")</f>
        <v>Linux</v>
      </c>
      <c r="L1279" s="2" t="str">
        <f ca="1">IFERROR(__xludf.DUMMYFUNCTION("""COMPUTED_VALUE"""),"2.4kg")</f>
        <v>2.4kg</v>
      </c>
      <c r="M1279" s="2">
        <f ca="1">IFERROR(__xludf.DUMMYFUNCTION("""COMPUTED_VALUE"""),289)</f>
        <v>289</v>
      </c>
    </row>
    <row r="1280" spans="1:13">
      <c r="A1280" s="2">
        <f ca="1">IFERROR(__xludf.DUMMYFUNCTION("""COMPUTED_VALUE"""),1296)</f>
        <v>1296</v>
      </c>
      <c r="B1280" s="2" t="str">
        <f ca="1">IFERROR(__xludf.DUMMYFUNCTION("""COMPUTED_VALUE"""),"Dell")</f>
        <v>Dell</v>
      </c>
      <c r="C1280" s="2" t="str">
        <f ca="1">IFERROR(__xludf.DUMMYFUNCTION("""COMPUTED_VALUE"""),"Inspiron 3552")</f>
        <v>Inspiron 3552</v>
      </c>
      <c r="D1280" s="2" t="str">
        <f ca="1">IFERROR(__xludf.DUMMYFUNCTION("""COMPUTED_VALUE"""),"Notebook")</f>
        <v>Notebook</v>
      </c>
      <c r="E1280" s="2">
        <f ca="1">IFERROR(__xludf.DUMMYFUNCTION("""COMPUTED_VALUE"""),15.6)</f>
        <v>15.6</v>
      </c>
      <c r="F1280" s="2" t="str">
        <f ca="1">IFERROR(__xludf.DUMMYFUNCTION("""COMPUTED_VALUE"""),"1366x768")</f>
        <v>1366x768</v>
      </c>
      <c r="G1280" s="2" t="str">
        <f ca="1">IFERROR(__xludf.DUMMYFUNCTION("""COMPUTED_VALUE"""),"Intel Celeron Dual Core N3050 1.6GHz")</f>
        <v>Intel Celeron Dual Core N3050 1.6GHz</v>
      </c>
      <c r="H1280" s="2" t="str">
        <f ca="1">IFERROR(__xludf.DUMMYFUNCTION("""COMPUTED_VALUE"""),"2GB")</f>
        <v>2GB</v>
      </c>
      <c r="I1280" s="2" t="str">
        <f ca="1">IFERROR(__xludf.DUMMYFUNCTION("""COMPUTED_VALUE"""),"500GB HDD")</f>
        <v>500GB HDD</v>
      </c>
      <c r="J1280" s="2" t="str">
        <f ca="1">IFERROR(__xludf.DUMMYFUNCTION("""COMPUTED_VALUE"""),"Intel HD Graphics")</f>
        <v>Intel HD Graphics</v>
      </c>
      <c r="K1280" s="2" t="str">
        <f ca="1">IFERROR(__xludf.DUMMYFUNCTION("""COMPUTED_VALUE"""),"Windows 10")</f>
        <v>Windows 10</v>
      </c>
      <c r="L1280" s="2" t="str">
        <f ca="1">IFERROR(__xludf.DUMMYFUNCTION("""COMPUTED_VALUE"""),"2.20kg")</f>
        <v>2.20kg</v>
      </c>
      <c r="M1280" s="2">
        <f ca="1">IFERROR(__xludf.DUMMYFUNCTION("""COMPUTED_VALUE"""),379)</f>
        <v>379</v>
      </c>
    </row>
    <row r="1281" spans="1:13">
      <c r="A1281" s="2">
        <f ca="1">IFERROR(__xludf.DUMMYFUNCTION("""COMPUTED_VALUE"""),1297)</f>
        <v>1297</v>
      </c>
      <c r="B1281" s="2" t="str">
        <f ca="1">IFERROR(__xludf.DUMMYFUNCTION("""COMPUTED_VALUE"""),"Lenovo")</f>
        <v>Lenovo</v>
      </c>
      <c r="C1281" s="2" t="str">
        <f ca="1">IFERROR(__xludf.DUMMYFUNCTION("""COMPUTED_VALUE"""),"IdeaPad Y700-15ISK")</f>
        <v>IdeaPad Y700-15ISK</v>
      </c>
      <c r="D1281" s="2" t="str">
        <f ca="1">IFERROR(__xludf.DUMMYFUNCTION("""COMPUTED_VALUE"""),"Notebook")</f>
        <v>Notebook</v>
      </c>
      <c r="E1281" s="2">
        <f ca="1">IFERROR(__xludf.DUMMYFUNCTION("""COMPUTED_VALUE"""),15.6)</f>
        <v>15.6</v>
      </c>
      <c r="F1281" s="2" t="str">
        <f ca="1">IFERROR(__xludf.DUMMYFUNCTION("""COMPUTED_VALUE"""),"IPS Panel Full HD 1920x1080")</f>
        <v>IPS Panel Full HD 1920x1080</v>
      </c>
      <c r="G1281" s="2" t="str">
        <f ca="1">IFERROR(__xludf.DUMMYFUNCTION("""COMPUTED_VALUE"""),"Intel Core i7 6700HQ 2.6GHz")</f>
        <v>Intel Core i7 6700HQ 2.6GHz</v>
      </c>
      <c r="H1281" s="2" t="str">
        <f ca="1">IFERROR(__xludf.DUMMYFUNCTION("""COMPUTED_VALUE"""),"8GB")</f>
        <v>8GB</v>
      </c>
      <c r="I1281" s="2" t="str">
        <f ca="1">IFERROR(__xludf.DUMMYFUNCTION("""COMPUTED_VALUE"""),"1TB HDD")</f>
        <v>1TB HDD</v>
      </c>
      <c r="J1281" s="2" t="str">
        <f ca="1">IFERROR(__xludf.DUMMYFUNCTION("""COMPUTED_VALUE"""),"Nvidia GeForce GTX 960M")</f>
        <v>Nvidia GeForce GTX 960M</v>
      </c>
      <c r="K1281" s="2" t="str">
        <f ca="1">IFERROR(__xludf.DUMMYFUNCTION("""COMPUTED_VALUE"""),"Windows 10")</f>
        <v>Windows 10</v>
      </c>
      <c r="L1281" s="2" t="str">
        <f ca="1">IFERROR(__xludf.DUMMYFUNCTION("""COMPUTED_VALUE"""),"2.6kg")</f>
        <v>2.6kg</v>
      </c>
      <c r="M1281" s="2">
        <f ca="1">IFERROR(__xludf.DUMMYFUNCTION("""COMPUTED_VALUE"""),899)</f>
        <v>899</v>
      </c>
    </row>
    <row r="1282" spans="1:13">
      <c r="A1282" s="2">
        <f ca="1">IFERROR(__xludf.DUMMYFUNCTION("""COMPUTED_VALUE"""),1298)</f>
        <v>1298</v>
      </c>
      <c r="B1282" s="2" t="str">
        <f ca="1">IFERROR(__xludf.DUMMYFUNCTION("""COMPUTED_VALUE"""),"HP")</f>
        <v>HP</v>
      </c>
      <c r="C1282" s="2" t="str">
        <f ca="1">IFERROR(__xludf.DUMMYFUNCTION("""COMPUTED_VALUE"""),"Pavilion 15-AW003nv")</f>
        <v>Pavilion 15-AW003nv</v>
      </c>
      <c r="D1282" s="2" t="str">
        <f ca="1">IFERROR(__xludf.DUMMYFUNCTION("""COMPUTED_VALUE"""),"Notebook")</f>
        <v>Notebook</v>
      </c>
      <c r="E1282" s="2">
        <f ca="1">IFERROR(__xludf.DUMMYFUNCTION("""COMPUTED_VALUE"""),15.6)</f>
        <v>15.6</v>
      </c>
      <c r="F1282" s="2" t="str">
        <f ca="1">IFERROR(__xludf.DUMMYFUNCTION("""COMPUTED_VALUE"""),"Full HD 1920x1080")</f>
        <v>Full HD 1920x1080</v>
      </c>
      <c r="G1282" s="2" t="str">
        <f ca="1">IFERROR(__xludf.DUMMYFUNCTION("""COMPUTED_VALUE"""),"AMD A9-Series 9410 2.9GHz")</f>
        <v>AMD A9-Series 9410 2.9GHz</v>
      </c>
      <c r="H1282" s="2" t="str">
        <f ca="1">IFERROR(__xludf.DUMMYFUNCTION("""COMPUTED_VALUE"""),"6GB")</f>
        <v>6GB</v>
      </c>
      <c r="I1282" s="2" t="str">
        <f ca="1">IFERROR(__xludf.DUMMYFUNCTION("""COMPUTED_VALUE"""),"1.0TB Hybrid")</f>
        <v>1.0TB Hybrid</v>
      </c>
      <c r="J1282" s="2" t="str">
        <f ca="1">IFERROR(__xludf.DUMMYFUNCTION("""COMPUTED_VALUE"""),"AMD Radeon R7 M440")</f>
        <v>AMD Radeon R7 M440</v>
      </c>
      <c r="K1282" s="2" t="str">
        <f ca="1">IFERROR(__xludf.DUMMYFUNCTION("""COMPUTED_VALUE"""),"Windows 10")</f>
        <v>Windows 10</v>
      </c>
      <c r="L1282" s="2" t="str">
        <f ca="1">IFERROR(__xludf.DUMMYFUNCTION("""COMPUTED_VALUE"""),"2.04kg")</f>
        <v>2.04kg</v>
      </c>
      <c r="M1282" s="2">
        <f ca="1">IFERROR(__xludf.DUMMYFUNCTION("""COMPUTED_VALUE"""),549.99)</f>
        <v>549.99</v>
      </c>
    </row>
    <row r="1283" spans="1:13">
      <c r="A1283" s="2">
        <f ca="1">IFERROR(__xludf.DUMMYFUNCTION("""COMPUTED_VALUE"""),1299)</f>
        <v>1299</v>
      </c>
      <c r="B1283" s="2" t="str">
        <f ca="1">IFERROR(__xludf.DUMMYFUNCTION("""COMPUTED_VALUE"""),"Dell")</f>
        <v>Dell</v>
      </c>
      <c r="C1283" s="2" t="str">
        <f ca="1">IFERROR(__xludf.DUMMYFUNCTION("""COMPUTED_VALUE"""),"Inspiron 3567")</f>
        <v>Inspiron 3567</v>
      </c>
      <c r="D1283" s="2" t="str">
        <f ca="1">IFERROR(__xludf.DUMMYFUNCTION("""COMPUTED_VALUE"""),"Notebook")</f>
        <v>Notebook</v>
      </c>
      <c r="E1283" s="2">
        <f ca="1">IFERROR(__xludf.DUMMYFUNCTION("""COMPUTED_VALUE"""),15.6)</f>
        <v>15.6</v>
      </c>
      <c r="F1283" s="2" t="str">
        <f ca="1">IFERROR(__xludf.DUMMYFUNCTION("""COMPUTED_VALUE"""),"1366x768")</f>
        <v>1366x768</v>
      </c>
      <c r="G1283" s="2" t="str">
        <f ca="1">IFERROR(__xludf.DUMMYFUNCTION("""COMPUTED_VALUE"""),"Intel Core i7 7500U 2.7GHz")</f>
        <v>Intel Core i7 7500U 2.7GHz</v>
      </c>
      <c r="H1283" s="2" t="str">
        <f ca="1">IFERROR(__xludf.DUMMYFUNCTION("""COMPUTED_VALUE"""),"8GB")</f>
        <v>8GB</v>
      </c>
      <c r="I1283" s="2" t="str">
        <f ca="1">IFERROR(__xludf.DUMMYFUNCTION("""COMPUTED_VALUE"""),"1TB HDD")</f>
        <v>1TB HDD</v>
      </c>
      <c r="J1283" s="2" t="str">
        <f ca="1">IFERROR(__xludf.DUMMYFUNCTION("""COMPUTED_VALUE"""),"AMD Radeon R5 M430")</f>
        <v>AMD Radeon R5 M430</v>
      </c>
      <c r="K1283" s="2" t="str">
        <f ca="1">IFERROR(__xludf.DUMMYFUNCTION("""COMPUTED_VALUE"""),"Linux")</f>
        <v>Linux</v>
      </c>
      <c r="L1283" s="2" t="str">
        <f ca="1">IFERROR(__xludf.DUMMYFUNCTION("""COMPUTED_VALUE"""),"2.3kg")</f>
        <v>2.3kg</v>
      </c>
      <c r="M1283" s="2">
        <f ca="1">IFERROR(__xludf.DUMMYFUNCTION("""COMPUTED_VALUE"""),805.99)</f>
        <v>805.99</v>
      </c>
    </row>
    <row r="1284" spans="1:13">
      <c r="A1284" s="2">
        <f ca="1">IFERROR(__xludf.DUMMYFUNCTION("""COMPUTED_VALUE"""),1300)</f>
        <v>1300</v>
      </c>
      <c r="B1284" s="2" t="str">
        <f ca="1">IFERROR(__xludf.DUMMYFUNCTION("""COMPUTED_VALUE"""),"HP")</f>
        <v>HP</v>
      </c>
      <c r="C1284" s="2" t="str">
        <f ca="1">IFERROR(__xludf.DUMMYFUNCTION("""COMPUTED_VALUE"""),"Stream 11-Y000na")</f>
        <v>Stream 11-Y000na</v>
      </c>
      <c r="D1284" s="2" t="str">
        <f ca="1">IFERROR(__xludf.DUMMYFUNCTION("""COMPUTED_VALUE"""),"Netbook")</f>
        <v>Netbook</v>
      </c>
      <c r="E1284" s="2">
        <f ca="1">IFERROR(__xludf.DUMMYFUNCTION("""COMPUTED_VALUE"""),11.6)</f>
        <v>11.6</v>
      </c>
      <c r="F1284" s="2" t="str">
        <f ca="1">IFERROR(__xludf.DUMMYFUNCTION("""COMPUTED_VALUE"""),"1366x768")</f>
        <v>1366x768</v>
      </c>
      <c r="G1284" s="2" t="str">
        <f ca="1">IFERROR(__xludf.DUMMYFUNCTION("""COMPUTED_VALUE"""),"Intel Celeron Dual Core N3060 1.6GHz")</f>
        <v>Intel Celeron Dual Core N3060 1.6GHz</v>
      </c>
      <c r="H1284" s="2" t="str">
        <f ca="1">IFERROR(__xludf.DUMMYFUNCTION("""COMPUTED_VALUE"""),"2GB")</f>
        <v>2GB</v>
      </c>
      <c r="I1284" s="2" t="str">
        <f ca="1">IFERROR(__xludf.DUMMYFUNCTION("""COMPUTED_VALUE"""),"32GB Flash Storage")</f>
        <v>32GB Flash Storage</v>
      </c>
      <c r="J1284" s="2" t="str">
        <f ca="1">IFERROR(__xludf.DUMMYFUNCTION("""COMPUTED_VALUE"""),"Intel HD Graphics 400")</f>
        <v>Intel HD Graphics 400</v>
      </c>
      <c r="K1284" s="2" t="str">
        <f ca="1">IFERROR(__xludf.DUMMYFUNCTION("""COMPUTED_VALUE"""),"Windows 10")</f>
        <v>Windows 10</v>
      </c>
      <c r="L1284" s="2" t="str">
        <f ca="1">IFERROR(__xludf.DUMMYFUNCTION("""COMPUTED_VALUE"""),"1.17kg")</f>
        <v>1.17kg</v>
      </c>
      <c r="M1284" s="2">
        <f ca="1">IFERROR(__xludf.DUMMYFUNCTION("""COMPUTED_VALUE"""),209)</f>
        <v>209</v>
      </c>
    </row>
    <row r="1285" spans="1:13">
      <c r="A1285" s="2">
        <f ca="1">IFERROR(__xludf.DUMMYFUNCTION("""COMPUTED_VALUE"""),1301)</f>
        <v>1301</v>
      </c>
      <c r="B1285" s="2" t="str">
        <f ca="1">IFERROR(__xludf.DUMMYFUNCTION("""COMPUTED_VALUE"""),"Asus")</f>
        <v>Asus</v>
      </c>
      <c r="C1285" s="2" t="str">
        <f ca="1">IFERROR(__xludf.DUMMYFUNCTION("""COMPUTED_VALUE"""),"X556UJ-XO044T (i7-6500U/4GB/500GB/GeForce")</f>
        <v>X556UJ-XO044T (i7-6500U/4GB/500GB/GeForce</v>
      </c>
      <c r="D1285" s="2" t="str">
        <f ca="1">IFERROR(__xludf.DUMMYFUNCTION("""COMPUTED_VALUE"""),"Notebook")</f>
        <v>Notebook</v>
      </c>
      <c r="E1285" s="2">
        <f ca="1">IFERROR(__xludf.DUMMYFUNCTION("""COMPUTED_VALUE"""),15.6)</f>
        <v>15.6</v>
      </c>
      <c r="F1285" s="2" t="str">
        <f ca="1">IFERROR(__xludf.DUMMYFUNCTION("""COMPUTED_VALUE"""),"1366x768")</f>
        <v>1366x768</v>
      </c>
      <c r="G1285" s="2" t="str">
        <f ca="1">IFERROR(__xludf.DUMMYFUNCTION("""COMPUTED_VALUE"""),"Intel Core i7 6500U 2.5GHz")</f>
        <v>Intel Core i7 6500U 2.5GHz</v>
      </c>
      <c r="H1285" s="2" t="str">
        <f ca="1">IFERROR(__xludf.DUMMYFUNCTION("""COMPUTED_VALUE"""),"4GB")</f>
        <v>4GB</v>
      </c>
      <c r="I1285" s="2" t="str">
        <f ca="1">IFERROR(__xludf.DUMMYFUNCTION("""COMPUTED_VALUE"""),"500GB HDD")</f>
        <v>500GB HDD</v>
      </c>
      <c r="J1285" s="2" t="str">
        <f ca="1">IFERROR(__xludf.DUMMYFUNCTION("""COMPUTED_VALUE"""),"Nvidia GeForce 920M")</f>
        <v>Nvidia GeForce 920M</v>
      </c>
      <c r="K1285" s="2" t="str">
        <f ca="1">IFERROR(__xludf.DUMMYFUNCTION("""COMPUTED_VALUE"""),"Windows 10")</f>
        <v>Windows 10</v>
      </c>
      <c r="L1285" s="2" t="str">
        <f ca="1">IFERROR(__xludf.DUMMYFUNCTION("""COMPUTED_VALUE"""),"2.2kg")</f>
        <v>2.2kg</v>
      </c>
      <c r="M1285" s="2">
        <f ca="1">IFERROR(__xludf.DUMMYFUNCTION("""COMPUTED_VALUE"""),720.32)</f>
        <v>720.32</v>
      </c>
    </row>
    <row r="1286" spans="1:13">
      <c r="A1286" s="2">
        <f ca="1">IFERROR(__xludf.DUMMYFUNCTION("""COMPUTED_VALUE"""),1302)</f>
        <v>1302</v>
      </c>
      <c r="B1286" s="2" t="str">
        <f ca="1">IFERROR(__xludf.DUMMYFUNCTION("""COMPUTED_VALUE"""),"Lenovo")</f>
        <v>Lenovo</v>
      </c>
      <c r="C1286" s="2" t="str">
        <f ca="1">IFERROR(__xludf.DUMMYFUNCTION("""COMPUTED_VALUE"""),"Yoga 500-14ISK")</f>
        <v>Yoga 500-14ISK</v>
      </c>
      <c r="D1286" s="2" t="str">
        <f ca="1">IFERROR(__xludf.DUMMYFUNCTION("""COMPUTED_VALUE"""),"2 in 1 Convertible")</f>
        <v>2 in 1 Convertible</v>
      </c>
      <c r="E1286" s="2">
        <f ca="1">IFERROR(__xludf.DUMMYFUNCTION("""COMPUTED_VALUE"""),14)</f>
        <v>14</v>
      </c>
      <c r="F1286" s="2" t="str">
        <f ca="1">IFERROR(__xludf.DUMMYFUNCTION("""COMPUTED_VALUE"""),"IPS Panel Full HD / Touchscreen 1920x1080")</f>
        <v>IPS Panel Full HD / Touchscreen 1920x1080</v>
      </c>
      <c r="G1286" s="2" t="str">
        <f ca="1">IFERROR(__xludf.DUMMYFUNCTION("""COMPUTED_VALUE"""),"Intel Core i7 6500U 2.5GHz")</f>
        <v>Intel Core i7 6500U 2.5GHz</v>
      </c>
      <c r="H1286" s="2" t="str">
        <f ca="1">IFERROR(__xludf.DUMMYFUNCTION("""COMPUTED_VALUE"""),"4GB")</f>
        <v>4GB</v>
      </c>
      <c r="I1286" s="2" t="str">
        <f ca="1">IFERROR(__xludf.DUMMYFUNCTION("""COMPUTED_VALUE"""),"128GB SSD")</f>
        <v>128GB SSD</v>
      </c>
      <c r="J1286" s="2" t="str">
        <f ca="1">IFERROR(__xludf.DUMMYFUNCTION("""COMPUTED_VALUE"""),"Intel HD Graphics 520")</f>
        <v>Intel HD Graphics 520</v>
      </c>
      <c r="K1286" s="2" t="str">
        <f ca="1">IFERROR(__xludf.DUMMYFUNCTION("""COMPUTED_VALUE"""),"Windows 10")</f>
        <v>Windows 10</v>
      </c>
      <c r="L1286" s="2" t="str">
        <f ca="1">IFERROR(__xludf.DUMMYFUNCTION("""COMPUTED_VALUE"""),"1.8kg")</f>
        <v>1.8kg</v>
      </c>
      <c r="M1286" s="2">
        <f ca="1">IFERROR(__xludf.DUMMYFUNCTION("""COMPUTED_VALUE"""),638)</f>
        <v>638</v>
      </c>
    </row>
    <row r="1287" spans="1:13">
      <c r="A1287" s="2">
        <f ca="1">IFERROR(__xludf.DUMMYFUNCTION("""COMPUTED_VALUE"""),1303)</f>
        <v>1303</v>
      </c>
      <c r="B1287" s="2" t="str">
        <f ca="1">IFERROR(__xludf.DUMMYFUNCTION("""COMPUTED_VALUE"""),"Lenovo")</f>
        <v>Lenovo</v>
      </c>
      <c r="C1287" s="2" t="str">
        <f ca="1">IFERROR(__xludf.DUMMYFUNCTION("""COMPUTED_VALUE"""),"Yoga 900-13ISK")</f>
        <v>Yoga 900-13ISK</v>
      </c>
      <c r="D1287" s="2" t="str">
        <f ca="1">IFERROR(__xludf.DUMMYFUNCTION("""COMPUTED_VALUE"""),"2 in 1 Convertible")</f>
        <v>2 in 1 Convertible</v>
      </c>
      <c r="E1287" s="2">
        <f ca="1">IFERROR(__xludf.DUMMYFUNCTION("""COMPUTED_VALUE"""),13.3)</f>
        <v>13.3</v>
      </c>
      <c r="F1287" s="2" t="str">
        <f ca="1">IFERROR(__xludf.DUMMYFUNCTION("""COMPUTED_VALUE"""),"IPS Panel Quad HD+ / Touchscreen 3200x1800")</f>
        <v>IPS Panel Quad HD+ / Touchscreen 3200x1800</v>
      </c>
      <c r="G1287" s="2" t="str">
        <f ca="1">IFERROR(__xludf.DUMMYFUNCTION("""COMPUTED_VALUE"""),"Intel Core i7 6500U 2.5GHz")</f>
        <v>Intel Core i7 6500U 2.5GHz</v>
      </c>
      <c r="H1287" s="2" t="str">
        <f ca="1">IFERROR(__xludf.DUMMYFUNCTION("""COMPUTED_VALUE"""),"16GB")</f>
        <v>16GB</v>
      </c>
      <c r="I1287" s="2" t="str">
        <f ca="1">IFERROR(__xludf.DUMMYFUNCTION("""COMPUTED_VALUE"""),"512GB SSD")</f>
        <v>512GB SSD</v>
      </c>
      <c r="J1287" s="2" t="str">
        <f ca="1">IFERROR(__xludf.DUMMYFUNCTION("""COMPUTED_VALUE"""),"Intel HD Graphics 520")</f>
        <v>Intel HD Graphics 520</v>
      </c>
      <c r="K1287" s="2" t="str">
        <f ca="1">IFERROR(__xludf.DUMMYFUNCTION("""COMPUTED_VALUE"""),"Windows 10")</f>
        <v>Windows 10</v>
      </c>
      <c r="L1287" s="2" t="str">
        <f ca="1">IFERROR(__xludf.DUMMYFUNCTION("""COMPUTED_VALUE"""),"1.3kg")</f>
        <v>1.3kg</v>
      </c>
      <c r="M1287" s="2">
        <f ca="1">IFERROR(__xludf.DUMMYFUNCTION("""COMPUTED_VALUE"""),1499)</f>
        <v>1499</v>
      </c>
    </row>
    <row r="1288" spans="1:13">
      <c r="A1288" s="2">
        <f ca="1">IFERROR(__xludf.DUMMYFUNCTION("""COMPUTED_VALUE"""),1304)</f>
        <v>1304</v>
      </c>
      <c r="B1288" s="2" t="str">
        <f ca="1">IFERROR(__xludf.DUMMYFUNCTION("""COMPUTED_VALUE"""),"Lenovo")</f>
        <v>Lenovo</v>
      </c>
      <c r="C1288" s="2" t="str">
        <f ca="1">IFERROR(__xludf.DUMMYFUNCTION("""COMPUTED_VALUE"""),"IdeaPad 100S-14IBR")</f>
        <v>IdeaPad 100S-14IBR</v>
      </c>
      <c r="D1288" s="2" t="str">
        <f ca="1">IFERROR(__xludf.DUMMYFUNCTION("""COMPUTED_VALUE"""),"Notebook")</f>
        <v>Notebook</v>
      </c>
      <c r="E1288" s="2">
        <f ca="1">IFERROR(__xludf.DUMMYFUNCTION("""COMPUTED_VALUE"""),14)</f>
        <v>14</v>
      </c>
      <c r="F1288" s="2" t="str">
        <f ca="1">IFERROR(__xludf.DUMMYFUNCTION("""COMPUTED_VALUE"""),"1366x768")</f>
        <v>1366x768</v>
      </c>
      <c r="G1288" s="2" t="str">
        <f ca="1">IFERROR(__xludf.DUMMYFUNCTION("""COMPUTED_VALUE"""),"Intel Celeron Dual Core N3050 1.6GHz")</f>
        <v>Intel Celeron Dual Core N3050 1.6GHz</v>
      </c>
      <c r="H1288" s="2" t="str">
        <f ca="1">IFERROR(__xludf.DUMMYFUNCTION("""COMPUTED_VALUE"""),"2GB")</f>
        <v>2GB</v>
      </c>
      <c r="I1288" s="2" t="str">
        <f ca="1">IFERROR(__xludf.DUMMYFUNCTION("""COMPUTED_VALUE"""),"64GB Flash Storage")</f>
        <v>64GB Flash Storage</v>
      </c>
      <c r="J1288" s="2" t="str">
        <f ca="1">IFERROR(__xludf.DUMMYFUNCTION("""COMPUTED_VALUE"""),"Intel HD Graphics")</f>
        <v>Intel HD Graphics</v>
      </c>
      <c r="K1288" s="2" t="str">
        <f ca="1">IFERROR(__xludf.DUMMYFUNCTION("""COMPUTED_VALUE"""),"Windows 10")</f>
        <v>Windows 10</v>
      </c>
      <c r="L1288" s="2" t="str">
        <f ca="1">IFERROR(__xludf.DUMMYFUNCTION("""COMPUTED_VALUE"""),"1.5kg")</f>
        <v>1.5kg</v>
      </c>
      <c r="M1288" s="2">
        <f ca="1">IFERROR(__xludf.DUMMYFUNCTION("""COMPUTED_VALUE"""),229)</f>
        <v>229</v>
      </c>
    </row>
    <row r="1289" spans="1:13">
      <c r="A1289" s="2">
        <f ca="1">IFERROR(__xludf.DUMMYFUNCTION("""COMPUTED_VALUE"""),1305)</f>
        <v>1305</v>
      </c>
      <c r="B1289" s="2" t="str">
        <f ca="1">IFERROR(__xludf.DUMMYFUNCTION("""COMPUTED_VALUE"""),"HP")</f>
        <v>HP</v>
      </c>
      <c r="C1289" s="2" t="str">
        <f ca="1">IFERROR(__xludf.DUMMYFUNCTION("""COMPUTED_VALUE"""),"15-AC110nv (i7-6500U/6GB/1TB/Radeon")</f>
        <v>15-AC110nv (i7-6500U/6GB/1TB/Radeon</v>
      </c>
      <c r="D1289" s="2" t="str">
        <f ca="1">IFERROR(__xludf.DUMMYFUNCTION("""COMPUTED_VALUE"""),"Notebook")</f>
        <v>Notebook</v>
      </c>
      <c r="E1289" s="2">
        <f ca="1">IFERROR(__xludf.DUMMYFUNCTION("""COMPUTED_VALUE"""),15.6)</f>
        <v>15.6</v>
      </c>
      <c r="F1289" s="2" t="str">
        <f ca="1">IFERROR(__xludf.DUMMYFUNCTION("""COMPUTED_VALUE"""),"1366x768")</f>
        <v>1366x768</v>
      </c>
      <c r="G1289" s="2" t="str">
        <f ca="1">IFERROR(__xludf.DUMMYFUNCTION("""COMPUTED_VALUE"""),"Intel Core i7 6500U 2.5GHz")</f>
        <v>Intel Core i7 6500U 2.5GHz</v>
      </c>
      <c r="H1289" s="2" t="str">
        <f ca="1">IFERROR(__xludf.DUMMYFUNCTION("""COMPUTED_VALUE"""),"6GB")</f>
        <v>6GB</v>
      </c>
      <c r="I1289" s="2" t="str">
        <f ca="1">IFERROR(__xludf.DUMMYFUNCTION("""COMPUTED_VALUE"""),"1TB HDD")</f>
        <v>1TB HDD</v>
      </c>
      <c r="J1289" s="2" t="str">
        <f ca="1">IFERROR(__xludf.DUMMYFUNCTION("""COMPUTED_VALUE"""),"AMD Radeon R5 M330")</f>
        <v>AMD Radeon R5 M330</v>
      </c>
      <c r="K1289" s="2" t="str">
        <f ca="1">IFERROR(__xludf.DUMMYFUNCTION("""COMPUTED_VALUE"""),"Windows 10")</f>
        <v>Windows 10</v>
      </c>
      <c r="L1289" s="2" t="str">
        <f ca="1">IFERROR(__xludf.DUMMYFUNCTION("""COMPUTED_VALUE"""),"2.19kg")</f>
        <v>2.19kg</v>
      </c>
      <c r="M1289" s="2">
        <f ca="1">IFERROR(__xludf.DUMMYFUNCTION("""COMPUTED_VALUE"""),764)</f>
        <v>764</v>
      </c>
    </row>
    <row r="1290" spans="1:13">
      <c r="A1290" s="2">
        <f ca="1">IFERROR(__xludf.DUMMYFUNCTION("""COMPUTED_VALUE"""),1306)</f>
        <v>1306</v>
      </c>
      <c r="B1290" s="2" t="str">
        <f ca="1">IFERROR(__xludf.DUMMYFUNCTION("""COMPUTED_VALUE"""),"Asus")</f>
        <v>Asus</v>
      </c>
      <c r="C1290" s="2" t="str">
        <f ca="1">IFERROR(__xludf.DUMMYFUNCTION("""COMPUTED_VALUE"""),"X553SA-XX031T (N3050/4GB/500GB/W10)")</f>
        <v>X553SA-XX031T (N3050/4GB/500GB/W10)</v>
      </c>
      <c r="D1290" s="2" t="str">
        <f ca="1">IFERROR(__xludf.DUMMYFUNCTION("""COMPUTED_VALUE"""),"Notebook")</f>
        <v>Notebook</v>
      </c>
      <c r="E1290" s="2">
        <f ca="1">IFERROR(__xludf.DUMMYFUNCTION("""COMPUTED_VALUE"""),15.6)</f>
        <v>15.6</v>
      </c>
      <c r="F1290" s="2" t="str">
        <f ca="1">IFERROR(__xludf.DUMMYFUNCTION("""COMPUTED_VALUE"""),"1366x768")</f>
        <v>1366x768</v>
      </c>
      <c r="G1290" s="2" t="str">
        <f ca="1">IFERROR(__xludf.DUMMYFUNCTION("""COMPUTED_VALUE"""),"Intel Celeron Dual Core N3050 1.6GHz")</f>
        <v>Intel Celeron Dual Core N3050 1.6GHz</v>
      </c>
      <c r="H1290" s="2" t="str">
        <f ca="1">IFERROR(__xludf.DUMMYFUNCTION("""COMPUTED_VALUE"""),"4GB")</f>
        <v>4GB</v>
      </c>
      <c r="I1290" s="2" t="str">
        <f ca="1">IFERROR(__xludf.DUMMYFUNCTION("""COMPUTED_VALUE"""),"500GB HDD")</f>
        <v>500GB HDD</v>
      </c>
      <c r="J1290" s="2" t="str">
        <f ca="1">IFERROR(__xludf.DUMMYFUNCTION("""COMPUTED_VALUE"""),"Intel HD Graphics")</f>
        <v>Intel HD Graphics</v>
      </c>
      <c r="K1290" s="2" t="str">
        <f ca="1">IFERROR(__xludf.DUMMYFUNCTION("""COMPUTED_VALUE"""),"Windows 10")</f>
        <v>Windows 10</v>
      </c>
      <c r="L1290" s="2" t="str">
        <f ca="1">IFERROR(__xludf.DUMMYFUNCTION("""COMPUTED_VALUE"""),"2.2kg")</f>
        <v>2.2kg</v>
      </c>
      <c r="M1290" s="2">
        <f ca="1">IFERROR(__xludf.DUMMYFUNCTION("""COMPUTED_VALUE"""),369)</f>
        <v>369</v>
      </c>
    </row>
    <row r="1291" spans="1:13">
      <c r="A1291" s="2">
        <f ca="1">IFERROR(__xludf.DUMMYFUNCTION("""COMPUTED_VALUE"""),1307)</f>
        <v>1307</v>
      </c>
      <c r="B1291" s="2" t="str">
        <f ca="1">IFERROR(__xludf.DUMMYFUNCTION("""COMPUTED_VALUE"""),"Asus")</f>
        <v>Asus</v>
      </c>
      <c r="C1291" s="2" t="str">
        <f ca="1">IFERROR(__xludf.DUMMYFUNCTION("""COMPUTED_VALUE"""),"ZenBook UX305CA-UBM1")</f>
        <v>ZenBook UX305CA-UBM1</v>
      </c>
      <c r="D1291" s="2" t="str">
        <f ca="1">IFERROR(__xludf.DUMMYFUNCTION("""COMPUTED_VALUE"""),"Ultrabook")</f>
        <v>Ultrabook</v>
      </c>
      <c r="E1291" s="2">
        <f ca="1">IFERROR(__xludf.DUMMYFUNCTION("""COMPUTED_VALUE"""),13.3)</f>
        <v>13.3</v>
      </c>
      <c r="F1291" s="2" t="str">
        <f ca="1">IFERROR(__xludf.DUMMYFUNCTION("""COMPUTED_VALUE"""),"IPS Panel Full HD 1920x1080")</f>
        <v>IPS Panel Full HD 1920x1080</v>
      </c>
      <c r="G1291" s="2" t="str">
        <f ca="1">IFERROR(__xludf.DUMMYFUNCTION("""COMPUTED_VALUE"""),"Intel Core M 6Y30 0.9GHz")</f>
        <v>Intel Core M 6Y30 0.9GHz</v>
      </c>
      <c r="H1291" s="2" t="str">
        <f ca="1">IFERROR(__xludf.DUMMYFUNCTION("""COMPUTED_VALUE"""),"8GB")</f>
        <v>8GB</v>
      </c>
      <c r="I1291" s="2" t="str">
        <f ca="1">IFERROR(__xludf.DUMMYFUNCTION("""COMPUTED_VALUE"""),"512GB SSD")</f>
        <v>512GB SSD</v>
      </c>
      <c r="J1291" s="2" t="str">
        <f ca="1">IFERROR(__xludf.DUMMYFUNCTION("""COMPUTED_VALUE"""),"Intel HD Graphics 515")</f>
        <v>Intel HD Graphics 515</v>
      </c>
      <c r="K1291" s="2" t="str">
        <f ca="1">IFERROR(__xludf.DUMMYFUNCTION("""COMPUTED_VALUE"""),"Windows 10")</f>
        <v>Windows 10</v>
      </c>
      <c r="L1291" s="2" t="str">
        <f ca="1">IFERROR(__xludf.DUMMYFUNCTION("""COMPUTED_VALUE"""),"1.2kg")</f>
        <v>1.2kg</v>
      </c>
      <c r="M1291" s="2">
        <f ca="1">IFERROR(__xludf.DUMMYFUNCTION("""COMPUTED_VALUE"""),729)</f>
        <v>729</v>
      </c>
    </row>
    <row r="1292" spans="1:13">
      <c r="A1292" s="2">
        <f ca="1">IFERROR(__xludf.DUMMYFUNCTION("""COMPUTED_VALUE"""),1308)</f>
        <v>1308</v>
      </c>
      <c r="B1292" s="2" t="str">
        <f ca="1">IFERROR(__xludf.DUMMYFUNCTION("""COMPUTED_VALUE"""),"Dell")</f>
        <v>Dell</v>
      </c>
      <c r="C1292" s="2" t="str">
        <f ca="1">IFERROR(__xludf.DUMMYFUNCTION("""COMPUTED_VALUE"""),"Inspiron 3567")</f>
        <v>Inspiron 3567</v>
      </c>
      <c r="D1292" s="2" t="str">
        <f ca="1">IFERROR(__xludf.DUMMYFUNCTION("""COMPUTED_VALUE"""),"Notebook")</f>
        <v>Notebook</v>
      </c>
      <c r="E1292" s="2">
        <f ca="1">IFERROR(__xludf.DUMMYFUNCTION("""COMPUTED_VALUE"""),15.6)</f>
        <v>15.6</v>
      </c>
      <c r="F1292" s="2" t="str">
        <f ca="1">IFERROR(__xludf.DUMMYFUNCTION("""COMPUTED_VALUE"""),"1366x768")</f>
        <v>1366x768</v>
      </c>
      <c r="G1292" s="2" t="str">
        <f ca="1">IFERROR(__xludf.DUMMYFUNCTION("""COMPUTED_VALUE"""),"Intel Core i3 7100U 2.4GHz")</f>
        <v>Intel Core i3 7100U 2.4GHz</v>
      </c>
      <c r="H1292" s="2" t="str">
        <f ca="1">IFERROR(__xludf.DUMMYFUNCTION("""COMPUTED_VALUE"""),"6GB")</f>
        <v>6GB</v>
      </c>
      <c r="I1292" s="2" t="str">
        <f ca="1">IFERROR(__xludf.DUMMYFUNCTION("""COMPUTED_VALUE"""),"1TB HDD")</f>
        <v>1TB HDD</v>
      </c>
      <c r="J1292" s="2" t="str">
        <f ca="1">IFERROR(__xludf.DUMMYFUNCTION("""COMPUTED_VALUE"""),"Intel HD Graphics 620")</f>
        <v>Intel HD Graphics 620</v>
      </c>
      <c r="K1292" s="2" t="str">
        <f ca="1">IFERROR(__xludf.DUMMYFUNCTION("""COMPUTED_VALUE"""),"Windows 10")</f>
        <v>Windows 10</v>
      </c>
      <c r="L1292" s="2" t="str">
        <f ca="1">IFERROR(__xludf.DUMMYFUNCTION("""COMPUTED_VALUE"""),"2.3kg")</f>
        <v>2.3kg</v>
      </c>
      <c r="M1292" s="2">
        <f ca="1">IFERROR(__xludf.DUMMYFUNCTION("""COMPUTED_VALUE"""),459)</f>
        <v>459</v>
      </c>
    </row>
    <row r="1293" spans="1:13">
      <c r="A1293" s="2">
        <f ca="1">IFERROR(__xludf.DUMMYFUNCTION("""COMPUTED_VALUE"""),1309)</f>
        <v>1309</v>
      </c>
      <c r="B1293" s="2" t="str">
        <f ca="1">IFERROR(__xludf.DUMMYFUNCTION("""COMPUTED_VALUE"""),"Acer")</f>
        <v>Acer</v>
      </c>
      <c r="C1293" s="2" t="str">
        <f ca="1">IFERROR(__xludf.DUMMYFUNCTION("""COMPUTED_VALUE"""),"Aspire ES1-531")</f>
        <v>Aspire ES1-531</v>
      </c>
      <c r="D1293" s="2" t="str">
        <f ca="1">IFERROR(__xludf.DUMMYFUNCTION("""COMPUTED_VALUE"""),"Notebook")</f>
        <v>Notebook</v>
      </c>
      <c r="E1293" s="2">
        <f ca="1">IFERROR(__xludf.DUMMYFUNCTION("""COMPUTED_VALUE"""),15.6)</f>
        <v>15.6</v>
      </c>
      <c r="F1293" s="2" t="str">
        <f ca="1">IFERROR(__xludf.DUMMYFUNCTION("""COMPUTED_VALUE"""),"1366x768")</f>
        <v>1366x768</v>
      </c>
      <c r="G1293" s="2" t="str">
        <f ca="1">IFERROR(__xludf.DUMMYFUNCTION("""COMPUTED_VALUE"""),"Intel Celeron Dual Core N3060 1.6GHz")</f>
        <v>Intel Celeron Dual Core N3060 1.6GHz</v>
      </c>
      <c r="H1293" s="2" t="str">
        <f ca="1">IFERROR(__xludf.DUMMYFUNCTION("""COMPUTED_VALUE"""),"4GB")</f>
        <v>4GB</v>
      </c>
      <c r="I1293" s="2" t="str">
        <f ca="1">IFERROR(__xludf.DUMMYFUNCTION("""COMPUTED_VALUE"""),"500GB HDD")</f>
        <v>500GB HDD</v>
      </c>
      <c r="J1293" s="2" t="str">
        <f ca="1">IFERROR(__xludf.DUMMYFUNCTION("""COMPUTED_VALUE"""),"Intel HD Graphics 400")</f>
        <v>Intel HD Graphics 400</v>
      </c>
      <c r="K1293" s="2" t="str">
        <f ca="1">IFERROR(__xludf.DUMMYFUNCTION("""COMPUTED_VALUE"""),"Linux")</f>
        <v>Linux</v>
      </c>
      <c r="L1293" s="2" t="str">
        <f ca="1">IFERROR(__xludf.DUMMYFUNCTION("""COMPUTED_VALUE"""),"2.4kg")</f>
        <v>2.4kg</v>
      </c>
      <c r="M1293" s="2">
        <f ca="1">IFERROR(__xludf.DUMMYFUNCTION("""COMPUTED_VALUE"""),289)</f>
        <v>289</v>
      </c>
    </row>
    <row r="1294" spans="1:13">
      <c r="A1294" s="2">
        <f ca="1">IFERROR(__xludf.DUMMYFUNCTION("""COMPUTED_VALUE"""),1310)</f>
        <v>1310</v>
      </c>
      <c r="B1294" s="2" t="str">
        <f ca="1">IFERROR(__xludf.DUMMYFUNCTION("""COMPUTED_VALUE"""),"Dell")</f>
        <v>Dell</v>
      </c>
      <c r="C1294" s="2" t="str">
        <f ca="1">IFERROR(__xludf.DUMMYFUNCTION("""COMPUTED_VALUE"""),"Inspiron 3552")</f>
        <v>Inspiron 3552</v>
      </c>
      <c r="D1294" s="2" t="str">
        <f ca="1">IFERROR(__xludf.DUMMYFUNCTION("""COMPUTED_VALUE"""),"Notebook")</f>
        <v>Notebook</v>
      </c>
      <c r="E1294" s="2">
        <f ca="1">IFERROR(__xludf.DUMMYFUNCTION("""COMPUTED_VALUE"""),15.6)</f>
        <v>15.6</v>
      </c>
      <c r="F1294" s="2" t="str">
        <f ca="1">IFERROR(__xludf.DUMMYFUNCTION("""COMPUTED_VALUE"""),"1366x768")</f>
        <v>1366x768</v>
      </c>
      <c r="G1294" s="2" t="str">
        <f ca="1">IFERROR(__xludf.DUMMYFUNCTION("""COMPUTED_VALUE"""),"Intel Celeron Dual Core N3050 1.6GHz")</f>
        <v>Intel Celeron Dual Core N3050 1.6GHz</v>
      </c>
      <c r="H1294" s="2" t="str">
        <f ca="1">IFERROR(__xludf.DUMMYFUNCTION("""COMPUTED_VALUE"""),"2GB")</f>
        <v>2GB</v>
      </c>
      <c r="I1294" s="2" t="str">
        <f ca="1">IFERROR(__xludf.DUMMYFUNCTION("""COMPUTED_VALUE"""),"500GB HDD")</f>
        <v>500GB HDD</v>
      </c>
      <c r="J1294" s="2" t="str">
        <f ca="1">IFERROR(__xludf.DUMMYFUNCTION("""COMPUTED_VALUE"""),"Intel HD Graphics")</f>
        <v>Intel HD Graphics</v>
      </c>
      <c r="K1294" s="2" t="str">
        <f ca="1">IFERROR(__xludf.DUMMYFUNCTION("""COMPUTED_VALUE"""),"Windows 10")</f>
        <v>Windows 10</v>
      </c>
      <c r="L1294" s="2" t="str">
        <f ca="1">IFERROR(__xludf.DUMMYFUNCTION("""COMPUTED_VALUE"""),"2.20kg")</f>
        <v>2.20kg</v>
      </c>
      <c r="M1294" s="2">
        <f ca="1">IFERROR(__xludf.DUMMYFUNCTION("""COMPUTED_VALUE"""),379)</f>
        <v>379</v>
      </c>
    </row>
    <row r="1295" spans="1:13">
      <c r="A1295" s="2">
        <f ca="1">IFERROR(__xludf.DUMMYFUNCTION("""COMPUTED_VALUE"""),1311)</f>
        <v>1311</v>
      </c>
      <c r="B1295" s="2" t="str">
        <f ca="1">IFERROR(__xludf.DUMMYFUNCTION("""COMPUTED_VALUE"""),"Lenovo")</f>
        <v>Lenovo</v>
      </c>
      <c r="C1295" s="2" t="str">
        <f ca="1">IFERROR(__xludf.DUMMYFUNCTION("""COMPUTED_VALUE"""),"IdeaPad Y700-15ISK")</f>
        <v>IdeaPad Y700-15ISK</v>
      </c>
      <c r="D1295" s="2" t="str">
        <f ca="1">IFERROR(__xludf.DUMMYFUNCTION("""COMPUTED_VALUE"""),"Notebook")</f>
        <v>Notebook</v>
      </c>
      <c r="E1295" s="2">
        <f ca="1">IFERROR(__xludf.DUMMYFUNCTION("""COMPUTED_VALUE"""),15.6)</f>
        <v>15.6</v>
      </c>
      <c r="F1295" s="2" t="str">
        <f ca="1">IFERROR(__xludf.DUMMYFUNCTION("""COMPUTED_VALUE"""),"IPS Panel Full HD 1920x1080")</f>
        <v>IPS Panel Full HD 1920x1080</v>
      </c>
      <c r="G1295" s="2" t="str">
        <f ca="1">IFERROR(__xludf.DUMMYFUNCTION("""COMPUTED_VALUE"""),"Intel Core i7 6700HQ 2.6GHz")</f>
        <v>Intel Core i7 6700HQ 2.6GHz</v>
      </c>
      <c r="H1295" s="2" t="str">
        <f ca="1">IFERROR(__xludf.DUMMYFUNCTION("""COMPUTED_VALUE"""),"8GB")</f>
        <v>8GB</v>
      </c>
      <c r="I1295" s="2" t="str">
        <f ca="1">IFERROR(__xludf.DUMMYFUNCTION("""COMPUTED_VALUE"""),"1TB HDD")</f>
        <v>1TB HDD</v>
      </c>
      <c r="J1295" s="2" t="str">
        <f ca="1">IFERROR(__xludf.DUMMYFUNCTION("""COMPUTED_VALUE"""),"Nvidia GeForce GTX 960M")</f>
        <v>Nvidia GeForce GTX 960M</v>
      </c>
      <c r="K1295" s="2" t="str">
        <f ca="1">IFERROR(__xludf.DUMMYFUNCTION("""COMPUTED_VALUE"""),"Windows 10")</f>
        <v>Windows 10</v>
      </c>
      <c r="L1295" s="2" t="str">
        <f ca="1">IFERROR(__xludf.DUMMYFUNCTION("""COMPUTED_VALUE"""),"2.6kg")</f>
        <v>2.6kg</v>
      </c>
      <c r="M1295" s="2">
        <f ca="1">IFERROR(__xludf.DUMMYFUNCTION("""COMPUTED_VALUE"""),899)</f>
        <v>899</v>
      </c>
    </row>
    <row r="1296" spans="1:13">
      <c r="A1296" s="2">
        <f ca="1">IFERROR(__xludf.DUMMYFUNCTION("""COMPUTED_VALUE"""),1312)</f>
        <v>1312</v>
      </c>
      <c r="B1296" s="2" t="str">
        <f ca="1">IFERROR(__xludf.DUMMYFUNCTION("""COMPUTED_VALUE"""),"HP")</f>
        <v>HP</v>
      </c>
      <c r="C1296" s="2" t="str">
        <f ca="1">IFERROR(__xludf.DUMMYFUNCTION("""COMPUTED_VALUE"""),"Pavilion 15-AW003nv")</f>
        <v>Pavilion 15-AW003nv</v>
      </c>
      <c r="D1296" s="2" t="str">
        <f ca="1">IFERROR(__xludf.DUMMYFUNCTION("""COMPUTED_VALUE"""),"Notebook")</f>
        <v>Notebook</v>
      </c>
      <c r="E1296" s="2">
        <f ca="1">IFERROR(__xludf.DUMMYFUNCTION("""COMPUTED_VALUE"""),15.6)</f>
        <v>15.6</v>
      </c>
      <c r="F1296" s="2" t="str">
        <f ca="1">IFERROR(__xludf.DUMMYFUNCTION("""COMPUTED_VALUE"""),"Full HD 1920x1080")</f>
        <v>Full HD 1920x1080</v>
      </c>
      <c r="G1296" s="2" t="str">
        <f ca="1">IFERROR(__xludf.DUMMYFUNCTION("""COMPUTED_VALUE"""),"AMD A9-Series 9410 2.9GHz")</f>
        <v>AMD A9-Series 9410 2.9GHz</v>
      </c>
      <c r="H1296" s="2" t="str">
        <f ca="1">IFERROR(__xludf.DUMMYFUNCTION("""COMPUTED_VALUE"""),"6GB")</f>
        <v>6GB</v>
      </c>
      <c r="I1296" s="2" t="str">
        <f ca="1">IFERROR(__xludf.DUMMYFUNCTION("""COMPUTED_VALUE"""),"1.0TB Hybrid")</f>
        <v>1.0TB Hybrid</v>
      </c>
      <c r="J1296" s="2" t="str">
        <f ca="1">IFERROR(__xludf.DUMMYFUNCTION("""COMPUTED_VALUE"""),"AMD Radeon R7 M440")</f>
        <v>AMD Radeon R7 M440</v>
      </c>
      <c r="K1296" s="2" t="str">
        <f ca="1">IFERROR(__xludf.DUMMYFUNCTION("""COMPUTED_VALUE"""),"Windows 10")</f>
        <v>Windows 10</v>
      </c>
      <c r="L1296" s="2" t="str">
        <f ca="1">IFERROR(__xludf.DUMMYFUNCTION("""COMPUTED_VALUE"""),"2.04kg")</f>
        <v>2.04kg</v>
      </c>
      <c r="M1296" s="2">
        <f ca="1">IFERROR(__xludf.DUMMYFUNCTION("""COMPUTED_VALUE"""),549.99)</f>
        <v>549.99</v>
      </c>
    </row>
    <row r="1297" spans="1:13">
      <c r="A1297" s="2">
        <f ca="1">IFERROR(__xludf.DUMMYFUNCTION("""COMPUTED_VALUE"""),1313)</f>
        <v>1313</v>
      </c>
      <c r="B1297" s="2" t="str">
        <f ca="1">IFERROR(__xludf.DUMMYFUNCTION("""COMPUTED_VALUE"""),"Dell")</f>
        <v>Dell</v>
      </c>
      <c r="C1297" s="2" t="str">
        <f ca="1">IFERROR(__xludf.DUMMYFUNCTION("""COMPUTED_VALUE"""),"Inspiron 3567")</f>
        <v>Inspiron 3567</v>
      </c>
      <c r="D1297" s="2" t="str">
        <f ca="1">IFERROR(__xludf.DUMMYFUNCTION("""COMPUTED_VALUE"""),"Notebook")</f>
        <v>Notebook</v>
      </c>
      <c r="E1297" s="2">
        <f ca="1">IFERROR(__xludf.DUMMYFUNCTION("""COMPUTED_VALUE"""),15.6)</f>
        <v>15.6</v>
      </c>
      <c r="F1297" s="2" t="str">
        <f ca="1">IFERROR(__xludf.DUMMYFUNCTION("""COMPUTED_VALUE"""),"1366x768")</f>
        <v>1366x768</v>
      </c>
      <c r="G1297" s="2" t="str">
        <f ca="1">IFERROR(__xludf.DUMMYFUNCTION("""COMPUTED_VALUE"""),"Intel Core i7 7500U 2.7GHz")</f>
        <v>Intel Core i7 7500U 2.7GHz</v>
      </c>
      <c r="H1297" s="2" t="str">
        <f ca="1">IFERROR(__xludf.DUMMYFUNCTION("""COMPUTED_VALUE"""),"8GB")</f>
        <v>8GB</v>
      </c>
      <c r="I1297" s="2" t="str">
        <f ca="1">IFERROR(__xludf.DUMMYFUNCTION("""COMPUTED_VALUE"""),"1TB HDD")</f>
        <v>1TB HDD</v>
      </c>
      <c r="J1297" s="2" t="str">
        <f ca="1">IFERROR(__xludf.DUMMYFUNCTION("""COMPUTED_VALUE"""),"AMD Radeon R5 M430")</f>
        <v>AMD Radeon R5 M430</v>
      </c>
      <c r="K1297" s="2" t="str">
        <f ca="1">IFERROR(__xludf.DUMMYFUNCTION("""COMPUTED_VALUE"""),"Linux")</f>
        <v>Linux</v>
      </c>
      <c r="L1297" s="2" t="str">
        <f ca="1">IFERROR(__xludf.DUMMYFUNCTION("""COMPUTED_VALUE"""),"2.3kg")</f>
        <v>2.3kg</v>
      </c>
      <c r="M1297" s="2">
        <f ca="1">IFERROR(__xludf.DUMMYFUNCTION("""COMPUTED_VALUE"""),805.99)</f>
        <v>805.99</v>
      </c>
    </row>
    <row r="1298" spans="1:13">
      <c r="A1298" s="2">
        <f ca="1">IFERROR(__xludf.DUMMYFUNCTION("""COMPUTED_VALUE"""),1314)</f>
        <v>1314</v>
      </c>
      <c r="B1298" s="2" t="str">
        <f ca="1">IFERROR(__xludf.DUMMYFUNCTION("""COMPUTED_VALUE"""),"HP")</f>
        <v>HP</v>
      </c>
      <c r="C1298" s="2" t="str">
        <f ca="1">IFERROR(__xludf.DUMMYFUNCTION("""COMPUTED_VALUE"""),"Stream 11-Y000na")</f>
        <v>Stream 11-Y000na</v>
      </c>
      <c r="D1298" s="2" t="str">
        <f ca="1">IFERROR(__xludf.DUMMYFUNCTION("""COMPUTED_VALUE"""),"Netbook")</f>
        <v>Netbook</v>
      </c>
      <c r="E1298" s="2">
        <f ca="1">IFERROR(__xludf.DUMMYFUNCTION("""COMPUTED_VALUE"""),11.6)</f>
        <v>11.6</v>
      </c>
      <c r="F1298" s="2" t="str">
        <f ca="1">IFERROR(__xludf.DUMMYFUNCTION("""COMPUTED_VALUE"""),"1366x768")</f>
        <v>1366x768</v>
      </c>
      <c r="G1298" s="2" t="str">
        <f ca="1">IFERROR(__xludf.DUMMYFUNCTION("""COMPUTED_VALUE"""),"Intel Celeron Dual Core N3060 1.6GHz")</f>
        <v>Intel Celeron Dual Core N3060 1.6GHz</v>
      </c>
      <c r="H1298" s="2" t="str">
        <f ca="1">IFERROR(__xludf.DUMMYFUNCTION("""COMPUTED_VALUE"""),"2GB")</f>
        <v>2GB</v>
      </c>
      <c r="I1298" s="2" t="str">
        <f ca="1">IFERROR(__xludf.DUMMYFUNCTION("""COMPUTED_VALUE"""),"32GB Flash Storage")</f>
        <v>32GB Flash Storage</v>
      </c>
      <c r="J1298" s="2" t="str">
        <f ca="1">IFERROR(__xludf.DUMMYFUNCTION("""COMPUTED_VALUE"""),"Intel HD Graphics 400")</f>
        <v>Intel HD Graphics 400</v>
      </c>
      <c r="K1298" s="2" t="str">
        <f ca="1">IFERROR(__xludf.DUMMYFUNCTION("""COMPUTED_VALUE"""),"Windows 10")</f>
        <v>Windows 10</v>
      </c>
      <c r="L1298" s="2" t="str">
        <f ca="1">IFERROR(__xludf.DUMMYFUNCTION("""COMPUTED_VALUE"""),"1.17kg")</f>
        <v>1.17kg</v>
      </c>
      <c r="M1298" s="2">
        <f ca="1">IFERROR(__xludf.DUMMYFUNCTION("""COMPUTED_VALUE"""),209)</f>
        <v>209</v>
      </c>
    </row>
    <row r="1299" spans="1:13">
      <c r="A1299" s="2">
        <f ca="1">IFERROR(__xludf.DUMMYFUNCTION("""COMPUTED_VALUE"""),1315)</f>
        <v>1315</v>
      </c>
      <c r="B1299" s="2" t="str">
        <f ca="1">IFERROR(__xludf.DUMMYFUNCTION("""COMPUTED_VALUE"""),"Asus")</f>
        <v>Asus</v>
      </c>
      <c r="C1299" s="2" t="str">
        <f ca="1">IFERROR(__xludf.DUMMYFUNCTION("""COMPUTED_VALUE"""),"X556UJ-XO044T (i7-6500U/4GB/500GB/GeForce")</f>
        <v>X556UJ-XO044T (i7-6500U/4GB/500GB/GeForce</v>
      </c>
      <c r="D1299" s="2" t="str">
        <f ca="1">IFERROR(__xludf.DUMMYFUNCTION("""COMPUTED_VALUE"""),"Notebook")</f>
        <v>Notebook</v>
      </c>
      <c r="E1299" s="2">
        <f ca="1">IFERROR(__xludf.DUMMYFUNCTION("""COMPUTED_VALUE"""),15.6)</f>
        <v>15.6</v>
      </c>
      <c r="F1299" s="2" t="str">
        <f ca="1">IFERROR(__xludf.DUMMYFUNCTION("""COMPUTED_VALUE"""),"1366x768")</f>
        <v>1366x768</v>
      </c>
      <c r="G1299" s="2" t="str">
        <f ca="1">IFERROR(__xludf.DUMMYFUNCTION("""COMPUTED_VALUE"""),"Intel Core i7 6500U 2.5GHz")</f>
        <v>Intel Core i7 6500U 2.5GHz</v>
      </c>
      <c r="H1299" s="2" t="str">
        <f ca="1">IFERROR(__xludf.DUMMYFUNCTION("""COMPUTED_VALUE"""),"4GB")</f>
        <v>4GB</v>
      </c>
      <c r="I1299" s="2" t="str">
        <f ca="1">IFERROR(__xludf.DUMMYFUNCTION("""COMPUTED_VALUE"""),"500GB HDD")</f>
        <v>500GB HDD</v>
      </c>
      <c r="J1299" s="2" t="str">
        <f ca="1">IFERROR(__xludf.DUMMYFUNCTION("""COMPUTED_VALUE"""),"Nvidia GeForce 920M")</f>
        <v>Nvidia GeForce 920M</v>
      </c>
      <c r="K1299" s="2" t="str">
        <f ca="1">IFERROR(__xludf.DUMMYFUNCTION("""COMPUTED_VALUE"""),"Windows 10")</f>
        <v>Windows 10</v>
      </c>
      <c r="L1299" s="2" t="str">
        <f ca="1">IFERROR(__xludf.DUMMYFUNCTION("""COMPUTED_VALUE"""),"2.2kg")</f>
        <v>2.2kg</v>
      </c>
      <c r="M1299" s="2">
        <f ca="1">IFERROR(__xludf.DUMMYFUNCTION("""COMPUTED_VALUE"""),720.32)</f>
        <v>720.32</v>
      </c>
    </row>
    <row r="1300" spans="1:13">
      <c r="A1300" s="2">
        <f ca="1">IFERROR(__xludf.DUMMYFUNCTION("""COMPUTED_VALUE"""),1316)</f>
        <v>1316</v>
      </c>
      <c r="B1300" s="2" t="str">
        <f ca="1">IFERROR(__xludf.DUMMYFUNCTION("""COMPUTED_VALUE"""),"Lenovo")</f>
        <v>Lenovo</v>
      </c>
      <c r="C1300" s="2" t="str">
        <f ca="1">IFERROR(__xludf.DUMMYFUNCTION("""COMPUTED_VALUE"""),"Yoga 500-14ISK")</f>
        <v>Yoga 500-14ISK</v>
      </c>
      <c r="D1300" s="2" t="str">
        <f ca="1">IFERROR(__xludf.DUMMYFUNCTION("""COMPUTED_VALUE"""),"2 in 1 Convertible")</f>
        <v>2 in 1 Convertible</v>
      </c>
      <c r="E1300" s="2">
        <f ca="1">IFERROR(__xludf.DUMMYFUNCTION("""COMPUTED_VALUE"""),14)</f>
        <v>14</v>
      </c>
      <c r="F1300" s="2" t="str">
        <f ca="1">IFERROR(__xludf.DUMMYFUNCTION("""COMPUTED_VALUE"""),"IPS Panel Full HD / Touchscreen 1920x1080")</f>
        <v>IPS Panel Full HD / Touchscreen 1920x1080</v>
      </c>
      <c r="G1300" s="2" t="str">
        <f ca="1">IFERROR(__xludf.DUMMYFUNCTION("""COMPUTED_VALUE"""),"Intel Core i7 6500U 2.5GHz")</f>
        <v>Intel Core i7 6500U 2.5GHz</v>
      </c>
      <c r="H1300" s="2" t="str">
        <f ca="1">IFERROR(__xludf.DUMMYFUNCTION("""COMPUTED_VALUE"""),"4GB")</f>
        <v>4GB</v>
      </c>
      <c r="I1300" s="2" t="str">
        <f ca="1">IFERROR(__xludf.DUMMYFUNCTION("""COMPUTED_VALUE"""),"128GB SSD")</f>
        <v>128GB SSD</v>
      </c>
      <c r="J1300" s="2" t="str">
        <f ca="1">IFERROR(__xludf.DUMMYFUNCTION("""COMPUTED_VALUE"""),"Intel HD Graphics 520")</f>
        <v>Intel HD Graphics 520</v>
      </c>
      <c r="K1300" s="2" t="str">
        <f ca="1">IFERROR(__xludf.DUMMYFUNCTION("""COMPUTED_VALUE"""),"Windows 10")</f>
        <v>Windows 10</v>
      </c>
      <c r="L1300" s="2" t="str">
        <f ca="1">IFERROR(__xludf.DUMMYFUNCTION("""COMPUTED_VALUE"""),"1.8kg")</f>
        <v>1.8kg</v>
      </c>
      <c r="M1300" s="2">
        <f ca="1">IFERROR(__xludf.DUMMYFUNCTION("""COMPUTED_VALUE"""),638)</f>
        <v>638</v>
      </c>
    </row>
    <row r="1301" spans="1:13">
      <c r="A1301" s="2">
        <f ca="1">IFERROR(__xludf.DUMMYFUNCTION("""COMPUTED_VALUE"""),1317)</f>
        <v>1317</v>
      </c>
      <c r="B1301" s="2" t="str">
        <f ca="1">IFERROR(__xludf.DUMMYFUNCTION("""COMPUTED_VALUE"""),"Lenovo")</f>
        <v>Lenovo</v>
      </c>
      <c r="C1301" s="2" t="str">
        <f ca="1">IFERROR(__xludf.DUMMYFUNCTION("""COMPUTED_VALUE"""),"Yoga 900-13ISK")</f>
        <v>Yoga 900-13ISK</v>
      </c>
      <c r="D1301" s="2" t="str">
        <f ca="1">IFERROR(__xludf.DUMMYFUNCTION("""COMPUTED_VALUE"""),"2 in 1 Convertible")</f>
        <v>2 in 1 Convertible</v>
      </c>
      <c r="E1301" s="2">
        <f ca="1">IFERROR(__xludf.DUMMYFUNCTION("""COMPUTED_VALUE"""),13.3)</f>
        <v>13.3</v>
      </c>
      <c r="F1301" s="2" t="str">
        <f ca="1">IFERROR(__xludf.DUMMYFUNCTION("""COMPUTED_VALUE"""),"IPS Panel Quad HD+ / Touchscreen 3200x1800")</f>
        <v>IPS Panel Quad HD+ / Touchscreen 3200x1800</v>
      </c>
      <c r="G1301" s="2" t="str">
        <f ca="1">IFERROR(__xludf.DUMMYFUNCTION("""COMPUTED_VALUE"""),"Intel Core i7 6500U 2.5GHz")</f>
        <v>Intel Core i7 6500U 2.5GHz</v>
      </c>
      <c r="H1301" s="2" t="str">
        <f ca="1">IFERROR(__xludf.DUMMYFUNCTION("""COMPUTED_VALUE"""),"16GB")</f>
        <v>16GB</v>
      </c>
      <c r="I1301" s="2" t="str">
        <f ca="1">IFERROR(__xludf.DUMMYFUNCTION("""COMPUTED_VALUE"""),"512GB SSD")</f>
        <v>512GB SSD</v>
      </c>
      <c r="J1301" s="2" t="str">
        <f ca="1">IFERROR(__xludf.DUMMYFUNCTION("""COMPUTED_VALUE"""),"Intel HD Graphics 520")</f>
        <v>Intel HD Graphics 520</v>
      </c>
      <c r="K1301" s="2" t="str">
        <f ca="1">IFERROR(__xludf.DUMMYFUNCTION("""COMPUTED_VALUE"""),"Windows 10")</f>
        <v>Windows 10</v>
      </c>
      <c r="L1301" s="2" t="str">
        <f ca="1">IFERROR(__xludf.DUMMYFUNCTION("""COMPUTED_VALUE"""),"1.3kg")</f>
        <v>1.3kg</v>
      </c>
      <c r="M1301" s="2">
        <f ca="1">IFERROR(__xludf.DUMMYFUNCTION("""COMPUTED_VALUE"""),1499)</f>
        <v>1499</v>
      </c>
    </row>
    <row r="1302" spans="1:13">
      <c r="A1302" s="2">
        <f ca="1">IFERROR(__xludf.DUMMYFUNCTION("""COMPUTED_VALUE"""),1318)</f>
        <v>1318</v>
      </c>
      <c r="B1302" s="2" t="str">
        <f ca="1">IFERROR(__xludf.DUMMYFUNCTION("""COMPUTED_VALUE"""),"Lenovo")</f>
        <v>Lenovo</v>
      </c>
      <c r="C1302" s="2" t="str">
        <f ca="1">IFERROR(__xludf.DUMMYFUNCTION("""COMPUTED_VALUE"""),"IdeaPad 100S-14IBR")</f>
        <v>IdeaPad 100S-14IBR</v>
      </c>
      <c r="D1302" s="2" t="str">
        <f ca="1">IFERROR(__xludf.DUMMYFUNCTION("""COMPUTED_VALUE"""),"Notebook")</f>
        <v>Notebook</v>
      </c>
      <c r="E1302" s="2">
        <f ca="1">IFERROR(__xludf.DUMMYFUNCTION("""COMPUTED_VALUE"""),14)</f>
        <v>14</v>
      </c>
      <c r="F1302" s="2" t="str">
        <f ca="1">IFERROR(__xludf.DUMMYFUNCTION("""COMPUTED_VALUE"""),"1366x768")</f>
        <v>1366x768</v>
      </c>
      <c r="G1302" s="2" t="str">
        <f ca="1">IFERROR(__xludf.DUMMYFUNCTION("""COMPUTED_VALUE"""),"Intel Celeron Dual Core N3050 1.6GHz")</f>
        <v>Intel Celeron Dual Core N3050 1.6GHz</v>
      </c>
      <c r="H1302" s="2" t="str">
        <f ca="1">IFERROR(__xludf.DUMMYFUNCTION("""COMPUTED_VALUE"""),"2GB")</f>
        <v>2GB</v>
      </c>
      <c r="I1302" s="2" t="str">
        <f ca="1">IFERROR(__xludf.DUMMYFUNCTION("""COMPUTED_VALUE"""),"64GB Flash Storage")</f>
        <v>64GB Flash Storage</v>
      </c>
      <c r="J1302" s="2" t="str">
        <f ca="1">IFERROR(__xludf.DUMMYFUNCTION("""COMPUTED_VALUE"""),"Intel HD Graphics")</f>
        <v>Intel HD Graphics</v>
      </c>
      <c r="K1302" s="2" t="str">
        <f ca="1">IFERROR(__xludf.DUMMYFUNCTION("""COMPUTED_VALUE"""),"Windows 10")</f>
        <v>Windows 10</v>
      </c>
      <c r="L1302" s="2" t="str">
        <f ca="1">IFERROR(__xludf.DUMMYFUNCTION("""COMPUTED_VALUE"""),"1.5kg")</f>
        <v>1.5kg</v>
      </c>
      <c r="M1302" s="2">
        <f ca="1">IFERROR(__xludf.DUMMYFUNCTION("""COMPUTED_VALUE"""),229)</f>
        <v>229</v>
      </c>
    </row>
    <row r="1303" spans="1:13">
      <c r="A1303" s="2">
        <f ca="1">IFERROR(__xludf.DUMMYFUNCTION("""COMPUTED_VALUE"""),1319)</f>
        <v>1319</v>
      </c>
      <c r="B1303" s="2" t="str">
        <f ca="1">IFERROR(__xludf.DUMMYFUNCTION("""COMPUTED_VALUE"""),"HP")</f>
        <v>HP</v>
      </c>
      <c r="C1303" s="2" t="str">
        <f ca="1">IFERROR(__xludf.DUMMYFUNCTION("""COMPUTED_VALUE"""),"15-AC110nv (i7-6500U/6GB/1TB/Radeon")</f>
        <v>15-AC110nv (i7-6500U/6GB/1TB/Radeon</v>
      </c>
      <c r="D1303" s="2" t="str">
        <f ca="1">IFERROR(__xludf.DUMMYFUNCTION("""COMPUTED_VALUE"""),"Notebook")</f>
        <v>Notebook</v>
      </c>
      <c r="E1303" s="2">
        <f ca="1">IFERROR(__xludf.DUMMYFUNCTION("""COMPUTED_VALUE"""),15.6)</f>
        <v>15.6</v>
      </c>
      <c r="F1303" s="2" t="str">
        <f ca="1">IFERROR(__xludf.DUMMYFUNCTION("""COMPUTED_VALUE"""),"1366x768")</f>
        <v>1366x768</v>
      </c>
      <c r="G1303" s="2" t="str">
        <f ca="1">IFERROR(__xludf.DUMMYFUNCTION("""COMPUTED_VALUE"""),"Intel Core i7 6500U 2.5GHz")</f>
        <v>Intel Core i7 6500U 2.5GHz</v>
      </c>
      <c r="H1303" s="2" t="str">
        <f ca="1">IFERROR(__xludf.DUMMYFUNCTION("""COMPUTED_VALUE"""),"6GB")</f>
        <v>6GB</v>
      </c>
      <c r="I1303" s="2" t="str">
        <f ca="1">IFERROR(__xludf.DUMMYFUNCTION("""COMPUTED_VALUE"""),"1TB HDD")</f>
        <v>1TB HDD</v>
      </c>
      <c r="J1303" s="2" t="str">
        <f ca="1">IFERROR(__xludf.DUMMYFUNCTION("""COMPUTED_VALUE"""),"AMD Radeon R5 M330")</f>
        <v>AMD Radeon R5 M330</v>
      </c>
      <c r="K1303" s="2" t="str">
        <f ca="1">IFERROR(__xludf.DUMMYFUNCTION("""COMPUTED_VALUE"""),"Windows 10")</f>
        <v>Windows 10</v>
      </c>
      <c r="L1303" s="2" t="str">
        <f ca="1">IFERROR(__xludf.DUMMYFUNCTION("""COMPUTED_VALUE"""),"2.19kg")</f>
        <v>2.19kg</v>
      </c>
      <c r="M1303" s="2">
        <f ca="1">IFERROR(__xludf.DUMMYFUNCTION("""COMPUTED_VALUE"""),764)</f>
        <v>764</v>
      </c>
    </row>
    <row r="1304" spans="1:13">
      <c r="A1304" s="2">
        <f ca="1">IFERROR(__xludf.DUMMYFUNCTION("""COMPUTED_VALUE"""),1320)</f>
        <v>1320</v>
      </c>
      <c r="B1304" s="2" t="str">
        <f ca="1">IFERROR(__xludf.DUMMYFUNCTION("""COMPUTED_VALUE"""),"Asus")</f>
        <v>Asus</v>
      </c>
      <c r="C1304" s="2" t="str">
        <f ca="1">IFERROR(__xludf.DUMMYFUNCTION("""COMPUTED_VALUE"""),"X553SA-XX031T (N3050/4GB/500GB/W10)")</f>
        <v>X553SA-XX031T (N3050/4GB/500GB/W10)</v>
      </c>
      <c r="D1304" s="2" t="str">
        <f ca="1">IFERROR(__xludf.DUMMYFUNCTION("""COMPUTED_VALUE"""),"Notebook")</f>
        <v>Notebook</v>
      </c>
      <c r="E1304" s="2">
        <f ca="1">IFERROR(__xludf.DUMMYFUNCTION("""COMPUTED_VALUE"""),15.6)</f>
        <v>15.6</v>
      </c>
      <c r="F1304" s="2" t="str">
        <f ca="1">IFERROR(__xludf.DUMMYFUNCTION("""COMPUTED_VALUE"""),"1366x768")</f>
        <v>1366x768</v>
      </c>
      <c r="G1304" s="2" t="str">
        <f ca="1">IFERROR(__xludf.DUMMYFUNCTION("""COMPUTED_VALUE"""),"Intel Celeron Dual Core N3050 1.6GHz")</f>
        <v>Intel Celeron Dual Core N3050 1.6GHz</v>
      </c>
      <c r="H1304" s="2" t="str">
        <f ca="1">IFERROR(__xludf.DUMMYFUNCTION("""COMPUTED_VALUE"""),"4GB")</f>
        <v>4GB</v>
      </c>
      <c r="I1304" s="2" t="str">
        <f ca="1">IFERROR(__xludf.DUMMYFUNCTION("""COMPUTED_VALUE"""),"500GB HDD")</f>
        <v>500GB HDD</v>
      </c>
      <c r="J1304" s="2" t="str">
        <f ca="1">IFERROR(__xludf.DUMMYFUNCTION("""COMPUTED_VALUE"""),"Intel HD Graphics")</f>
        <v>Intel HD Graphics</v>
      </c>
      <c r="K1304" s="2" t="str">
        <f ca="1">IFERROR(__xludf.DUMMYFUNCTION("""COMPUTED_VALUE"""),"Windows 10")</f>
        <v>Windows 10</v>
      </c>
      <c r="L1304" s="2" t="str">
        <f ca="1">IFERROR(__xludf.DUMMYFUNCTION("""COMPUTED_VALUE"""),"2.2kg")</f>
        <v>2.2kg</v>
      </c>
      <c r="M1304" s="2">
        <f ca="1">IFERROR(__xludf.DUMMYFUNCTION("""COMPUTED_VALUE"""),369)</f>
        <v>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620"/>
  <sheetViews>
    <sheetView workbookViewId="0"/>
  </sheetViews>
  <sheetFormatPr defaultColWidth="11.25" defaultRowHeight="15" customHeight="1"/>
  <sheetData>
    <row r="1" spans="1:13">
      <c r="A1" s="2" t="str">
        <f ca="1">IFERROR(__xludf.DUMMYFUNCTION("query(laptop_price!A1:M1304, ""select * where H='8GB'"")"),"laptop_ID")</f>
        <v>laptop_ID</v>
      </c>
      <c r="B1" s="2" t="str">
        <f ca="1">IFERROR(__xludf.DUMMYFUNCTION("""COMPUTED_VALUE"""),"Company")</f>
        <v>Company</v>
      </c>
      <c r="C1" s="2" t="str">
        <f ca="1">IFERROR(__xludf.DUMMYFUNCTION("""COMPUTED_VALUE"""),"Product")</f>
        <v>Product</v>
      </c>
      <c r="D1" s="2" t="str">
        <f ca="1">IFERROR(__xludf.DUMMYFUNCTION("""COMPUTED_VALUE"""),"TypeName")</f>
        <v>TypeName</v>
      </c>
      <c r="E1" s="2" t="str">
        <f ca="1">IFERROR(__xludf.DUMMYFUNCTION("""COMPUTED_VALUE"""),"Inches")</f>
        <v>Inches</v>
      </c>
      <c r="F1" s="2" t="str">
        <f ca="1">IFERROR(__xludf.DUMMYFUNCTION("""COMPUTED_VALUE"""),"ScreenResolution")</f>
        <v>ScreenResolution</v>
      </c>
      <c r="G1" s="2" t="str">
        <f ca="1">IFERROR(__xludf.DUMMYFUNCTION("""COMPUTED_VALUE"""),"Cpu")</f>
        <v>Cpu</v>
      </c>
      <c r="H1" s="2" t="str">
        <f ca="1">IFERROR(__xludf.DUMMYFUNCTION("""COMPUTED_VALUE"""),"Ram")</f>
        <v>Ram</v>
      </c>
      <c r="I1" s="2" t="str">
        <f ca="1">IFERROR(__xludf.DUMMYFUNCTION("""COMPUTED_VALUE"""),"Memory")</f>
        <v>Memory</v>
      </c>
      <c r="J1" s="2" t="str">
        <f ca="1">IFERROR(__xludf.DUMMYFUNCTION("""COMPUTED_VALUE"""),"Gpu")</f>
        <v>Gpu</v>
      </c>
      <c r="K1" s="2" t="str">
        <f ca="1">IFERROR(__xludf.DUMMYFUNCTION("""COMPUTED_VALUE"""),"OpSys")</f>
        <v>OpSys</v>
      </c>
      <c r="L1" s="2" t="str">
        <f ca="1">IFERROR(__xludf.DUMMYFUNCTION("""COMPUTED_VALUE"""),"Weight")</f>
        <v>Weight</v>
      </c>
      <c r="M1" s="2" t="str">
        <f ca="1">IFERROR(__xludf.DUMMYFUNCTION("""COMPUTED_VALUE"""),"Price_euros")</f>
        <v>Price_euros</v>
      </c>
    </row>
    <row r="2" spans="1:13">
      <c r="A2" s="2">
        <f ca="1">IFERROR(__xludf.DUMMYFUNCTION("""COMPUTED_VALUE"""),1)</f>
        <v>1</v>
      </c>
      <c r="B2" s="2" t="str">
        <f ca="1">IFERROR(__xludf.DUMMYFUNCTION("""COMPUTED_VALUE"""),"Apple")</f>
        <v>Apple</v>
      </c>
      <c r="C2" s="2" t="str">
        <f ca="1">IFERROR(__xludf.DUMMYFUNCTION("""COMPUTED_VALUE"""),"MacBook Pro")</f>
        <v>MacBook Pro</v>
      </c>
      <c r="D2" s="2" t="str">
        <f ca="1">IFERROR(__xludf.DUMMYFUNCTION("""COMPUTED_VALUE"""),"Ultrabook")</f>
        <v>Ultrabook</v>
      </c>
      <c r="E2" s="2">
        <f ca="1">IFERROR(__xludf.DUMMYFUNCTION("""COMPUTED_VALUE"""),13.3)</f>
        <v>13.3</v>
      </c>
      <c r="F2" s="2" t="str">
        <f ca="1">IFERROR(__xludf.DUMMYFUNCTION("""COMPUTED_VALUE"""),"IPS Panel Retina Display 2560x1600")</f>
        <v>IPS Panel Retina Display 2560x1600</v>
      </c>
      <c r="G2" s="2" t="str">
        <f ca="1">IFERROR(__xludf.DUMMYFUNCTION("""COMPUTED_VALUE"""),"Intel Core i5 2.3GHz")</f>
        <v>Intel Core i5 2.3GHz</v>
      </c>
      <c r="H2" s="2" t="str">
        <f ca="1">IFERROR(__xludf.DUMMYFUNCTION("""COMPUTED_VALUE"""),"8GB")</f>
        <v>8GB</v>
      </c>
      <c r="I2" s="2" t="str">
        <f ca="1">IFERROR(__xludf.DUMMYFUNCTION("""COMPUTED_VALUE"""),"128GB SSD")</f>
        <v>128GB SSD</v>
      </c>
      <c r="J2" s="2" t="str">
        <f ca="1">IFERROR(__xludf.DUMMYFUNCTION("""COMPUTED_VALUE"""),"Intel Iris Plus Graphics 640")</f>
        <v>Intel Iris Plus Graphics 640</v>
      </c>
      <c r="K2" s="2" t="str">
        <f ca="1">IFERROR(__xludf.DUMMYFUNCTION("""COMPUTED_VALUE"""),"macOS")</f>
        <v>macOS</v>
      </c>
      <c r="L2" s="2" t="str">
        <f ca="1">IFERROR(__xludf.DUMMYFUNCTION("""COMPUTED_VALUE"""),"1.37kg")</f>
        <v>1.37kg</v>
      </c>
      <c r="M2" s="2">
        <f ca="1">IFERROR(__xludf.DUMMYFUNCTION("""COMPUTED_VALUE"""),1339.69)</f>
        <v>1339.69</v>
      </c>
    </row>
    <row r="3" spans="1:13">
      <c r="A3" s="2">
        <f ca="1">IFERROR(__xludf.DUMMYFUNCTION("""COMPUTED_VALUE"""),2)</f>
        <v>2</v>
      </c>
      <c r="B3" s="2" t="str">
        <f ca="1">IFERROR(__xludf.DUMMYFUNCTION("""COMPUTED_VALUE"""),"Apple")</f>
        <v>Apple</v>
      </c>
      <c r="C3" s="2" t="str">
        <f ca="1">IFERROR(__xludf.DUMMYFUNCTION("""COMPUTED_VALUE"""),"Macbook Air")</f>
        <v>Macbook Air</v>
      </c>
      <c r="D3" s="2" t="str">
        <f ca="1">IFERROR(__xludf.DUMMYFUNCTION("""COMPUTED_VALUE"""),"Ultrabook")</f>
        <v>Ultrabook</v>
      </c>
      <c r="E3" s="2">
        <f ca="1">IFERROR(__xludf.DUMMYFUNCTION("""COMPUTED_VALUE"""),13.3)</f>
        <v>13.3</v>
      </c>
      <c r="F3" s="2" t="str">
        <f ca="1">IFERROR(__xludf.DUMMYFUNCTION("""COMPUTED_VALUE"""),"1440x900")</f>
        <v>1440x900</v>
      </c>
      <c r="G3" s="2" t="str">
        <f ca="1">IFERROR(__xludf.DUMMYFUNCTION("""COMPUTED_VALUE"""),"Intel Core i5 1.8GHz")</f>
        <v>Intel Core i5 1.8GHz</v>
      </c>
      <c r="H3" s="2" t="str">
        <f ca="1">IFERROR(__xludf.DUMMYFUNCTION("""COMPUTED_VALUE"""),"8GB")</f>
        <v>8GB</v>
      </c>
      <c r="I3" s="2" t="str">
        <f ca="1">IFERROR(__xludf.DUMMYFUNCTION("""COMPUTED_VALUE"""),"128GB Flash Storage")</f>
        <v>128GB Flash Storage</v>
      </c>
      <c r="J3" s="2" t="str">
        <f ca="1">IFERROR(__xludf.DUMMYFUNCTION("""COMPUTED_VALUE"""),"Intel HD Graphics 6000")</f>
        <v>Intel HD Graphics 6000</v>
      </c>
      <c r="K3" s="2" t="str">
        <f ca="1">IFERROR(__xludf.DUMMYFUNCTION("""COMPUTED_VALUE"""),"macOS")</f>
        <v>macOS</v>
      </c>
      <c r="L3" s="2" t="str">
        <f ca="1">IFERROR(__xludf.DUMMYFUNCTION("""COMPUTED_VALUE"""),"1.34kg")</f>
        <v>1.34kg</v>
      </c>
      <c r="M3" s="2">
        <f ca="1">IFERROR(__xludf.DUMMYFUNCTION("""COMPUTED_VALUE"""),898.94)</f>
        <v>898.94</v>
      </c>
    </row>
    <row r="4" spans="1:13">
      <c r="A4" s="2">
        <f ca="1">IFERROR(__xludf.DUMMYFUNCTION("""COMPUTED_VALUE"""),3)</f>
        <v>3</v>
      </c>
      <c r="B4" s="2" t="str">
        <f ca="1">IFERROR(__xludf.DUMMYFUNCTION("""COMPUTED_VALUE"""),"HP")</f>
        <v>HP</v>
      </c>
      <c r="C4" s="2" t="str">
        <f ca="1">IFERROR(__xludf.DUMMYFUNCTION("""COMPUTED_VALUE"""),"250 G6")</f>
        <v>250 G6</v>
      </c>
      <c r="D4" s="2" t="str">
        <f ca="1">IFERROR(__xludf.DUMMYFUNCTION("""COMPUTED_VALUE"""),"Notebook")</f>
        <v>Notebook</v>
      </c>
      <c r="E4" s="2">
        <f ca="1">IFERROR(__xludf.DUMMYFUNCTION("""COMPUTED_VALUE"""),15.6)</f>
        <v>15.6</v>
      </c>
      <c r="F4" s="2" t="str">
        <f ca="1">IFERROR(__xludf.DUMMYFUNCTION("""COMPUTED_VALUE"""),"Full HD 1920x1080")</f>
        <v>Full HD 1920x1080</v>
      </c>
      <c r="G4" s="2" t="str">
        <f ca="1">IFERROR(__xludf.DUMMYFUNCTION("""COMPUTED_VALUE"""),"Intel Core i5 7200U 2.5GHz")</f>
        <v>Intel Core i5 7200U 2.5GHz</v>
      </c>
      <c r="H4" s="2" t="str">
        <f ca="1">IFERROR(__xludf.DUMMYFUNCTION("""COMPUTED_VALUE"""),"8GB")</f>
        <v>8GB</v>
      </c>
      <c r="I4" s="2" t="str">
        <f ca="1">IFERROR(__xludf.DUMMYFUNCTION("""COMPUTED_VALUE"""),"256GB SSD")</f>
        <v>256GB SSD</v>
      </c>
      <c r="J4" s="2" t="str">
        <f ca="1">IFERROR(__xludf.DUMMYFUNCTION("""COMPUTED_VALUE"""),"Intel HD Graphics 620")</f>
        <v>Intel HD Graphics 620</v>
      </c>
      <c r="K4" s="2" t="str">
        <f ca="1">IFERROR(__xludf.DUMMYFUNCTION("""COMPUTED_VALUE"""),"No OS")</f>
        <v>No OS</v>
      </c>
      <c r="L4" s="2" t="str">
        <f ca="1">IFERROR(__xludf.DUMMYFUNCTION("""COMPUTED_VALUE"""),"1.86kg")</f>
        <v>1.86kg</v>
      </c>
      <c r="M4" s="2">
        <f ca="1">IFERROR(__xludf.DUMMYFUNCTION("""COMPUTED_VALUE"""),575)</f>
        <v>575</v>
      </c>
    </row>
    <row r="5" spans="1:13">
      <c r="A5" s="2">
        <f ca="1">IFERROR(__xludf.DUMMYFUNCTION("""COMPUTED_VALUE"""),5)</f>
        <v>5</v>
      </c>
      <c r="B5" s="2" t="str">
        <f ca="1">IFERROR(__xludf.DUMMYFUNCTION("""COMPUTED_VALUE"""),"Apple")</f>
        <v>Apple</v>
      </c>
      <c r="C5" s="2" t="str">
        <f ca="1">IFERROR(__xludf.DUMMYFUNCTION("""COMPUTED_VALUE"""),"MacBook Pro")</f>
        <v>MacBook Pro</v>
      </c>
      <c r="D5" s="2" t="str">
        <f ca="1">IFERROR(__xludf.DUMMYFUNCTION("""COMPUTED_VALUE"""),"Ultrabook")</f>
        <v>Ultrabook</v>
      </c>
      <c r="E5" s="2">
        <f ca="1">IFERROR(__xludf.DUMMYFUNCTION("""COMPUTED_VALUE"""),13.3)</f>
        <v>13.3</v>
      </c>
      <c r="F5" s="2" t="str">
        <f ca="1">IFERROR(__xludf.DUMMYFUNCTION("""COMPUTED_VALUE"""),"IPS Panel Retina Display 2560x1600")</f>
        <v>IPS Panel Retina Display 2560x1600</v>
      </c>
      <c r="G5" s="2" t="str">
        <f ca="1">IFERROR(__xludf.DUMMYFUNCTION("""COMPUTED_VALUE"""),"Intel Core i5 3.1GHz")</f>
        <v>Intel Core i5 3.1GHz</v>
      </c>
      <c r="H5" s="2" t="str">
        <f ca="1">IFERROR(__xludf.DUMMYFUNCTION("""COMPUTED_VALUE"""),"8GB")</f>
        <v>8GB</v>
      </c>
      <c r="I5" s="2" t="str">
        <f ca="1">IFERROR(__xludf.DUMMYFUNCTION("""COMPUTED_VALUE"""),"256GB SSD")</f>
        <v>256GB SSD</v>
      </c>
      <c r="J5" s="2" t="str">
        <f ca="1">IFERROR(__xludf.DUMMYFUNCTION("""COMPUTED_VALUE"""),"Intel Iris Plus Graphics 650")</f>
        <v>Intel Iris Plus Graphics 650</v>
      </c>
      <c r="K5" s="2" t="str">
        <f ca="1">IFERROR(__xludf.DUMMYFUNCTION("""COMPUTED_VALUE"""),"macOS")</f>
        <v>macOS</v>
      </c>
      <c r="L5" s="2" t="str">
        <f ca="1">IFERROR(__xludf.DUMMYFUNCTION("""COMPUTED_VALUE"""),"1.37kg")</f>
        <v>1.37kg</v>
      </c>
      <c r="M5" s="2">
        <f ca="1">IFERROR(__xludf.DUMMYFUNCTION("""COMPUTED_VALUE"""),1803.6)</f>
        <v>1803.6</v>
      </c>
    </row>
    <row r="6" spans="1:13">
      <c r="A6" s="2">
        <f ca="1">IFERROR(__xludf.DUMMYFUNCTION("""COMPUTED_VALUE"""),8)</f>
        <v>8</v>
      </c>
      <c r="B6" s="2" t="str">
        <f ca="1">IFERROR(__xludf.DUMMYFUNCTION("""COMPUTED_VALUE"""),"Apple")</f>
        <v>Apple</v>
      </c>
      <c r="C6" s="2" t="str">
        <f ca="1">IFERROR(__xludf.DUMMYFUNCTION("""COMPUTED_VALUE"""),"Macbook Air")</f>
        <v>Macbook Air</v>
      </c>
      <c r="D6" s="2" t="str">
        <f ca="1">IFERROR(__xludf.DUMMYFUNCTION("""COMPUTED_VALUE"""),"Ultrabook")</f>
        <v>Ultrabook</v>
      </c>
      <c r="E6" s="2">
        <f ca="1">IFERROR(__xludf.DUMMYFUNCTION("""COMPUTED_VALUE"""),13.3)</f>
        <v>13.3</v>
      </c>
      <c r="F6" s="2" t="str">
        <f ca="1">IFERROR(__xludf.DUMMYFUNCTION("""COMPUTED_VALUE"""),"1440x900")</f>
        <v>1440x900</v>
      </c>
      <c r="G6" s="2" t="str">
        <f ca="1">IFERROR(__xludf.DUMMYFUNCTION("""COMPUTED_VALUE"""),"Intel Core i5 1.8GHz")</f>
        <v>Intel Core i5 1.8GHz</v>
      </c>
      <c r="H6" s="2" t="str">
        <f ca="1">IFERROR(__xludf.DUMMYFUNCTION("""COMPUTED_VALUE"""),"8GB")</f>
        <v>8GB</v>
      </c>
      <c r="I6" s="2" t="str">
        <f ca="1">IFERROR(__xludf.DUMMYFUNCTION("""COMPUTED_VALUE"""),"256GB Flash Storage")</f>
        <v>256GB Flash Storage</v>
      </c>
      <c r="J6" s="2" t="str">
        <f ca="1">IFERROR(__xludf.DUMMYFUNCTION("""COMPUTED_VALUE"""),"Intel HD Graphics 6000")</f>
        <v>Intel HD Graphics 6000</v>
      </c>
      <c r="K6" s="2" t="str">
        <f ca="1">IFERROR(__xludf.DUMMYFUNCTION("""COMPUTED_VALUE"""),"macOS")</f>
        <v>macOS</v>
      </c>
      <c r="L6" s="2" t="str">
        <f ca="1">IFERROR(__xludf.DUMMYFUNCTION("""COMPUTED_VALUE"""),"1.34kg")</f>
        <v>1.34kg</v>
      </c>
      <c r="M6" s="2">
        <f ca="1">IFERROR(__xludf.DUMMYFUNCTION("""COMPUTED_VALUE"""),1158.7)</f>
        <v>1158.7</v>
      </c>
    </row>
    <row r="7" spans="1:13">
      <c r="A7" s="2">
        <f ca="1">IFERROR(__xludf.DUMMYFUNCTION("""COMPUTED_VALUE"""),10)</f>
        <v>10</v>
      </c>
      <c r="B7" s="2" t="str">
        <f ca="1">IFERROR(__xludf.DUMMYFUNCTION("""COMPUTED_VALUE"""),"Acer")</f>
        <v>Acer</v>
      </c>
      <c r="C7" s="2" t="str">
        <f ca="1">IFERROR(__xludf.DUMMYFUNCTION("""COMPUTED_VALUE"""),"Swift 3")</f>
        <v>Swift 3</v>
      </c>
      <c r="D7" s="2" t="str">
        <f ca="1">IFERROR(__xludf.DUMMYFUNCTION("""COMPUTED_VALUE"""),"Ultrabook")</f>
        <v>Ultrabook</v>
      </c>
      <c r="E7" s="2">
        <f ca="1">IFERROR(__xludf.DUMMYFUNCTION("""COMPUTED_VALUE"""),14)</f>
        <v>14</v>
      </c>
      <c r="F7" s="2" t="str">
        <f ca="1">IFERROR(__xludf.DUMMYFUNCTION("""COMPUTED_VALUE"""),"IPS Panel Full HD 1920x1080")</f>
        <v>IPS Panel Full HD 1920x1080</v>
      </c>
      <c r="G7" s="2" t="str">
        <f ca="1">IFERROR(__xludf.DUMMYFUNCTION("""COMPUTED_VALUE"""),"Intel Core i5 8250U 1.6GHz")</f>
        <v>Intel Core i5 8250U 1.6GHz</v>
      </c>
      <c r="H7" s="2" t="str">
        <f ca="1">IFERROR(__xludf.DUMMYFUNCTION("""COMPUTED_VALUE"""),"8GB")</f>
        <v>8GB</v>
      </c>
      <c r="I7" s="2" t="str">
        <f ca="1">IFERROR(__xludf.DUMMYFUNCTION("""COMPUTED_VALUE"""),"256GB SSD")</f>
        <v>256GB SSD</v>
      </c>
      <c r="J7" s="2" t="str">
        <f ca="1">IFERROR(__xludf.DUMMYFUNCTION("""COMPUTED_VALUE"""),"Intel UHD Graphics 620")</f>
        <v>Intel UHD Graphics 620</v>
      </c>
      <c r="K7" s="2" t="str">
        <f ca="1">IFERROR(__xludf.DUMMYFUNCTION("""COMPUTED_VALUE"""),"Windows 10")</f>
        <v>Windows 10</v>
      </c>
      <c r="L7" s="2" t="str">
        <f ca="1">IFERROR(__xludf.DUMMYFUNCTION("""COMPUTED_VALUE"""),"1.6kg")</f>
        <v>1.6kg</v>
      </c>
      <c r="M7" s="2">
        <f ca="1">IFERROR(__xludf.DUMMYFUNCTION("""COMPUTED_VALUE"""),770)</f>
        <v>770</v>
      </c>
    </row>
    <row r="8" spans="1:13">
      <c r="A8" s="2">
        <f ca="1">IFERROR(__xludf.DUMMYFUNCTION("""COMPUTED_VALUE"""),15)</f>
        <v>15</v>
      </c>
      <c r="B8" s="2" t="str">
        <f ca="1">IFERROR(__xludf.DUMMYFUNCTION("""COMPUTED_VALUE"""),"Apple")</f>
        <v>Apple</v>
      </c>
      <c r="C8" s="2" t="str">
        <f ca="1">IFERROR(__xludf.DUMMYFUNCTION("""COMPUTED_VALUE"""),"MacBook 12""")</f>
        <v>MacBook 12"</v>
      </c>
      <c r="D8" s="2" t="str">
        <f ca="1">IFERROR(__xludf.DUMMYFUNCTION("""COMPUTED_VALUE"""),"Ultrabook")</f>
        <v>Ultrabook</v>
      </c>
      <c r="E8" s="2">
        <f ca="1">IFERROR(__xludf.DUMMYFUNCTION("""COMPUTED_VALUE"""),12)</f>
        <v>12</v>
      </c>
      <c r="F8" s="2" t="str">
        <f ca="1">IFERROR(__xludf.DUMMYFUNCTION("""COMPUTED_VALUE"""),"IPS Panel Retina Display 2304x1440")</f>
        <v>IPS Panel Retina Display 2304x1440</v>
      </c>
      <c r="G8" s="2" t="str">
        <f ca="1">IFERROR(__xludf.DUMMYFUNCTION("""COMPUTED_VALUE"""),"Intel Core M m3 1.2GHz")</f>
        <v>Intel Core M m3 1.2GHz</v>
      </c>
      <c r="H8" s="2" t="str">
        <f ca="1">IFERROR(__xludf.DUMMYFUNCTION("""COMPUTED_VALUE"""),"8GB")</f>
        <v>8GB</v>
      </c>
      <c r="I8" s="2" t="str">
        <f ca="1">IFERROR(__xludf.DUMMYFUNCTION("""COMPUTED_VALUE"""),"256GB SSD")</f>
        <v>256GB SSD</v>
      </c>
      <c r="J8" s="2" t="str">
        <f ca="1">IFERROR(__xludf.DUMMYFUNCTION("""COMPUTED_VALUE"""),"Intel HD Graphics 615")</f>
        <v>Intel HD Graphics 615</v>
      </c>
      <c r="K8" s="2" t="str">
        <f ca="1">IFERROR(__xludf.DUMMYFUNCTION("""COMPUTED_VALUE"""),"macOS")</f>
        <v>macOS</v>
      </c>
      <c r="L8" s="2" t="str">
        <f ca="1">IFERROR(__xludf.DUMMYFUNCTION("""COMPUTED_VALUE"""),"0.92kg")</f>
        <v>0.92kg</v>
      </c>
      <c r="M8" s="2">
        <f ca="1">IFERROR(__xludf.DUMMYFUNCTION("""COMPUTED_VALUE"""),1262.4)</f>
        <v>1262.4000000000001</v>
      </c>
    </row>
    <row r="9" spans="1:13">
      <c r="A9" s="2">
        <f ca="1">IFERROR(__xludf.DUMMYFUNCTION("""COMPUTED_VALUE"""),16)</f>
        <v>16</v>
      </c>
      <c r="B9" s="2" t="str">
        <f ca="1">IFERROR(__xludf.DUMMYFUNCTION("""COMPUTED_VALUE"""),"Apple")</f>
        <v>Apple</v>
      </c>
      <c r="C9" s="2" t="str">
        <f ca="1">IFERROR(__xludf.DUMMYFUNCTION("""COMPUTED_VALUE"""),"MacBook Pro")</f>
        <v>MacBook Pro</v>
      </c>
      <c r="D9" s="2" t="str">
        <f ca="1">IFERROR(__xludf.DUMMYFUNCTION("""COMPUTED_VALUE"""),"Ultrabook")</f>
        <v>Ultrabook</v>
      </c>
      <c r="E9" s="2">
        <f ca="1">IFERROR(__xludf.DUMMYFUNCTION("""COMPUTED_VALUE"""),13.3)</f>
        <v>13.3</v>
      </c>
      <c r="F9" s="2" t="str">
        <f ca="1">IFERROR(__xludf.DUMMYFUNCTION("""COMPUTED_VALUE"""),"IPS Panel Retina Display 2560x1600")</f>
        <v>IPS Panel Retina Display 2560x1600</v>
      </c>
      <c r="G9" s="2" t="str">
        <f ca="1">IFERROR(__xludf.DUMMYFUNCTION("""COMPUTED_VALUE"""),"Intel Core i5 2.3GHz")</f>
        <v>Intel Core i5 2.3GHz</v>
      </c>
      <c r="H9" s="2" t="str">
        <f ca="1">IFERROR(__xludf.DUMMYFUNCTION("""COMPUTED_VALUE"""),"8GB")</f>
        <v>8GB</v>
      </c>
      <c r="I9" s="2" t="str">
        <f ca="1">IFERROR(__xludf.DUMMYFUNCTION("""COMPUTED_VALUE"""),"256GB SSD")</f>
        <v>256GB SSD</v>
      </c>
      <c r="J9" s="2" t="str">
        <f ca="1">IFERROR(__xludf.DUMMYFUNCTION("""COMPUTED_VALUE"""),"Intel Iris Plus Graphics 640")</f>
        <v>Intel Iris Plus Graphics 640</v>
      </c>
      <c r="K9" s="2" t="str">
        <f ca="1">IFERROR(__xludf.DUMMYFUNCTION("""COMPUTED_VALUE"""),"macOS")</f>
        <v>macOS</v>
      </c>
      <c r="L9" s="2" t="str">
        <f ca="1">IFERROR(__xludf.DUMMYFUNCTION("""COMPUTED_VALUE"""),"1.37kg")</f>
        <v>1.37kg</v>
      </c>
      <c r="M9" s="2">
        <f ca="1">IFERROR(__xludf.DUMMYFUNCTION("""COMPUTED_VALUE"""),1518.55)</f>
        <v>1518.55</v>
      </c>
    </row>
    <row r="10" spans="1:13">
      <c r="A10" s="2">
        <f ca="1">IFERROR(__xludf.DUMMYFUNCTION("""COMPUTED_VALUE"""),17)</f>
        <v>17</v>
      </c>
      <c r="B10" s="2" t="str">
        <f ca="1">IFERROR(__xludf.DUMMYFUNCTION("""COMPUTED_VALUE"""),"Dell")</f>
        <v>Dell</v>
      </c>
      <c r="C10" s="2" t="str">
        <f ca="1">IFERROR(__xludf.DUMMYFUNCTION("""COMPUTED_VALUE"""),"Inspiron 3567")</f>
        <v>Inspiron 3567</v>
      </c>
      <c r="D10" s="2" t="str">
        <f ca="1">IFERROR(__xludf.DUMMYFUNCTION("""COMPUTED_VALUE"""),"Notebook")</f>
        <v>Notebook</v>
      </c>
      <c r="E10" s="2">
        <f ca="1">IFERROR(__xludf.DUMMYFUNCTION("""COMPUTED_VALUE"""),15.6)</f>
        <v>15.6</v>
      </c>
      <c r="F10" s="2" t="str">
        <f ca="1">IFERROR(__xludf.DUMMYFUNCTION("""COMPUTED_VALUE"""),"Full HD 1920x1080")</f>
        <v>Full HD 1920x1080</v>
      </c>
      <c r="G10" s="2" t="str">
        <f ca="1">IFERROR(__xludf.DUMMYFUNCTION("""COMPUTED_VALUE"""),"Intel Core i7 7500U 2.7GHz")</f>
        <v>Intel Core i7 7500U 2.7GHz</v>
      </c>
      <c r="H10" s="2" t="str">
        <f ca="1">IFERROR(__xludf.DUMMYFUNCTION("""COMPUTED_VALUE"""),"8GB")</f>
        <v>8GB</v>
      </c>
      <c r="I10" s="2" t="str">
        <f ca="1">IFERROR(__xludf.DUMMYFUNCTION("""COMPUTED_VALUE"""),"256GB SSD")</f>
        <v>256GB SSD</v>
      </c>
      <c r="J10" s="2" t="str">
        <f ca="1">IFERROR(__xludf.DUMMYFUNCTION("""COMPUTED_VALUE"""),"AMD Radeon R5 M430")</f>
        <v>AMD Radeon R5 M430</v>
      </c>
      <c r="K10" s="2" t="str">
        <f ca="1">IFERROR(__xludf.DUMMYFUNCTION("""COMPUTED_VALUE"""),"Windows 10")</f>
        <v>Windows 10</v>
      </c>
      <c r="L10" s="2" t="str">
        <f ca="1">IFERROR(__xludf.DUMMYFUNCTION("""COMPUTED_VALUE"""),"2.2kg")</f>
        <v>2.2kg</v>
      </c>
      <c r="M10" s="2">
        <f ca="1">IFERROR(__xludf.DUMMYFUNCTION("""COMPUTED_VALUE"""),745)</f>
        <v>745</v>
      </c>
    </row>
    <row r="11" spans="1:13">
      <c r="A11" s="2">
        <f ca="1">IFERROR(__xludf.DUMMYFUNCTION("""COMPUTED_VALUE"""),19)</f>
        <v>19</v>
      </c>
      <c r="B11" s="2" t="str">
        <f ca="1">IFERROR(__xludf.DUMMYFUNCTION("""COMPUTED_VALUE"""),"Lenovo")</f>
        <v>Lenovo</v>
      </c>
      <c r="C11" s="2" t="str">
        <f ca="1">IFERROR(__xludf.DUMMYFUNCTION("""COMPUTED_VALUE"""),"IdeaPad 320-15IKB")</f>
        <v>IdeaPad 320-15IKB</v>
      </c>
      <c r="D11" s="2" t="str">
        <f ca="1">IFERROR(__xludf.DUMMYFUNCTION("""COMPUTED_VALUE"""),"Notebook")</f>
        <v>Notebook</v>
      </c>
      <c r="E11" s="2">
        <f ca="1">IFERROR(__xludf.DUMMYFUNCTION("""COMPUTED_VALUE"""),15.6)</f>
        <v>15.6</v>
      </c>
      <c r="F11" s="2" t="str">
        <f ca="1">IFERROR(__xludf.DUMMYFUNCTION("""COMPUTED_VALUE"""),"Full HD 1920x1080")</f>
        <v>Full HD 1920x1080</v>
      </c>
      <c r="G11" s="2" t="str">
        <f ca="1">IFERROR(__xludf.DUMMYFUNCTION("""COMPUTED_VALUE"""),"Intel Core i3 7100U 2.4GHz")</f>
        <v>Intel Core i3 7100U 2.4GHz</v>
      </c>
      <c r="H11" s="2" t="str">
        <f ca="1">IFERROR(__xludf.DUMMYFUNCTION("""COMPUTED_VALUE"""),"8GB")</f>
        <v>8GB</v>
      </c>
      <c r="I11" s="2" t="str">
        <f ca="1">IFERROR(__xludf.DUMMYFUNCTION("""COMPUTED_VALUE"""),"1TB HDD")</f>
        <v>1TB HDD</v>
      </c>
      <c r="J11" s="2" t="str">
        <f ca="1">IFERROR(__xludf.DUMMYFUNCTION("""COMPUTED_VALUE"""),"Nvidia GeForce 940MX")</f>
        <v>Nvidia GeForce 940MX</v>
      </c>
      <c r="K11" s="2" t="str">
        <f ca="1">IFERROR(__xludf.DUMMYFUNCTION("""COMPUTED_VALUE"""),"No OS")</f>
        <v>No OS</v>
      </c>
      <c r="L11" s="2" t="str">
        <f ca="1">IFERROR(__xludf.DUMMYFUNCTION("""COMPUTED_VALUE"""),"2.2kg")</f>
        <v>2.2kg</v>
      </c>
      <c r="M11" s="2">
        <f ca="1">IFERROR(__xludf.DUMMYFUNCTION("""COMPUTED_VALUE"""),499)</f>
        <v>499</v>
      </c>
    </row>
    <row r="12" spans="1:13">
      <c r="A12" s="2">
        <f ca="1">IFERROR(__xludf.DUMMYFUNCTION("""COMPUTED_VALUE"""),20)</f>
        <v>20</v>
      </c>
      <c r="B12" s="2" t="str">
        <f ca="1">IFERROR(__xludf.DUMMYFUNCTION("""COMPUTED_VALUE"""),"Dell")</f>
        <v>Dell</v>
      </c>
      <c r="C12" s="2" t="str">
        <f ca="1">IFERROR(__xludf.DUMMYFUNCTION("""COMPUTED_VALUE"""),"XPS 13")</f>
        <v>XPS 13</v>
      </c>
      <c r="D12" s="2" t="str">
        <f ca="1">IFERROR(__xludf.DUMMYFUNCTION("""COMPUTED_VALUE"""),"Ultrabook")</f>
        <v>Ultrabook</v>
      </c>
      <c r="E12" s="2">
        <f ca="1">IFERROR(__xludf.DUMMYFUNCTION("""COMPUTED_VALUE"""),13.3)</f>
        <v>13.3</v>
      </c>
      <c r="F12" s="2" t="str">
        <f ca="1">IFERROR(__xludf.DUMMYFUNCTION("""COMPUTED_VALUE"""),"IPS Panel Full HD / Touchscreen 1920x1080")</f>
        <v>IPS Panel Full HD / Touchscreen 1920x1080</v>
      </c>
      <c r="G12" s="2" t="str">
        <f ca="1">IFERROR(__xludf.DUMMYFUNCTION("""COMPUTED_VALUE"""),"Intel Core i5 8250U 1.6GHz")</f>
        <v>Intel Core i5 8250U 1.6GHz</v>
      </c>
      <c r="H12" s="2" t="str">
        <f ca="1">IFERROR(__xludf.DUMMYFUNCTION("""COMPUTED_VALUE"""),"8GB")</f>
        <v>8GB</v>
      </c>
      <c r="I12" s="2" t="str">
        <f ca="1">IFERROR(__xludf.DUMMYFUNCTION("""COMPUTED_VALUE"""),"128GB SSD")</f>
        <v>128GB SSD</v>
      </c>
      <c r="J12" s="2" t="str">
        <f ca="1">IFERROR(__xludf.DUMMYFUNCTION("""COMPUTED_VALUE"""),"Intel UHD Graphics 620")</f>
        <v>Intel UHD Graphics 620</v>
      </c>
      <c r="K12" s="2" t="str">
        <f ca="1">IFERROR(__xludf.DUMMYFUNCTION("""COMPUTED_VALUE"""),"Windows 10")</f>
        <v>Windows 10</v>
      </c>
      <c r="L12" s="2" t="str">
        <f ca="1">IFERROR(__xludf.DUMMYFUNCTION("""COMPUTED_VALUE"""),"1.22kg")</f>
        <v>1.22kg</v>
      </c>
      <c r="M12" s="2">
        <f ca="1">IFERROR(__xludf.DUMMYFUNCTION("""COMPUTED_VALUE"""),979)</f>
        <v>979</v>
      </c>
    </row>
    <row r="13" spans="1:13">
      <c r="A13" s="2">
        <f ca="1">IFERROR(__xludf.DUMMYFUNCTION("""COMPUTED_VALUE"""),22)</f>
        <v>22</v>
      </c>
      <c r="B13" s="2" t="str">
        <f ca="1">IFERROR(__xludf.DUMMYFUNCTION("""COMPUTED_VALUE"""),"Lenovo")</f>
        <v>Lenovo</v>
      </c>
      <c r="C13" s="2" t="str">
        <f ca="1">IFERROR(__xludf.DUMMYFUNCTION("""COMPUTED_VALUE"""),"Legion Y520-15IKBN")</f>
        <v>Legion Y520-15IKBN</v>
      </c>
      <c r="D13" s="2" t="str">
        <f ca="1">IFERROR(__xludf.DUMMYFUNCTION("""COMPUTED_VALUE"""),"Gaming")</f>
        <v>Gaming</v>
      </c>
      <c r="E13" s="2">
        <f ca="1">IFERROR(__xludf.DUMMYFUNCTION("""COMPUTED_VALUE"""),15.6)</f>
        <v>15.6</v>
      </c>
      <c r="F13" s="2" t="str">
        <f ca="1">IFERROR(__xludf.DUMMYFUNCTION("""COMPUTED_VALUE"""),"IPS Panel Full HD 1920x1080")</f>
        <v>IPS Panel Full HD 1920x1080</v>
      </c>
      <c r="G13" s="2" t="str">
        <f ca="1">IFERROR(__xludf.DUMMYFUNCTION("""COMPUTED_VALUE"""),"Intel Core i5 7300HQ 2.5GHz")</f>
        <v>Intel Core i5 7300HQ 2.5GHz</v>
      </c>
      <c r="H13" s="2" t="str">
        <f ca="1">IFERROR(__xludf.DUMMYFUNCTION("""COMPUTED_VALUE"""),"8GB")</f>
        <v>8GB</v>
      </c>
      <c r="I13" s="2" t="str">
        <f ca="1">IFERROR(__xludf.DUMMYFUNCTION("""COMPUTED_VALUE"""),"128GB SSD +  1TB HDD")</f>
        <v>128GB SSD +  1TB HDD</v>
      </c>
      <c r="J13" s="2" t="str">
        <f ca="1">IFERROR(__xludf.DUMMYFUNCTION("""COMPUTED_VALUE"""),"Nvidia GeForce GTX 1050")</f>
        <v>Nvidia GeForce GTX 1050</v>
      </c>
      <c r="K13" s="2" t="str">
        <f ca="1">IFERROR(__xludf.DUMMYFUNCTION("""COMPUTED_VALUE"""),"Windows 10")</f>
        <v>Windows 10</v>
      </c>
      <c r="L13" s="2" t="str">
        <f ca="1">IFERROR(__xludf.DUMMYFUNCTION("""COMPUTED_VALUE"""),"2.5kg")</f>
        <v>2.5kg</v>
      </c>
      <c r="M13" s="2">
        <f ca="1">IFERROR(__xludf.DUMMYFUNCTION("""COMPUTED_VALUE"""),999)</f>
        <v>999</v>
      </c>
    </row>
    <row r="14" spans="1:13">
      <c r="A14" s="2">
        <f ca="1">IFERROR(__xludf.DUMMYFUNCTION("""COMPUTED_VALUE"""),24)</f>
        <v>24</v>
      </c>
      <c r="B14" s="2" t="str">
        <f ca="1">IFERROR(__xludf.DUMMYFUNCTION("""COMPUTED_VALUE"""),"Dell")</f>
        <v>Dell</v>
      </c>
      <c r="C14" s="2" t="str">
        <f ca="1">IFERROR(__xludf.DUMMYFUNCTION("""COMPUTED_VALUE"""),"Inspiron 5379")</f>
        <v>Inspiron 5379</v>
      </c>
      <c r="D14" s="2" t="str">
        <f ca="1">IFERROR(__xludf.DUMMYFUNCTION("""COMPUTED_VALUE"""),"2 in 1 Convertible")</f>
        <v>2 in 1 Convertible</v>
      </c>
      <c r="E14" s="2">
        <f ca="1">IFERROR(__xludf.DUMMYFUNCTION("""COMPUTED_VALUE"""),13.3)</f>
        <v>13.3</v>
      </c>
      <c r="F14" s="2" t="str">
        <f ca="1">IFERROR(__xludf.DUMMYFUNCTION("""COMPUTED_VALUE"""),"Full HD / Touchscreen 1920x1080")</f>
        <v>Full HD / Touchscreen 1920x1080</v>
      </c>
      <c r="G14" s="2" t="str">
        <f ca="1">IFERROR(__xludf.DUMMYFUNCTION("""COMPUTED_VALUE"""),"Intel Core i5 8250U 1.6GHz")</f>
        <v>Intel Core i5 8250U 1.6GHz</v>
      </c>
      <c r="H14" s="2" t="str">
        <f ca="1">IFERROR(__xludf.DUMMYFUNCTION("""COMPUTED_VALUE"""),"8GB")</f>
        <v>8GB</v>
      </c>
      <c r="I14" s="2" t="str">
        <f ca="1">IFERROR(__xludf.DUMMYFUNCTION("""COMPUTED_VALUE"""),"256GB SSD")</f>
        <v>256GB SSD</v>
      </c>
      <c r="J14" s="2" t="str">
        <f ca="1">IFERROR(__xludf.DUMMYFUNCTION("""COMPUTED_VALUE"""),"Intel UHD Graphics 620")</f>
        <v>Intel UHD Graphics 620</v>
      </c>
      <c r="K14" s="2" t="str">
        <f ca="1">IFERROR(__xludf.DUMMYFUNCTION("""COMPUTED_VALUE"""),"Windows 10")</f>
        <v>Windows 10</v>
      </c>
      <c r="L14" s="2" t="str">
        <f ca="1">IFERROR(__xludf.DUMMYFUNCTION("""COMPUTED_VALUE"""),"1.62kg")</f>
        <v>1.62kg</v>
      </c>
      <c r="M14" s="2">
        <f ca="1">IFERROR(__xludf.DUMMYFUNCTION("""COMPUTED_VALUE"""),819)</f>
        <v>819</v>
      </c>
    </row>
    <row r="15" spans="1:13">
      <c r="A15" s="2">
        <f ca="1">IFERROR(__xludf.DUMMYFUNCTION("""COMPUTED_VALUE"""),25)</f>
        <v>25</v>
      </c>
      <c r="B15" s="2" t="str">
        <f ca="1">IFERROR(__xludf.DUMMYFUNCTION("""COMPUTED_VALUE"""),"HP")</f>
        <v>HP</v>
      </c>
      <c r="C15" s="2" t="str">
        <f ca="1">IFERROR(__xludf.DUMMYFUNCTION("""COMPUTED_VALUE"""),"15-BS101nv (i7-8550U/8GB/256GB/FHD/W10)")</f>
        <v>15-BS101nv (i7-8550U/8GB/256GB/FHD/W10)</v>
      </c>
      <c r="D15" s="2" t="str">
        <f ca="1">IFERROR(__xludf.DUMMYFUNCTION("""COMPUTED_VALUE"""),"Ultrabook")</f>
        <v>Ultrabook</v>
      </c>
      <c r="E15" s="2">
        <f ca="1">IFERROR(__xludf.DUMMYFUNCTION("""COMPUTED_VALUE"""),15.6)</f>
        <v>15.6</v>
      </c>
      <c r="F15" s="2" t="str">
        <f ca="1">IFERROR(__xludf.DUMMYFUNCTION("""COMPUTED_VALUE"""),"Full HD 1920x1080")</f>
        <v>Full HD 1920x1080</v>
      </c>
      <c r="G15" s="2" t="str">
        <f ca="1">IFERROR(__xludf.DUMMYFUNCTION("""COMPUTED_VALUE"""),"Intel Core i7 8550U 1.8GHz")</f>
        <v>Intel Core i7 8550U 1.8GHz</v>
      </c>
      <c r="H15" s="2" t="str">
        <f ca="1">IFERROR(__xludf.DUMMYFUNCTION("""COMPUTED_VALUE"""),"8GB")</f>
        <v>8GB</v>
      </c>
      <c r="I15" s="2" t="str">
        <f ca="1">IFERROR(__xludf.DUMMYFUNCTION("""COMPUTED_VALUE"""),"256GB SSD")</f>
        <v>256GB SSD</v>
      </c>
      <c r="J15" s="2" t="str">
        <f ca="1">IFERROR(__xludf.DUMMYFUNCTION("""COMPUTED_VALUE"""),"Intel HD Graphics 620")</f>
        <v>Intel HD Graphics 620</v>
      </c>
      <c r="K15" s="2" t="str">
        <f ca="1">IFERROR(__xludf.DUMMYFUNCTION("""COMPUTED_VALUE"""),"Windows 10")</f>
        <v>Windows 10</v>
      </c>
      <c r="L15" s="2" t="str">
        <f ca="1">IFERROR(__xludf.DUMMYFUNCTION("""COMPUTED_VALUE"""),"1.91kg")</f>
        <v>1.91kg</v>
      </c>
      <c r="M15" s="2">
        <f ca="1">IFERROR(__xludf.DUMMYFUNCTION("""COMPUTED_VALUE"""),659)</f>
        <v>659</v>
      </c>
    </row>
    <row r="16" spans="1:13">
      <c r="A16" s="2">
        <f ca="1">IFERROR(__xludf.DUMMYFUNCTION("""COMPUTED_VALUE"""),27)</f>
        <v>27</v>
      </c>
      <c r="B16" s="2" t="str">
        <f ca="1">IFERROR(__xludf.DUMMYFUNCTION("""COMPUTED_VALUE"""),"Apple")</f>
        <v>Apple</v>
      </c>
      <c r="C16" s="2" t="str">
        <f ca="1">IFERROR(__xludf.DUMMYFUNCTION("""COMPUTED_VALUE"""),"MacBook Air")</f>
        <v>MacBook Air</v>
      </c>
      <c r="D16" s="2" t="str">
        <f ca="1">IFERROR(__xludf.DUMMYFUNCTION("""COMPUTED_VALUE"""),"Ultrabook")</f>
        <v>Ultrabook</v>
      </c>
      <c r="E16" s="2">
        <f ca="1">IFERROR(__xludf.DUMMYFUNCTION("""COMPUTED_VALUE"""),13.3)</f>
        <v>13.3</v>
      </c>
      <c r="F16" s="2" t="str">
        <f ca="1">IFERROR(__xludf.DUMMYFUNCTION("""COMPUTED_VALUE"""),"1440x900")</f>
        <v>1440x900</v>
      </c>
      <c r="G16" s="2" t="str">
        <f ca="1">IFERROR(__xludf.DUMMYFUNCTION("""COMPUTED_VALUE"""),"Intel Core i5 1.6GHz")</f>
        <v>Intel Core i5 1.6GHz</v>
      </c>
      <c r="H16" s="2" t="str">
        <f ca="1">IFERROR(__xludf.DUMMYFUNCTION("""COMPUTED_VALUE"""),"8GB")</f>
        <v>8GB</v>
      </c>
      <c r="I16" s="2" t="str">
        <f ca="1">IFERROR(__xludf.DUMMYFUNCTION("""COMPUTED_VALUE"""),"128GB Flash Storage")</f>
        <v>128GB Flash Storage</v>
      </c>
      <c r="J16" s="2" t="str">
        <f ca="1">IFERROR(__xludf.DUMMYFUNCTION("""COMPUTED_VALUE"""),"Intel HD Graphics 6000")</f>
        <v>Intel HD Graphics 6000</v>
      </c>
      <c r="K16" s="2" t="str">
        <f ca="1">IFERROR(__xludf.DUMMYFUNCTION("""COMPUTED_VALUE"""),"Mac OS X")</f>
        <v>Mac OS X</v>
      </c>
      <c r="L16" s="2" t="str">
        <f ca="1">IFERROR(__xludf.DUMMYFUNCTION("""COMPUTED_VALUE"""),"1.35kg")</f>
        <v>1.35kg</v>
      </c>
      <c r="M16" s="2">
        <f ca="1">IFERROR(__xludf.DUMMYFUNCTION("""COMPUTED_VALUE"""),1099)</f>
        <v>1099</v>
      </c>
    </row>
    <row r="17" spans="1:13">
      <c r="A17" s="2">
        <f ca="1">IFERROR(__xludf.DUMMYFUNCTION("""COMPUTED_VALUE"""),28)</f>
        <v>28</v>
      </c>
      <c r="B17" s="2" t="str">
        <f ca="1">IFERROR(__xludf.DUMMYFUNCTION("""COMPUTED_VALUE"""),"Dell")</f>
        <v>Dell</v>
      </c>
      <c r="C17" s="2" t="str">
        <f ca="1">IFERROR(__xludf.DUMMYFUNCTION("""COMPUTED_VALUE"""),"Inspiron 5570")</f>
        <v>Inspiron 5570</v>
      </c>
      <c r="D17" s="2" t="str">
        <f ca="1">IFERROR(__xludf.DUMMYFUNCTION("""COMPUTED_VALUE"""),"Notebook")</f>
        <v>Notebook</v>
      </c>
      <c r="E17" s="2">
        <f ca="1">IFERROR(__xludf.DUMMYFUNCTION("""COMPUTED_VALUE"""),15.6)</f>
        <v>15.6</v>
      </c>
      <c r="F17" s="2" t="str">
        <f ca="1">IFERROR(__xludf.DUMMYFUNCTION("""COMPUTED_VALUE"""),"Full HD 1920x1080")</f>
        <v>Full HD 1920x1080</v>
      </c>
      <c r="G17" s="2" t="str">
        <f ca="1">IFERROR(__xludf.DUMMYFUNCTION("""COMPUTED_VALUE"""),"Intel Core i5 8250U 1.6GHz")</f>
        <v>Intel Core i5 8250U 1.6GHz</v>
      </c>
      <c r="H17" s="2" t="str">
        <f ca="1">IFERROR(__xludf.DUMMYFUNCTION("""COMPUTED_VALUE"""),"8GB")</f>
        <v>8GB</v>
      </c>
      <c r="I17" s="2" t="str">
        <f ca="1">IFERROR(__xludf.DUMMYFUNCTION("""COMPUTED_VALUE"""),"256GB SSD")</f>
        <v>256GB SSD</v>
      </c>
      <c r="J17" s="2" t="str">
        <f ca="1">IFERROR(__xludf.DUMMYFUNCTION("""COMPUTED_VALUE"""),"AMD Radeon 530")</f>
        <v>AMD Radeon 530</v>
      </c>
      <c r="K17" s="2" t="str">
        <f ca="1">IFERROR(__xludf.DUMMYFUNCTION("""COMPUTED_VALUE"""),"Windows 10")</f>
        <v>Windows 10</v>
      </c>
      <c r="L17" s="2" t="str">
        <f ca="1">IFERROR(__xludf.DUMMYFUNCTION("""COMPUTED_VALUE"""),"2.2kg")</f>
        <v>2.2kg</v>
      </c>
      <c r="M17" s="2">
        <f ca="1">IFERROR(__xludf.DUMMYFUNCTION("""COMPUTED_VALUE"""),800)</f>
        <v>800</v>
      </c>
    </row>
    <row r="18" spans="1:13">
      <c r="A18" s="2">
        <f ca="1">IFERROR(__xludf.DUMMYFUNCTION("""COMPUTED_VALUE"""),29)</f>
        <v>29</v>
      </c>
      <c r="B18" s="2" t="str">
        <f ca="1">IFERROR(__xludf.DUMMYFUNCTION("""COMPUTED_VALUE"""),"Dell")</f>
        <v>Dell</v>
      </c>
      <c r="C18" s="2" t="str">
        <f ca="1">IFERROR(__xludf.DUMMYFUNCTION("""COMPUTED_VALUE"""),"Latitude 5590")</f>
        <v>Latitude 5590</v>
      </c>
      <c r="D18" s="2" t="str">
        <f ca="1">IFERROR(__xludf.DUMMYFUNCTION("""COMPUTED_VALUE"""),"Ultrabook")</f>
        <v>Ultrabook</v>
      </c>
      <c r="E18" s="2">
        <f ca="1">IFERROR(__xludf.DUMMYFUNCTION("""COMPUTED_VALUE"""),15.6)</f>
        <v>15.6</v>
      </c>
      <c r="F18" s="2" t="str">
        <f ca="1">IFERROR(__xludf.DUMMYFUNCTION("""COMPUTED_VALUE"""),"Full HD 1920x1080")</f>
        <v>Full HD 1920x1080</v>
      </c>
      <c r="G18" s="2" t="str">
        <f ca="1">IFERROR(__xludf.DUMMYFUNCTION("""COMPUTED_VALUE"""),"Intel Core i7 8650U 1.9GHz")</f>
        <v>Intel Core i7 8650U 1.9GHz</v>
      </c>
      <c r="H18" s="2" t="str">
        <f ca="1">IFERROR(__xludf.DUMMYFUNCTION("""COMPUTED_VALUE"""),"8GB")</f>
        <v>8GB</v>
      </c>
      <c r="I18" s="2" t="str">
        <f ca="1">IFERROR(__xludf.DUMMYFUNCTION("""COMPUTED_VALUE"""),"256GB SSD +  256GB SSD")</f>
        <v>256GB SSD +  256GB SSD</v>
      </c>
      <c r="J18" s="2" t="str">
        <f ca="1">IFERROR(__xludf.DUMMYFUNCTION("""COMPUTED_VALUE"""),"Intel UHD Graphics 620")</f>
        <v>Intel UHD Graphics 620</v>
      </c>
      <c r="K18" s="2" t="str">
        <f ca="1">IFERROR(__xludf.DUMMYFUNCTION("""COMPUTED_VALUE"""),"Windows 10")</f>
        <v>Windows 10</v>
      </c>
      <c r="L18" s="2" t="str">
        <f ca="1">IFERROR(__xludf.DUMMYFUNCTION("""COMPUTED_VALUE"""),"1.88kg")</f>
        <v>1.88kg</v>
      </c>
      <c r="M18" s="2">
        <f ca="1">IFERROR(__xludf.DUMMYFUNCTION("""COMPUTED_VALUE"""),1298)</f>
        <v>1298</v>
      </c>
    </row>
    <row r="19" spans="1:13">
      <c r="A19" s="2">
        <f ca="1">IFERROR(__xludf.DUMMYFUNCTION("""COMPUTED_VALUE"""),30)</f>
        <v>30</v>
      </c>
      <c r="B19" s="2" t="str">
        <f ca="1">IFERROR(__xludf.DUMMYFUNCTION("""COMPUTED_VALUE"""),"HP")</f>
        <v>HP</v>
      </c>
      <c r="C19" s="2" t="str">
        <f ca="1">IFERROR(__xludf.DUMMYFUNCTION("""COMPUTED_VALUE"""),"ProBook 470")</f>
        <v>ProBook 470</v>
      </c>
      <c r="D19" s="2" t="str">
        <f ca="1">IFERROR(__xludf.DUMMYFUNCTION("""COMPUTED_VALUE"""),"Notebook")</f>
        <v>Notebook</v>
      </c>
      <c r="E19" s="2">
        <f ca="1">IFERROR(__xludf.DUMMYFUNCTION("""COMPUTED_VALUE"""),17.3)</f>
        <v>17.3</v>
      </c>
      <c r="F19" s="2" t="str">
        <f ca="1">IFERROR(__xludf.DUMMYFUNCTION("""COMPUTED_VALUE"""),"Full HD 1920x1080")</f>
        <v>Full HD 1920x1080</v>
      </c>
      <c r="G19" s="2" t="str">
        <f ca="1">IFERROR(__xludf.DUMMYFUNCTION("""COMPUTED_VALUE"""),"Intel Core i5 8250U 1.6GHz")</f>
        <v>Intel Core i5 8250U 1.6GHz</v>
      </c>
      <c r="H19" s="2" t="str">
        <f ca="1">IFERROR(__xludf.DUMMYFUNCTION("""COMPUTED_VALUE"""),"8GB")</f>
        <v>8GB</v>
      </c>
      <c r="I19" s="2" t="str">
        <f ca="1">IFERROR(__xludf.DUMMYFUNCTION("""COMPUTED_VALUE"""),"1TB HDD")</f>
        <v>1TB HDD</v>
      </c>
      <c r="J19" s="2" t="str">
        <f ca="1">IFERROR(__xludf.DUMMYFUNCTION("""COMPUTED_VALUE"""),"Nvidia GeForce 930MX")</f>
        <v>Nvidia GeForce 930MX</v>
      </c>
      <c r="K19" s="2" t="str">
        <f ca="1">IFERROR(__xludf.DUMMYFUNCTION("""COMPUTED_VALUE"""),"Windows 10")</f>
        <v>Windows 10</v>
      </c>
      <c r="L19" s="2" t="str">
        <f ca="1">IFERROR(__xludf.DUMMYFUNCTION("""COMPUTED_VALUE"""),"2.5kg")</f>
        <v>2.5kg</v>
      </c>
      <c r="M19" s="2">
        <f ca="1">IFERROR(__xludf.DUMMYFUNCTION("""COMPUTED_VALUE"""),896)</f>
        <v>896</v>
      </c>
    </row>
    <row r="20" spans="1:13">
      <c r="A20" s="2">
        <f ca="1">IFERROR(__xludf.DUMMYFUNCTION("""COMPUTED_VALUE"""),35)</f>
        <v>35</v>
      </c>
      <c r="B20" s="2" t="str">
        <f ca="1">IFERROR(__xludf.DUMMYFUNCTION("""COMPUTED_VALUE"""),"Apple")</f>
        <v>Apple</v>
      </c>
      <c r="C20" s="2" t="str">
        <f ca="1">IFERROR(__xludf.DUMMYFUNCTION("""COMPUTED_VALUE"""),"MacBook Air")</f>
        <v>MacBook Air</v>
      </c>
      <c r="D20" s="2" t="str">
        <f ca="1">IFERROR(__xludf.DUMMYFUNCTION("""COMPUTED_VALUE"""),"Ultrabook")</f>
        <v>Ultrabook</v>
      </c>
      <c r="E20" s="2">
        <f ca="1">IFERROR(__xludf.DUMMYFUNCTION("""COMPUTED_VALUE"""),13.3)</f>
        <v>13.3</v>
      </c>
      <c r="F20" s="2" t="str">
        <f ca="1">IFERROR(__xludf.DUMMYFUNCTION("""COMPUTED_VALUE"""),"1440x900")</f>
        <v>1440x900</v>
      </c>
      <c r="G20" s="2" t="str">
        <f ca="1">IFERROR(__xludf.DUMMYFUNCTION("""COMPUTED_VALUE"""),"Intel Core i5 1.6GHz")</f>
        <v>Intel Core i5 1.6GHz</v>
      </c>
      <c r="H20" s="2" t="str">
        <f ca="1">IFERROR(__xludf.DUMMYFUNCTION("""COMPUTED_VALUE"""),"8GB")</f>
        <v>8GB</v>
      </c>
      <c r="I20" s="2" t="str">
        <f ca="1">IFERROR(__xludf.DUMMYFUNCTION("""COMPUTED_VALUE"""),"256GB Flash Storage")</f>
        <v>256GB Flash Storage</v>
      </c>
      <c r="J20" s="2" t="str">
        <f ca="1">IFERROR(__xludf.DUMMYFUNCTION("""COMPUTED_VALUE"""),"Intel HD Graphics 6000")</f>
        <v>Intel HD Graphics 6000</v>
      </c>
      <c r="K20" s="2" t="str">
        <f ca="1">IFERROR(__xludf.DUMMYFUNCTION("""COMPUTED_VALUE"""),"Mac OS X")</f>
        <v>Mac OS X</v>
      </c>
      <c r="L20" s="2" t="str">
        <f ca="1">IFERROR(__xludf.DUMMYFUNCTION("""COMPUTED_VALUE"""),"1.35kg")</f>
        <v>1.35kg</v>
      </c>
      <c r="M20" s="2">
        <f ca="1">IFERROR(__xludf.DUMMYFUNCTION("""COMPUTED_VALUE"""),998)</f>
        <v>998</v>
      </c>
    </row>
    <row r="21" spans="1:13">
      <c r="A21" s="2">
        <f ca="1">IFERROR(__xludf.DUMMYFUNCTION("""COMPUTED_VALUE"""),38)</f>
        <v>38</v>
      </c>
      <c r="B21" s="2" t="str">
        <f ca="1">IFERROR(__xludf.DUMMYFUNCTION("""COMPUTED_VALUE"""),"Dell")</f>
        <v>Dell</v>
      </c>
      <c r="C21" s="2" t="str">
        <f ca="1">IFERROR(__xludf.DUMMYFUNCTION("""COMPUTED_VALUE"""),"Inspiron 5770")</f>
        <v>Inspiron 5770</v>
      </c>
      <c r="D21" s="2" t="str">
        <f ca="1">IFERROR(__xludf.DUMMYFUNCTION("""COMPUTED_VALUE"""),"Notebook")</f>
        <v>Notebook</v>
      </c>
      <c r="E21" s="2">
        <f ca="1">IFERROR(__xludf.DUMMYFUNCTION("""COMPUTED_VALUE"""),17.3)</f>
        <v>17.3</v>
      </c>
      <c r="F21" s="2" t="str">
        <f ca="1">IFERROR(__xludf.DUMMYFUNCTION("""COMPUTED_VALUE"""),"IPS Panel Full HD 1920x1080")</f>
        <v>IPS Panel Full HD 1920x1080</v>
      </c>
      <c r="G21" s="2" t="str">
        <f ca="1">IFERROR(__xludf.DUMMYFUNCTION("""COMPUTED_VALUE"""),"Intel Core i5 8250U 1.6GHz")</f>
        <v>Intel Core i5 8250U 1.6GHz</v>
      </c>
      <c r="H21" s="2" t="str">
        <f ca="1">IFERROR(__xludf.DUMMYFUNCTION("""COMPUTED_VALUE"""),"8GB")</f>
        <v>8GB</v>
      </c>
      <c r="I21" s="2" t="str">
        <f ca="1">IFERROR(__xludf.DUMMYFUNCTION("""COMPUTED_VALUE"""),"128GB SSD +  1TB HDD")</f>
        <v>128GB SSD +  1TB HDD</v>
      </c>
      <c r="J21" s="2" t="str">
        <f ca="1">IFERROR(__xludf.DUMMYFUNCTION("""COMPUTED_VALUE"""),"AMD Radeon 530")</f>
        <v>AMD Radeon 530</v>
      </c>
      <c r="K21" s="2" t="str">
        <f ca="1">IFERROR(__xludf.DUMMYFUNCTION("""COMPUTED_VALUE"""),"Windows 10")</f>
        <v>Windows 10</v>
      </c>
      <c r="L21" s="2" t="str">
        <f ca="1">IFERROR(__xludf.DUMMYFUNCTION("""COMPUTED_VALUE"""),"2.8kg")</f>
        <v>2.8kg</v>
      </c>
      <c r="M21" s="2">
        <f ca="1">IFERROR(__xludf.DUMMYFUNCTION("""COMPUTED_VALUE"""),979)</f>
        <v>979</v>
      </c>
    </row>
    <row r="22" spans="1:13">
      <c r="A22" s="2">
        <f ca="1">IFERROR(__xludf.DUMMYFUNCTION("""COMPUTED_VALUE"""),40)</f>
        <v>40</v>
      </c>
      <c r="B22" s="2" t="str">
        <f ca="1">IFERROR(__xludf.DUMMYFUNCTION("""COMPUTED_VALUE"""),"HP")</f>
        <v>HP</v>
      </c>
      <c r="C22" s="2" t="str">
        <f ca="1">IFERROR(__xludf.DUMMYFUNCTION("""COMPUTED_VALUE"""),"ProBook 450")</f>
        <v>ProBook 450</v>
      </c>
      <c r="D22" s="2" t="str">
        <f ca="1">IFERROR(__xludf.DUMMYFUNCTION("""COMPUTED_VALUE"""),"Notebook")</f>
        <v>Notebook</v>
      </c>
      <c r="E22" s="2">
        <f ca="1">IFERROR(__xludf.DUMMYFUNCTION("""COMPUTED_VALUE"""),15.6)</f>
        <v>15.6</v>
      </c>
      <c r="F22" s="2" t="str">
        <f ca="1">IFERROR(__xludf.DUMMYFUNCTION("""COMPUTED_VALUE"""),"Full HD 1920x1080")</f>
        <v>Full HD 1920x1080</v>
      </c>
      <c r="G22" s="2" t="str">
        <f ca="1">IFERROR(__xludf.DUMMYFUNCTION("""COMPUTED_VALUE"""),"Intel Core i5 8250U 1.6GHz")</f>
        <v>Intel Core i5 8250U 1.6GHz</v>
      </c>
      <c r="H22" s="2" t="str">
        <f ca="1">IFERROR(__xludf.DUMMYFUNCTION("""COMPUTED_VALUE"""),"8GB")</f>
        <v>8GB</v>
      </c>
      <c r="I22" s="2" t="str">
        <f ca="1">IFERROR(__xludf.DUMMYFUNCTION("""COMPUTED_VALUE"""),"256GB SSD")</f>
        <v>256GB SSD</v>
      </c>
      <c r="J22" s="2" t="str">
        <f ca="1">IFERROR(__xludf.DUMMYFUNCTION("""COMPUTED_VALUE"""),"Nvidia GeForce 930MX ")</f>
        <v xml:space="preserve">Nvidia GeForce 930MX </v>
      </c>
      <c r="K22" s="2" t="str">
        <f ca="1">IFERROR(__xludf.DUMMYFUNCTION("""COMPUTED_VALUE"""),"Windows 10")</f>
        <v>Windows 10</v>
      </c>
      <c r="L22" s="2" t="str">
        <f ca="1">IFERROR(__xludf.DUMMYFUNCTION("""COMPUTED_VALUE"""),"2.1kg")</f>
        <v>2.1kg</v>
      </c>
      <c r="M22" s="2">
        <f ca="1">IFERROR(__xludf.DUMMYFUNCTION("""COMPUTED_VALUE"""),879)</f>
        <v>879</v>
      </c>
    </row>
    <row r="23" spans="1:13">
      <c r="A23" s="2">
        <f ca="1">IFERROR(__xludf.DUMMYFUNCTION("""COMPUTED_VALUE"""),43)</f>
        <v>43</v>
      </c>
      <c r="B23" s="2" t="str">
        <f ca="1">IFERROR(__xludf.DUMMYFUNCTION("""COMPUTED_VALUE"""),"Asus")</f>
        <v>Asus</v>
      </c>
      <c r="C23" s="2" t="str">
        <f ca="1">IFERROR(__xludf.DUMMYFUNCTION("""COMPUTED_VALUE"""),"X542UQ-GO005 (i5-7200U/8GB/1TB/GeForce")</f>
        <v>X542UQ-GO005 (i5-7200U/8GB/1TB/GeForce</v>
      </c>
      <c r="D23" s="2" t="str">
        <f ca="1">IFERROR(__xludf.DUMMYFUNCTION("""COMPUTED_VALUE"""),"Notebook")</f>
        <v>Notebook</v>
      </c>
      <c r="E23" s="2">
        <f ca="1">IFERROR(__xludf.DUMMYFUNCTION("""COMPUTED_VALUE"""),15.6)</f>
        <v>15.6</v>
      </c>
      <c r="F23" s="2" t="str">
        <f ca="1">IFERROR(__xludf.DUMMYFUNCTION("""COMPUTED_VALUE"""),"1366x768")</f>
        <v>1366x768</v>
      </c>
      <c r="G23" s="2" t="str">
        <f ca="1">IFERROR(__xludf.DUMMYFUNCTION("""COMPUTED_VALUE"""),"Intel Core i5 7200U 2.5GHz")</f>
        <v>Intel Core i5 7200U 2.5GHz</v>
      </c>
      <c r="H23" s="2" t="str">
        <f ca="1">IFERROR(__xludf.DUMMYFUNCTION("""COMPUTED_VALUE"""),"8GB")</f>
        <v>8GB</v>
      </c>
      <c r="I23" s="2" t="str">
        <f ca="1">IFERROR(__xludf.DUMMYFUNCTION("""COMPUTED_VALUE"""),"1TB HDD")</f>
        <v>1TB HDD</v>
      </c>
      <c r="J23" s="2" t="str">
        <f ca="1">IFERROR(__xludf.DUMMYFUNCTION("""COMPUTED_VALUE"""),"Nvidia GeForce 940MX")</f>
        <v>Nvidia GeForce 940MX</v>
      </c>
      <c r="K23" s="2" t="str">
        <f ca="1">IFERROR(__xludf.DUMMYFUNCTION("""COMPUTED_VALUE"""),"Linux")</f>
        <v>Linux</v>
      </c>
      <c r="L23" s="2" t="str">
        <f ca="1">IFERROR(__xludf.DUMMYFUNCTION("""COMPUTED_VALUE"""),"2.3kg")</f>
        <v>2.3kg</v>
      </c>
      <c r="M23" s="2">
        <f ca="1">IFERROR(__xludf.DUMMYFUNCTION("""COMPUTED_VALUE"""),522.99)</f>
        <v>522.99</v>
      </c>
    </row>
    <row r="24" spans="1:13">
      <c r="A24" s="2">
        <f ca="1">IFERROR(__xludf.DUMMYFUNCTION("""COMPUTED_VALUE"""),46)</f>
        <v>46</v>
      </c>
      <c r="B24" s="2" t="str">
        <f ca="1">IFERROR(__xludf.DUMMYFUNCTION("""COMPUTED_VALUE"""),"Apple")</f>
        <v>Apple</v>
      </c>
      <c r="C24" s="2" t="str">
        <f ca="1">IFERROR(__xludf.DUMMYFUNCTION("""COMPUTED_VALUE"""),"MacBook Pro")</f>
        <v>MacBook Pro</v>
      </c>
      <c r="D24" s="2" t="str">
        <f ca="1">IFERROR(__xludf.DUMMYFUNCTION("""COMPUTED_VALUE"""),"Ultrabook")</f>
        <v>Ultrabook</v>
      </c>
      <c r="E24" s="2">
        <f ca="1">IFERROR(__xludf.DUMMYFUNCTION("""COMPUTED_VALUE"""),13.3)</f>
        <v>13.3</v>
      </c>
      <c r="F24" s="2" t="str">
        <f ca="1">IFERROR(__xludf.DUMMYFUNCTION("""COMPUTED_VALUE"""),"IPS Panel Retina Display 2560x1600")</f>
        <v>IPS Panel Retina Display 2560x1600</v>
      </c>
      <c r="G24" s="2" t="str">
        <f ca="1">IFERROR(__xludf.DUMMYFUNCTION("""COMPUTED_VALUE"""),"Intel Core i5 2.0GHz")</f>
        <v>Intel Core i5 2.0GHz</v>
      </c>
      <c r="H24" s="2" t="str">
        <f ca="1">IFERROR(__xludf.DUMMYFUNCTION("""COMPUTED_VALUE"""),"8GB")</f>
        <v>8GB</v>
      </c>
      <c r="I24" s="2" t="str">
        <f ca="1">IFERROR(__xludf.DUMMYFUNCTION("""COMPUTED_VALUE"""),"256GB SSD")</f>
        <v>256GB SSD</v>
      </c>
      <c r="J24" s="2" t="str">
        <f ca="1">IFERROR(__xludf.DUMMYFUNCTION("""COMPUTED_VALUE"""),"Intel Iris Graphics 540")</f>
        <v>Intel Iris Graphics 540</v>
      </c>
      <c r="K24" s="2" t="str">
        <f ca="1">IFERROR(__xludf.DUMMYFUNCTION("""COMPUTED_VALUE"""),"macOS")</f>
        <v>macOS</v>
      </c>
      <c r="L24" s="2" t="str">
        <f ca="1">IFERROR(__xludf.DUMMYFUNCTION("""COMPUTED_VALUE"""),"1.37kg")</f>
        <v>1.37kg</v>
      </c>
      <c r="M24" s="2">
        <f ca="1">IFERROR(__xludf.DUMMYFUNCTION("""COMPUTED_VALUE"""),1419)</f>
        <v>1419</v>
      </c>
    </row>
    <row r="25" spans="1:13">
      <c r="A25" s="2">
        <f ca="1">IFERROR(__xludf.DUMMYFUNCTION("""COMPUTED_VALUE"""),48)</f>
        <v>48</v>
      </c>
      <c r="B25" s="2" t="str">
        <f ca="1">IFERROR(__xludf.DUMMYFUNCTION("""COMPUTED_VALUE"""),"Asus")</f>
        <v>Asus</v>
      </c>
      <c r="C25" s="2" t="str">
        <f ca="1">IFERROR(__xludf.DUMMYFUNCTION("""COMPUTED_VALUE"""),"Rog Strix")</f>
        <v>Rog Strix</v>
      </c>
      <c r="D25" s="2" t="str">
        <f ca="1">IFERROR(__xludf.DUMMYFUNCTION("""COMPUTED_VALUE"""),"Gaming")</f>
        <v>Gaming</v>
      </c>
      <c r="E25" s="2">
        <f ca="1">IFERROR(__xludf.DUMMYFUNCTION("""COMPUTED_VALUE"""),17.3)</f>
        <v>17.3</v>
      </c>
      <c r="F25" s="2" t="str">
        <f ca="1">IFERROR(__xludf.DUMMYFUNCTION("""COMPUTED_VALUE"""),"Full HD 1920x1080")</f>
        <v>Full HD 1920x1080</v>
      </c>
      <c r="G25" s="2" t="str">
        <f ca="1">IFERROR(__xludf.DUMMYFUNCTION("""COMPUTED_VALUE"""),"AMD Ryzen 1700 3GHz")</f>
        <v>AMD Ryzen 1700 3GHz</v>
      </c>
      <c r="H25" s="2" t="str">
        <f ca="1">IFERROR(__xludf.DUMMYFUNCTION("""COMPUTED_VALUE"""),"8GB")</f>
        <v>8GB</v>
      </c>
      <c r="I25" s="2" t="str">
        <f ca="1">IFERROR(__xludf.DUMMYFUNCTION("""COMPUTED_VALUE"""),"256GB SSD +  1TB HDD")</f>
        <v>256GB SSD +  1TB HDD</v>
      </c>
      <c r="J25" s="2" t="str">
        <f ca="1">IFERROR(__xludf.DUMMYFUNCTION("""COMPUTED_VALUE"""),"AMD Radeon RX 580")</f>
        <v>AMD Radeon RX 580</v>
      </c>
      <c r="K25" s="2" t="str">
        <f ca="1">IFERROR(__xludf.DUMMYFUNCTION("""COMPUTED_VALUE"""),"Windows 10")</f>
        <v>Windows 10</v>
      </c>
      <c r="L25" s="2" t="str">
        <f ca="1">IFERROR(__xludf.DUMMYFUNCTION("""COMPUTED_VALUE"""),"3.2kg")</f>
        <v>3.2kg</v>
      </c>
      <c r="M25" s="2">
        <f ca="1">IFERROR(__xludf.DUMMYFUNCTION("""COMPUTED_VALUE"""),1299)</f>
        <v>1299</v>
      </c>
    </row>
    <row r="26" spans="1:13">
      <c r="A26" s="2">
        <f ca="1">IFERROR(__xludf.DUMMYFUNCTION("""COMPUTED_VALUE"""),52)</f>
        <v>52</v>
      </c>
      <c r="B26" s="2" t="str">
        <f ca="1">IFERROR(__xludf.DUMMYFUNCTION("""COMPUTED_VALUE"""),"Acer")</f>
        <v>Acer</v>
      </c>
      <c r="C26" s="2" t="str">
        <f ca="1">IFERROR(__xludf.DUMMYFUNCTION("""COMPUTED_VALUE"""),"Aspire A515-51G")</f>
        <v>Aspire A515-51G</v>
      </c>
      <c r="D26" s="2" t="str">
        <f ca="1">IFERROR(__xludf.DUMMYFUNCTION("""COMPUTED_VALUE"""),"Notebook")</f>
        <v>Notebook</v>
      </c>
      <c r="E26" s="2">
        <f ca="1">IFERROR(__xludf.DUMMYFUNCTION("""COMPUTED_VALUE"""),15.6)</f>
        <v>15.6</v>
      </c>
      <c r="F26" s="2" t="str">
        <f ca="1">IFERROR(__xludf.DUMMYFUNCTION("""COMPUTED_VALUE"""),"IPS Panel Full HD 1920x1080")</f>
        <v>IPS Panel Full HD 1920x1080</v>
      </c>
      <c r="G26" s="2" t="str">
        <f ca="1">IFERROR(__xludf.DUMMYFUNCTION("""COMPUTED_VALUE"""),"Intel Core i7 8550U 1.8GHz")</f>
        <v>Intel Core i7 8550U 1.8GHz</v>
      </c>
      <c r="H26" s="2" t="str">
        <f ca="1">IFERROR(__xludf.DUMMYFUNCTION("""COMPUTED_VALUE"""),"8GB")</f>
        <v>8GB</v>
      </c>
      <c r="I26" s="2" t="str">
        <f ca="1">IFERROR(__xludf.DUMMYFUNCTION("""COMPUTED_VALUE"""),"256GB SSD")</f>
        <v>256GB SSD</v>
      </c>
      <c r="J26" s="2" t="str">
        <f ca="1">IFERROR(__xludf.DUMMYFUNCTION("""COMPUTED_VALUE"""),"Nvidia GeForce MX150")</f>
        <v>Nvidia GeForce MX150</v>
      </c>
      <c r="K26" s="2" t="str">
        <f ca="1">IFERROR(__xludf.DUMMYFUNCTION("""COMPUTED_VALUE"""),"Windows 10")</f>
        <v>Windows 10</v>
      </c>
      <c r="L26" s="2" t="str">
        <f ca="1">IFERROR(__xludf.DUMMYFUNCTION("""COMPUTED_VALUE"""),"2.2kg")</f>
        <v>2.2kg</v>
      </c>
      <c r="M26" s="2">
        <f ca="1">IFERROR(__xludf.DUMMYFUNCTION("""COMPUTED_VALUE"""),841)</f>
        <v>841</v>
      </c>
    </row>
    <row r="27" spans="1:13">
      <c r="A27" s="2">
        <f ca="1">IFERROR(__xludf.DUMMYFUNCTION("""COMPUTED_VALUE"""),54)</f>
        <v>54</v>
      </c>
      <c r="B27" s="2" t="str">
        <f ca="1">IFERROR(__xludf.DUMMYFUNCTION("""COMPUTED_VALUE"""),"HP")</f>
        <v>HP</v>
      </c>
      <c r="C27" s="2" t="str">
        <f ca="1">IFERROR(__xludf.DUMMYFUNCTION("""COMPUTED_VALUE"""),"ProBook 430")</f>
        <v>ProBook 430</v>
      </c>
      <c r="D27" s="2" t="str">
        <f ca="1">IFERROR(__xludf.DUMMYFUNCTION("""COMPUTED_VALUE"""),"Notebook")</f>
        <v>Notebook</v>
      </c>
      <c r="E27" s="2">
        <f ca="1">IFERROR(__xludf.DUMMYFUNCTION("""COMPUTED_VALUE"""),13.3)</f>
        <v>13.3</v>
      </c>
      <c r="F27" s="2" t="str">
        <f ca="1">IFERROR(__xludf.DUMMYFUNCTION("""COMPUTED_VALUE"""),"Full HD 1920x1080")</f>
        <v>Full HD 1920x1080</v>
      </c>
      <c r="G27" s="2" t="str">
        <f ca="1">IFERROR(__xludf.DUMMYFUNCTION("""COMPUTED_VALUE"""),"Intel Core i7 8550U 1.8GHz")</f>
        <v>Intel Core i7 8550U 1.8GHz</v>
      </c>
      <c r="H27" s="2" t="str">
        <f ca="1">IFERROR(__xludf.DUMMYFUNCTION("""COMPUTED_VALUE"""),"8GB")</f>
        <v>8GB</v>
      </c>
      <c r="I27" s="2" t="str">
        <f ca="1">IFERROR(__xludf.DUMMYFUNCTION("""COMPUTED_VALUE"""),"512GB SSD")</f>
        <v>512GB SSD</v>
      </c>
      <c r="J27" s="2" t="str">
        <f ca="1">IFERROR(__xludf.DUMMYFUNCTION("""COMPUTED_VALUE"""),"Intel UHD Graphics 620")</f>
        <v>Intel UHD Graphics 620</v>
      </c>
      <c r="K27" s="2" t="str">
        <f ca="1">IFERROR(__xludf.DUMMYFUNCTION("""COMPUTED_VALUE"""),"Windows 10")</f>
        <v>Windows 10</v>
      </c>
      <c r="L27" s="2" t="str">
        <f ca="1">IFERROR(__xludf.DUMMYFUNCTION("""COMPUTED_VALUE"""),"1.49kg")</f>
        <v>1.49kg</v>
      </c>
      <c r="M27" s="2">
        <f ca="1">IFERROR(__xludf.DUMMYFUNCTION("""COMPUTED_VALUE"""),1103)</f>
        <v>1103</v>
      </c>
    </row>
    <row r="28" spans="1:13">
      <c r="A28" s="2">
        <f ca="1">IFERROR(__xludf.DUMMYFUNCTION("""COMPUTED_VALUE"""),56)</f>
        <v>56</v>
      </c>
      <c r="B28" s="2" t="str">
        <f ca="1">IFERROR(__xludf.DUMMYFUNCTION("""COMPUTED_VALUE"""),"Dell")</f>
        <v>Dell</v>
      </c>
      <c r="C28" s="2" t="str">
        <f ca="1">IFERROR(__xludf.DUMMYFUNCTION("""COMPUTED_VALUE"""),"Inspiron 3576")</f>
        <v>Inspiron 3576</v>
      </c>
      <c r="D28" s="2" t="str">
        <f ca="1">IFERROR(__xludf.DUMMYFUNCTION("""COMPUTED_VALUE"""),"Notebook")</f>
        <v>Notebook</v>
      </c>
      <c r="E28" s="2">
        <f ca="1">IFERROR(__xludf.DUMMYFUNCTION("""COMPUTED_VALUE"""),15.6)</f>
        <v>15.6</v>
      </c>
      <c r="F28" s="2" t="str">
        <f ca="1">IFERROR(__xludf.DUMMYFUNCTION("""COMPUTED_VALUE"""),"Full HD 1920x1080")</f>
        <v>Full HD 1920x1080</v>
      </c>
      <c r="G28" s="2" t="str">
        <f ca="1">IFERROR(__xludf.DUMMYFUNCTION("""COMPUTED_VALUE"""),"Intel Core i7 8550U 1.8GHz")</f>
        <v>Intel Core i7 8550U 1.8GHz</v>
      </c>
      <c r="H28" s="2" t="str">
        <f ca="1">IFERROR(__xludf.DUMMYFUNCTION("""COMPUTED_VALUE"""),"8GB")</f>
        <v>8GB</v>
      </c>
      <c r="I28" s="2" t="str">
        <f ca="1">IFERROR(__xludf.DUMMYFUNCTION("""COMPUTED_VALUE"""),"256GB SSD")</f>
        <v>256GB SSD</v>
      </c>
      <c r="J28" s="2" t="str">
        <f ca="1">IFERROR(__xludf.DUMMYFUNCTION("""COMPUTED_VALUE"""),"AMD Radeon 520")</f>
        <v>AMD Radeon 520</v>
      </c>
      <c r="K28" s="2" t="str">
        <f ca="1">IFERROR(__xludf.DUMMYFUNCTION("""COMPUTED_VALUE"""),"Windows 10")</f>
        <v>Windows 10</v>
      </c>
      <c r="L28" s="2" t="str">
        <f ca="1">IFERROR(__xludf.DUMMYFUNCTION("""COMPUTED_VALUE"""),"2.13kg")</f>
        <v>2.13kg</v>
      </c>
      <c r="M28" s="2">
        <f ca="1">IFERROR(__xludf.DUMMYFUNCTION("""COMPUTED_VALUE"""),767.8)</f>
        <v>767.8</v>
      </c>
    </row>
    <row r="29" spans="1:13">
      <c r="A29" s="2">
        <f ca="1">IFERROR(__xludf.DUMMYFUNCTION("""COMPUTED_VALUE"""),62)</f>
        <v>62</v>
      </c>
      <c r="B29" s="2" t="str">
        <f ca="1">IFERROR(__xludf.DUMMYFUNCTION("""COMPUTED_VALUE"""),"Dell")</f>
        <v>Dell</v>
      </c>
      <c r="C29" s="2" t="str">
        <f ca="1">IFERROR(__xludf.DUMMYFUNCTION("""COMPUTED_VALUE"""),"Vostro 5471")</f>
        <v>Vostro 5471</v>
      </c>
      <c r="D29" s="2" t="str">
        <f ca="1">IFERROR(__xludf.DUMMYFUNCTION("""COMPUTED_VALUE"""),"Ultrabook")</f>
        <v>Ultrabook</v>
      </c>
      <c r="E29" s="2">
        <f ca="1">IFERROR(__xludf.DUMMYFUNCTION("""COMPUTED_VALUE"""),14)</f>
        <v>14</v>
      </c>
      <c r="F29" s="2" t="str">
        <f ca="1">IFERROR(__xludf.DUMMYFUNCTION("""COMPUTED_VALUE"""),"Full HD 1920x1080")</f>
        <v>Full HD 1920x1080</v>
      </c>
      <c r="G29" s="2" t="str">
        <f ca="1">IFERROR(__xludf.DUMMYFUNCTION("""COMPUTED_VALUE"""),"Intel Core i5 8250U 1.6GHz")</f>
        <v>Intel Core i5 8250U 1.6GHz</v>
      </c>
      <c r="H29" s="2" t="str">
        <f ca="1">IFERROR(__xludf.DUMMYFUNCTION("""COMPUTED_VALUE"""),"8GB")</f>
        <v>8GB</v>
      </c>
      <c r="I29" s="2" t="str">
        <f ca="1">IFERROR(__xludf.DUMMYFUNCTION("""COMPUTED_VALUE"""),"256GB SSD")</f>
        <v>256GB SSD</v>
      </c>
      <c r="J29" s="2" t="str">
        <f ca="1">IFERROR(__xludf.DUMMYFUNCTION("""COMPUTED_VALUE"""),"Intel UHD Graphics 620")</f>
        <v>Intel UHD Graphics 620</v>
      </c>
      <c r="K29" s="2" t="str">
        <f ca="1">IFERROR(__xludf.DUMMYFUNCTION("""COMPUTED_VALUE"""),"Windows 10")</f>
        <v>Windows 10</v>
      </c>
      <c r="L29" s="2" t="str">
        <f ca="1">IFERROR(__xludf.DUMMYFUNCTION("""COMPUTED_VALUE"""),"1.7kg")</f>
        <v>1.7kg</v>
      </c>
      <c r="M29" s="2">
        <f ca="1">IFERROR(__xludf.DUMMYFUNCTION("""COMPUTED_VALUE"""),879)</f>
        <v>879</v>
      </c>
    </row>
    <row r="30" spans="1:13">
      <c r="A30" s="2">
        <f ca="1">IFERROR(__xludf.DUMMYFUNCTION("""COMPUTED_VALUE"""),63)</f>
        <v>63</v>
      </c>
      <c r="B30" s="2" t="str">
        <f ca="1">IFERROR(__xludf.DUMMYFUNCTION("""COMPUTED_VALUE"""),"Lenovo")</f>
        <v>Lenovo</v>
      </c>
      <c r="C30" s="2" t="str">
        <f ca="1">IFERROR(__xludf.DUMMYFUNCTION("""COMPUTED_VALUE"""),"IdeaPad 520S-14IKB")</f>
        <v>IdeaPad 520S-14IKB</v>
      </c>
      <c r="D30" s="2" t="str">
        <f ca="1">IFERROR(__xludf.DUMMYFUNCTION("""COMPUTED_VALUE"""),"Notebook")</f>
        <v>Notebook</v>
      </c>
      <c r="E30" s="2">
        <f ca="1">IFERROR(__xludf.DUMMYFUNCTION("""COMPUTED_VALUE"""),14)</f>
        <v>14</v>
      </c>
      <c r="F30" s="2" t="str">
        <f ca="1">IFERROR(__xludf.DUMMYFUNCTION("""COMPUTED_VALUE"""),"IPS Panel Full HD 1920x1080")</f>
        <v>IPS Panel Full HD 1920x1080</v>
      </c>
      <c r="G30" s="2" t="str">
        <f ca="1">IFERROR(__xludf.DUMMYFUNCTION("""COMPUTED_VALUE"""),"Intel Core i3 7130U 2.7GHz")</f>
        <v>Intel Core i3 7130U 2.7GHz</v>
      </c>
      <c r="H30" s="2" t="str">
        <f ca="1">IFERROR(__xludf.DUMMYFUNCTION("""COMPUTED_VALUE"""),"8GB")</f>
        <v>8GB</v>
      </c>
      <c r="I30" s="2" t="str">
        <f ca="1">IFERROR(__xludf.DUMMYFUNCTION("""COMPUTED_VALUE"""),"256GB SSD")</f>
        <v>256GB SSD</v>
      </c>
      <c r="J30" s="2" t="str">
        <f ca="1">IFERROR(__xludf.DUMMYFUNCTION("""COMPUTED_VALUE"""),"Intel HD Graphics 620")</f>
        <v>Intel HD Graphics 620</v>
      </c>
      <c r="K30" s="2" t="str">
        <f ca="1">IFERROR(__xludf.DUMMYFUNCTION("""COMPUTED_VALUE"""),"No OS")</f>
        <v>No OS</v>
      </c>
      <c r="L30" s="2" t="str">
        <f ca="1">IFERROR(__xludf.DUMMYFUNCTION("""COMPUTED_VALUE"""),"1.7kg")</f>
        <v>1.7kg</v>
      </c>
      <c r="M30" s="2">
        <f ca="1">IFERROR(__xludf.DUMMYFUNCTION("""COMPUTED_VALUE"""),599)</f>
        <v>599</v>
      </c>
    </row>
    <row r="31" spans="1:13">
      <c r="A31" s="2">
        <f ca="1">IFERROR(__xludf.DUMMYFUNCTION("""COMPUTED_VALUE"""),64)</f>
        <v>64</v>
      </c>
      <c r="B31" s="2" t="str">
        <f ca="1">IFERROR(__xludf.DUMMYFUNCTION("""COMPUTED_VALUE"""),"Asus")</f>
        <v>Asus</v>
      </c>
      <c r="C31" s="2" t="str">
        <f ca="1">IFERROR(__xludf.DUMMYFUNCTION("""COMPUTED_VALUE"""),"UX410UA-GV350T (i5-8250U/8GB/256GB/FHD/W10)")</f>
        <v>UX410UA-GV350T (i5-8250U/8GB/256GB/FHD/W10)</v>
      </c>
      <c r="D31" s="2" t="str">
        <f ca="1">IFERROR(__xludf.DUMMYFUNCTION("""COMPUTED_VALUE"""),"Notebook")</f>
        <v>Notebook</v>
      </c>
      <c r="E31" s="2">
        <f ca="1">IFERROR(__xludf.DUMMYFUNCTION("""COMPUTED_VALUE"""),14)</f>
        <v>14</v>
      </c>
      <c r="F31" s="2" t="str">
        <f ca="1">IFERROR(__xludf.DUMMYFUNCTION("""COMPUTED_VALUE"""),"Full HD 1920x1080")</f>
        <v>Full HD 1920x1080</v>
      </c>
      <c r="G31" s="2" t="str">
        <f ca="1">IFERROR(__xludf.DUMMYFUNCTION("""COMPUTED_VALUE"""),"Intel Core i5 8250U 1.6GHz")</f>
        <v>Intel Core i5 8250U 1.6GHz</v>
      </c>
      <c r="H31" s="2" t="str">
        <f ca="1">IFERROR(__xludf.DUMMYFUNCTION("""COMPUTED_VALUE"""),"8GB")</f>
        <v>8GB</v>
      </c>
      <c r="I31" s="2" t="str">
        <f ca="1">IFERROR(__xludf.DUMMYFUNCTION("""COMPUTED_VALUE"""),"256GB SSD")</f>
        <v>256GB SSD</v>
      </c>
      <c r="J31" s="2" t="str">
        <f ca="1">IFERROR(__xludf.DUMMYFUNCTION("""COMPUTED_VALUE"""),"Intel UHD Graphics 620")</f>
        <v>Intel UHD Graphics 620</v>
      </c>
      <c r="K31" s="2" t="str">
        <f ca="1">IFERROR(__xludf.DUMMYFUNCTION("""COMPUTED_VALUE"""),"Windows 10")</f>
        <v>Windows 10</v>
      </c>
      <c r="L31" s="2" t="str">
        <f ca="1">IFERROR(__xludf.DUMMYFUNCTION("""COMPUTED_VALUE"""),"1.4kg")</f>
        <v>1.4kg</v>
      </c>
      <c r="M31" s="2">
        <f ca="1">IFERROR(__xludf.DUMMYFUNCTION("""COMPUTED_VALUE"""),941)</f>
        <v>941</v>
      </c>
    </row>
    <row r="32" spans="1:13">
      <c r="A32" s="2">
        <f ca="1">IFERROR(__xludf.DUMMYFUNCTION("""COMPUTED_VALUE"""),66)</f>
        <v>66</v>
      </c>
      <c r="B32" s="2" t="str">
        <f ca="1">IFERROR(__xludf.DUMMYFUNCTION("""COMPUTED_VALUE"""),"HP")</f>
        <v>HP</v>
      </c>
      <c r="C32" s="2" t="str">
        <f ca="1">IFERROR(__xludf.DUMMYFUNCTION("""COMPUTED_VALUE"""),"250 G6")</f>
        <v>250 G6</v>
      </c>
      <c r="D32" s="2" t="str">
        <f ca="1">IFERROR(__xludf.DUMMYFUNCTION("""COMPUTED_VALUE"""),"Notebook")</f>
        <v>Notebook</v>
      </c>
      <c r="E32" s="2">
        <f ca="1">IFERROR(__xludf.DUMMYFUNCTION("""COMPUTED_VALUE"""),15.6)</f>
        <v>15.6</v>
      </c>
      <c r="F32" s="2" t="str">
        <f ca="1">IFERROR(__xludf.DUMMYFUNCTION("""COMPUTED_VALUE"""),"Full HD 1920x1080")</f>
        <v>Full HD 1920x1080</v>
      </c>
      <c r="G32" s="2" t="str">
        <f ca="1">IFERROR(__xludf.DUMMYFUNCTION("""COMPUTED_VALUE"""),"Intel Core i5 7200U 2.5GHz")</f>
        <v>Intel Core i5 7200U 2.5GHz</v>
      </c>
      <c r="H32" s="2" t="str">
        <f ca="1">IFERROR(__xludf.DUMMYFUNCTION("""COMPUTED_VALUE"""),"8GB")</f>
        <v>8GB</v>
      </c>
      <c r="I32" s="2" t="str">
        <f ca="1">IFERROR(__xludf.DUMMYFUNCTION("""COMPUTED_VALUE"""),"256GB SSD")</f>
        <v>256GB SSD</v>
      </c>
      <c r="J32" s="2" t="str">
        <f ca="1">IFERROR(__xludf.DUMMYFUNCTION("""COMPUTED_VALUE"""),"Intel HD Graphics 620")</f>
        <v>Intel HD Graphics 620</v>
      </c>
      <c r="K32" s="2" t="str">
        <f ca="1">IFERROR(__xludf.DUMMYFUNCTION("""COMPUTED_VALUE"""),"Windows 10")</f>
        <v>Windows 10</v>
      </c>
      <c r="L32" s="2" t="str">
        <f ca="1">IFERROR(__xludf.DUMMYFUNCTION("""COMPUTED_VALUE"""),"1.86kg")</f>
        <v>1.86kg</v>
      </c>
      <c r="M32" s="2">
        <f ca="1">IFERROR(__xludf.DUMMYFUNCTION("""COMPUTED_VALUE"""),690)</f>
        <v>690</v>
      </c>
    </row>
    <row r="33" spans="1:13">
      <c r="A33" s="2">
        <f ca="1">IFERROR(__xludf.DUMMYFUNCTION("""COMPUTED_VALUE"""),73)</f>
        <v>73</v>
      </c>
      <c r="B33" s="2" t="str">
        <f ca="1">IFERROR(__xludf.DUMMYFUNCTION("""COMPUTED_VALUE"""),"Dell")</f>
        <v>Dell</v>
      </c>
      <c r="C33" s="2" t="str">
        <f ca="1">IFERROR(__xludf.DUMMYFUNCTION("""COMPUTED_VALUE"""),"Inspiron 5370")</f>
        <v>Inspiron 5370</v>
      </c>
      <c r="D33" s="2" t="str">
        <f ca="1">IFERROR(__xludf.DUMMYFUNCTION("""COMPUTED_VALUE"""),"Ultrabook")</f>
        <v>Ultrabook</v>
      </c>
      <c r="E33" s="2">
        <f ca="1">IFERROR(__xludf.DUMMYFUNCTION("""COMPUTED_VALUE"""),13.3)</f>
        <v>13.3</v>
      </c>
      <c r="F33" s="2" t="str">
        <f ca="1">IFERROR(__xludf.DUMMYFUNCTION("""COMPUTED_VALUE"""),"IPS Panel Full HD 1920x1080")</f>
        <v>IPS Panel Full HD 1920x1080</v>
      </c>
      <c r="G33" s="2" t="str">
        <f ca="1">IFERROR(__xludf.DUMMYFUNCTION("""COMPUTED_VALUE"""),"Intel Core i7 8550U 1.8GHz")</f>
        <v>Intel Core i7 8550U 1.8GHz</v>
      </c>
      <c r="H33" s="2" t="str">
        <f ca="1">IFERROR(__xludf.DUMMYFUNCTION("""COMPUTED_VALUE"""),"8GB")</f>
        <v>8GB</v>
      </c>
      <c r="I33" s="2" t="str">
        <f ca="1">IFERROR(__xludf.DUMMYFUNCTION("""COMPUTED_VALUE"""),"256GB SSD")</f>
        <v>256GB SSD</v>
      </c>
      <c r="J33" s="2" t="str">
        <f ca="1">IFERROR(__xludf.DUMMYFUNCTION("""COMPUTED_VALUE"""),"AMD Radeon 530")</f>
        <v>AMD Radeon 530</v>
      </c>
      <c r="K33" s="2" t="str">
        <f ca="1">IFERROR(__xludf.DUMMYFUNCTION("""COMPUTED_VALUE"""),"Windows 10")</f>
        <v>Windows 10</v>
      </c>
      <c r="L33" s="2" t="str">
        <f ca="1">IFERROR(__xludf.DUMMYFUNCTION("""COMPUTED_VALUE"""),"1.4kg")</f>
        <v>1.4kg</v>
      </c>
      <c r="M33" s="2">
        <f ca="1">IFERROR(__xludf.DUMMYFUNCTION("""COMPUTED_VALUE"""),955)</f>
        <v>955</v>
      </c>
    </row>
    <row r="34" spans="1:13">
      <c r="A34" s="2">
        <f ca="1">IFERROR(__xludf.DUMMYFUNCTION("""COMPUTED_VALUE"""),74)</f>
        <v>74</v>
      </c>
      <c r="B34" s="2" t="str">
        <f ca="1">IFERROR(__xludf.DUMMYFUNCTION("""COMPUTED_VALUE"""),"Dell")</f>
        <v>Dell</v>
      </c>
      <c r="C34" s="2" t="str">
        <f ca="1">IFERROR(__xludf.DUMMYFUNCTION("""COMPUTED_VALUE"""),"Inspiron 5570")</f>
        <v>Inspiron 5570</v>
      </c>
      <c r="D34" s="2" t="str">
        <f ca="1">IFERROR(__xludf.DUMMYFUNCTION("""COMPUTED_VALUE"""),"Notebook")</f>
        <v>Notebook</v>
      </c>
      <c r="E34" s="2">
        <f ca="1">IFERROR(__xludf.DUMMYFUNCTION("""COMPUTED_VALUE"""),15.6)</f>
        <v>15.6</v>
      </c>
      <c r="F34" s="2" t="str">
        <f ca="1">IFERROR(__xludf.DUMMYFUNCTION("""COMPUTED_VALUE"""),"Full HD 1920x1080")</f>
        <v>Full HD 1920x1080</v>
      </c>
      <c r="G34" s="2" t="str">
        <f ca="1">IFERROR(__xludf.DUMMYFUNCTION("""COMPUTED_VALUE"""),"Intel Core i7 8550U 1.8GHz")</f>
        <v>Intel Core i7 8550U 1.8GHz</v>
      </c>
      <c r="H34" s="2" t="str">
        <f ca="1">IFERROR(__xludf.DUMMYFUNCTION("""COMPUTED_VALUE"""),"8GB")</f>
        <v>8GB</v>
      </c>
      <c r="I34" s="2" t="str">
        <f ca="1">IFERROR(__xludf.DUMMYFUNCTION("""COMPUTED_VALUE"""),"256GB SSD")</f>
        <v>256GB SSD</v>
      </c>
      <c r="J34" s="2" t="str">
        <f ca="1">IFERROR(__xludf.DUMMYFUNCTION("""COMPUTED_VALUE"""),"AMD Radeon 530")</f>
        <v>AMD Radeon 530</v>
      </c>
      <c r="K34" s="2" t="str">
        <f ca="1">IFERROR(__xludf.DUMMYFUNCTION("""COMPUTED_VALUE"""),"Windows 10")</f>
        <v>Windows 10</v>
      </c>
      <c r="L34" s="2" t="str">
        <f ca="1">IFERROR(__xludf.DUMMYFUNCTION("""COMPUTED_VALUE"""),"2.2kg")</f>
        <v>2.2kg</v>
      </c>
      <c r="M34" s="2">
        <f ca="1">IFERROR(__xludf.DUMMYFUNCTION("""COMPUTED_VALUE"""),870)</f>
        <v>870</v>
      </c>
    </row>
    <row r="35" spans="1:13">
      <c r="A35" s="2">
        <f ca="1">IFERROR(__xludf.DUMMYFUNCTION("""COMPUTED_VALUE"""),75)</f>
        <v>75</v>
      </c>
      <c r="B35" s="2" t="str">
        <f ca="1">IFERROR(__xludf.DUMMYFUNCTION("""COMPUTED_VALUE"""),"MSI")</f>
        <v>MSI</v>
      </c>
      <c r="C35" s="2" t="str">
        <f ca="1">IFERROR(__xludf.DUMMYFUNCTION("""COMPUTED_VALUE"""),"GL72M 7RDX")</f>
        <v>GL72M 7RDX</v>
      </c>
      <c r="D35" s="2" t="str">
        <f ca="1">IFERROR(__xludf.DUMMYFUNCTION("""COMPUTED_VALUE"""),"Gaming")</f>
        <v>Gaming</v>
      </c>
      <c r="E35" s="2">
        <f ca="1">IFERROR(__xludf.DUMMYFUNCTION("""COMPUTED_VALUE"""),17.3)</f>
        <v>17.3</v>
      </c>
      <c r="F35" s="2" t="str">
        <f ca="1">IFERROR(__xludf.DUMMYFUNCTION("""COMPUTED_VALUE"""),"Full HD 1920x1080")</f>
        <v>Full HD 1920x1080</v>
      </c>
      <c r="G35" s="2" t="str">
        <f ca="1">IFERROR(__xludf.DUMMYFUNCTION("""COMPUTED_VALUE"""),"Intel Core i5 7300HQ 2.5GHz")</f>
        <v>Intel Core i5 7300HQ 2.5GHz</v>
      </c>
      <c r="H35" s="2" t="str">
        <f ca="1">IFERROR(__xludf.DUMMYFUNCTION("""COMPUTED_VALUE"""),"8GB")</f>
        <v>8GB</v>
      </c>
      <c r="I35" s="2" t="str">
        <f ca="1">IFERROR(__xludf.DUMMYFUNCTION("""COMPUTED_VALUE"""),"128GB SSD +  1TB HDD")</f>
        <v>128GB SSD +  1TB HDD</v>
      </c>
      <c r="J35" s="2" t="str">
        <f ca="1">IFERROR(__xludf.DUMMYFUNCTION("""COMPUTED_VALUE"""),"Nvidia GeForce GTX 1050")</f>
        <v>Nvidia GeForce GTX 1050</v>
      </c>
      <c r="K35" s="2" t="str">
        <f ca="1">IFERROR(__xludf.DUMMYFUNCTION("""COMPUTED_VALUE"""),"Windows 10")</f>
        <v>Windows 10</v>
      </c>
      <c r="L35" s="2" t="str">
        <f ca="1">IFERROR(__xludf.DUMMYFUNCTION("""COMPUTED_VALUE"""),"2.7kg")</f>
        <v>2.7kg</v>
      </c>
      <c r="M35" s="2">
        <f ca="1">IFERROR(__xludf.DUMMYFUNCTION("""COMPUTED_VALUE"""),1095)</f>
        <v>1095</v>
      </c>
    </row>
    <row r="36" spans="1:13">
      <c r="A36" s="2">
        <f ca="1">IFERROR(__xludf.DUMMYFUNCTION("""COMPUTED_VALUE"""),76)</f>
        <v>76</v>
      </c>
      <c r="B36" s="2" t="str">
        <f ca="1">IFERROR(__xludf.DUMMYFUNCTION("""COMPUTED_VALUE"""),"Acer")</f>
        <v>Acer</v>
      </c>
      <c r="C36" s="2" t="str">
        <f ca="1">IFERROR(__xludf.DUMMYFUNCTION("""COMPUTED_VALUE"""),"Aspire E5-475")</f>
        <v>Aspire E5-475</v>
      </c>
      <c r="D36" s="2" t="str">
        <f ca="1">IFERROR(__xludf.DUMMYFUNCTION("""COMPUTED_VALUE"""),"Notebook")</f>
        <v>Notebook</v>
      </c>
      <c r="E36" s="2">
        <f ca="1">IFERROR(__xludf.DUMMYFUNCTION("""COMPUTED_VALUE"""),14)</f>
        <v>14</v>
      </c>
      <c r="F36" s="2" t="str">
        <f ca="1">IFERROR(__xludf.DUMMYFUNCTION("""COMPUTED_VALUE"""),"1366x768")</f>
        <v>1366x768</v>
      </c>
      <c r="G36" s="2" t="str">
        <f ca="1">IFERROR(__xludf.DUMMYFUNCTION("""COMPUTED_VALUE"""),"Intel Core i3 6006U 2GHz")</f>
        <v>Intel Core i3 6006U 2GHz</v>
      </c>
      <c r="H36" s="2" t="str">
        <f ca="1">IFERROR(__xludf.DUMMYFUNCTION("""COMPUTED_VALUE"""),"8GB")</f>
        <v>8GB</v>
      </c>
      <c r="I36" s="2" t="str">
        <f ca="1">IFERROR(__xludf.DUMMYFUNCTION("""COMPUTED_VALUE"""),"1TB HDD")</f>
        <v>1TB HDD</v>
      </c>
      <c r="J36" s="2" t="str">
        <f ca="1">IFERROR(__xludf.DUMMYFUNCTION("""COMPUTED_VALUE"""),"Intel HD Graphics 520")</f>
        <v>Intel HD Graphics 520</v>
      </c>
      <c r="K36" s="2" t="str">
        <f ca="1">IFERROR(__xludf.DUMMYFUNCTION("""COMPUTED_VALUE"""),"Windows 10")</f>
        <v>Windows 10</v>
      </c>
      <c r="L36" s="2" t="str">
        <f ca="1">IFERROR(__xludf.DUMMYFUNCTION("""COMPUTED_VALUE"""),"2.1kg")</f>
        <v>2.1kg</v>
      </c>
      <c r="M36" s="2">
        <f ca="1">IFERROR(__xludf.DUMMYFUNCTION("""COMPUTED_VALUE"""),389)</f>
        <v>389</v>
      </c>
    </row>
    <row r="37" spans="1:13">
      <c r="A37" s="2">
        <f ca="1">IFERROR(__xludf.DUMMYFUNCTION("""COMPUTED_VALUE"""),77)</f>
        <v>77</v>
      </c>
      <c r="B37" s="2" t="str">
        <f ca="1">IFERROR(__xludf.DUMMYFUNCTION("""COMPUTED_VALUE"""),"Asus")</f>
        <v>Asus</v>
      </c>
      <c r="C37" s="2" t="str">
        <f ca="1">IFERROR(__xludf.DUMMYFUNCTION("""COMPUTED_VALUE"""),"FX503VD-E4022T (i7-7700HQ/8GB/1TB/GeForce")</f>
        <v>FX503VD-E4022T (i7-7700HQ/8GB/1TB/GeForce</v>
      </c>
      <c r="D37" s="2" t="str">
        <f ca="1">IFERROR(__xludf.DUMMYFUNCTION("""COMPUTED_VALUE"""),"Gaming")</f>
        <v>Gaming</v>
      </c>
      <c r="E37" s="2">
        <f ca="1">IFERROR(__xludf.DUMMYFUNCTION("""COMPUTED_VALUE"""),15.6)</f>
        <v>15.6</v>
      </c>
      <c r="F37" s="2" t="str">
        <f ca="1">IFERROR(__xludf.DUMMYFUNCTION("""COMPUTED_VALUE"""),"Full HD 1920x1080")</f>
        <v>Full HD 1920x1080</v>
      </c>
      <c r="G37" s="2" t="str">
        <f ca="1">IFERROR(__xludf.DUMMYFUNCTION("""COMPUTED_VALUE"""),"Intel Core i7 7700HQ 2.8GHz")</f>
        <v>Intel Core i7 7700HQ 2.8GHz</v>
      </c>
      <c r="H37" s="2" t="str">
        <f ca="1">IFERROR(__xludf.DUMMYFUNCTION("""COMPUTED_VALUE"""),"8GB")</f>
        <v>8GB</v>
      </c>
      <c r="I37" s="2" t="str">
        <f ca="1">IFERROR(__xludf.DUMMYFUNCTION("""COMPUTED_VALUE"""),"1TB HDD")</f>
        <v>1TB HDD</v>
      </c>
      <c r="J37" s="2" t="str">
        <f ca="1">IFERROR(__xludf.DUMMYFUNCTION("""COMPUTED_VALUE"""),"Nvidia GeForce GTX 1050")</f>
        <v>Nvidia GeForce GTX 1050</v>
      </c>
      <c r="K37" s="2" t="str">
        <f ca="1">IFERROR(__xludf.DUMMYFUNCTION("""COMPUTED_VALUE"""),"Windows 10")</f>
        <v>Windows 10</v>
      </c>
      <c r="L37" s="2" t="str">
        <f ca="1">IFERROR(__xludf.DUMMYFUNCTION("""COMPUTED_VALUE"""),"2.2kg")</f>
        <v>2.2kg</v>
      </c>
      <c r="M37" s="2">
        <f ca="1">IFERROR(__xludf.DUMMYFUNCTION("""COMPUTED_VALUE"""),949)</f>
        <v>949</v>
      </c>
    </row>
    <row r="38" spans="1:13">
      <c r="A38" s="2">
        <f ca="1">IFERROR(__xludf.DUMMYFUNCTION("""COMPUTED_VALUE"""),78)</f>
        <v>78</v>
      </c>
      <c r="B38" s="2" t="str">
        <f ca="1">IFERROR(__xludf.DUMMYFUNCTION("""COMPUTED_VALUE"""),"Lenovo")</f>
        <v>Lenovo</v>
      </c>
      <c r="C38" s="2" t="str">
        <f ca="1">IFERROR(__xludf.DUMMYFUNCTION("""COMPUTED_VALUE"""),"IdeaPad 320-15IKBN")</f>
        <v>IdeaPad 320-15IKBN</v>
      </c>
      <c r="D38" s="2" t="str">
        <f ca="1">IFERROR(__xludf.DUMMYFUNCTION("""COMPUTED_VALUE"""),"Notebook")</f>
        <v>Notebook</v>
      </c>
      <c r="E38" s="2">
        <f ca="1">IFERROR(__xludf.DUMMYFUNCTION("""COMPUTED_VALUE"""),15.6)</f>
        <v>15.6</v>
      </c>
      <c r="F38" s="2" t="str">
        <f ca="1">IFERROR(__xludf.DUMMYFUNCTION("""COMPUTED_VALUE"""),"Full HD 1920x1080")</f>
        <v>Full HD 1920x1080</v>
      </c>
      <c r="G38" s="2" t="str">
        <f ca="1">IFERROR(__xludf.DUMMYFUNCTION("""COMPUTED_VALUE"""),"Intel Core i5 7200U 2.5GHz")</f>
        <v>Intel Core i5 7200U 2.5GHz</v>
      </c>
      <c r="H38" s="2" t="str">
        <f ca="1">IFERROR(__xludf.DUMMYFUNCTION("""COMPUTED_VALUE"""),"8GB")</f>
        <v>8GB</v>
      </c>
      <c r="I38" s="2" t="str">
        <f ca="1">IFERROR(__xludf.DUMMYFUNCTION("""COMPUTED_VALUE"""),"2TB HDD")</f>
        <v>2TB HDD</v>
      </c>
      <c r="J38" s="2" t="str">
        <f ca="1">IFERROR(__xludf.DUMMYFUNCTION("""COMPUTED_VALUE"""),"Intel HD Graphics 620")</f>
        <v>Intel HD Graphics 620</v>
      </c>
      <c r="K38" s="2" t="str">
        <f ca="1">IFERROR(__xludf.DUMMYFUNCTION("""COMPUTED_VALUE"""),"No OS")</f>
        <v>No OS</v>
      </c>
      <c r="L38" s="2" t="str">
        <f ca="1">IFERROR(__xludf.DUMMYFUNCTION("""COMPUTED_VALUE"""),"2.2kg")</f>
        <v>2.2kg</v>
      </c>
      <c r="M38" s="2">
        <f ca="1">IFERROR(__xludf.DUMMYFUNCTION("""COMPUTED_VALUE"""),519)</f>
        <v>519</v>
      </c>
    </row>
    <row r="39" spans="1:13">
      <c r="A39" s="2">
        <f ca="1">IFERROR(__xludf.DUMMYFUNCTION("""COMPUTED_VALUE"""),79)</f>
        <v>79</v>
      </c>
      <c r="B39" s="2" t="str">
        <f ca="1">IFERROR(__xludf.DUMMYFUNCTION("""COMPUTED_VALUE"""),"Dell")</f>
        <v>Dell</v>
      </c>
      <c r="C39" s="2" t="str">
        <f ca="1">IFERROR(__xludf.DUMMYFUNCTION("""COMPUTED_VALUE"""),"Inspiron 5570")</f>
        <v>Inspiron 5570</v>
      </c>
      <c r="D39" s="2" t="str">
        <f ca="1">IFERROR(__xludf.DUMMYFUNCTION("""COMPUTED_VALUE"""),"Notebook")</f>
        <v>Notebook</v>
      </c>
      <c r="E39" s="2">
        <f ca="1">IFERROR(__xludf.DUMMYFUNCTION("""COMPUTED_VALUE"""),15.6)</f>
        <v>15.6</v>
      </c>
      <c r="F39" s="2" t="str">
        <f ca="1">IFERROR(__xludf.DUMMYFUNCTION("""COMPUTED_VALUE"""),"Full HD 1920x1080")</f>
        <v>Full HD 1920x1080</v>
      </c>
      <c r="G39" s="2" t="str">
        <f ca="1">IFERROR(__xludf.DUMMYFUNCTION("""COMPUTED_VALUE"""),"Intel Core i7 8550U 1.8GHz")</f>
        <v>Intel Core i7 8550U 1.8GHz</v>
      </c>
      <c r="H39" s="2" t="str">
        <f ca="1">IFERROR(__xludf.DUMMYFUNCTION("""COMPUTED_VALUE"""),"8GB")</f>
        <v>8GB</v>
      </c>
      <c r="I39" s="2" t="str">
        <f ca="1">IFERROR(__xludf.DUMMYFUNCTION("""COMPUTED_VALUE"""),"128GB SSD +  1TB HDD")</f>
        <v>128GB SSD +  1TB HDD</v>
      </c>
      <c r="J39" s="2" t="str">
        <f ca="1">IFERROR(__xludf.DUMMYFUNCTION("""COMPUTED_VALUE"""),"Intel UHD Graphics 620")</f>
        <v>Intel UHD Graphics 620</v>
      </c>
      <c r="K39" s="2" t="str">
        <f ca="1">IFERROR(__xludf.DUMMYFUNCTION("""COMPUTED_VALUE"""),"Windows 10")</f>
        <v>Windows 10</v>
      </c>
      <c r="L39" s="2" t="str">
        <f ca="1">IFERROR(__xludf.DUMMYFUNCTION("""COMPUTED_VALUE"""),"2.02kg")</f>
        <v>2.02kg</v>
      </c>
      <c r="M39" s="2">
        <f ca="1">IFERROR(__xludf.DUMMYFUNCTION("""COMPUTED_VALUE"""),855)</f>
        <v>855</v>
      </c>
    </row>
    <row r="40" spans="1:13">
      <c r="A40" s="2">
        <f ca="1">IFERROR(__xludf.DUMMYFUNCTION("""COMPUTED_VALUE"""),81)</f>
        <v>81</v>
      </c>
      <c r="B40" s="2" t="str">
        <f ca="1">IFERROR(__xludf.DUMMYFUNCTION("""COMPUTED_VALUE"""),"HP")</f>
        <v>HP</v>
      </c>
      <c r="C40" s="2" t="str">
        <f ca="1">IFERROR(__xludf.DUMMYFUNCTION("""COMPUTED_VALUE"""),"ProBook 470")</f>
        <v>ProBook 470</v>
      </c>
      <c r="D40" s="2" t="str">
        <f ca="1">IFERROR(__xludf.DUMMYFUNCTION("""COMPUTED_VALUE"""),"Notebook")</f>
        <v>Notebook</v>
      </c>
      <c r="E40" s="2">
        <f ca="1">IFERROR(__xludf.DUMMYFUNCTION("""COMPUTED_VALUE"""),17.3)</f>
        <v>17.3</v>
      </c>
      <c r="F40" s="2" t="str">
        <f ca="1">IFERROR(__xludf.DUMMYFUNCTION("""COMPUTED_VALUE"""),"Full HD 1920x1080")</f>
        <v>Full HD 1920x1080</v>
      </c>
      <c r="G40" s="2" t="str">
        <f ca="1">IFERROR(__xludf.DUMMYFUNCTION("""COMPUTED_VALUE"""),"Intel Core i5 8250U 1.6GHz")</f>
        <v>Intel Core i5 8250U 1.6GHz</v>
      </c>
      <c r="H40" s="2" t="str">
        <f ca="1">IFERROR(__xludf.DUMMYFUNCTION("""COMPUTED_VALUE"""),"8GB")</f>
        <v>8GB</v>
      </c>
      <c r="I40" s="2" t="str">
        <f ca="1">IFERROR(__xludf.DUMMYFUNCTION("""COMPUTED_VALUE"""),"128GB SSD +  1TB HDD")</f>
        <v>128GB SSD +  1TB HDD</v>
      </c>
      <c r="J40" s="2" t="str">
        <f ca="1">IFERROR(__xludf.DUMMYFUNCTION("""COMPUTED_VALUE"""),"Nvidia GeForce 930MX")</f>
        <v>Nvidia GeForce 930MX</v>
      </c>
      <c r="K40" s="2" t="str">
        <f ca="1">IFERROR(__xludf.DUMMYFUNCTION("""COMPUTED_VALUE"""),"Windows 10")</f>
        <v>Windows 10</v>
      </c>
      <c r="L40" s="2" t="str">
        <f ca="1">IFERROR(__xludf.DUMMYFUNCTION("""COMPUTED_VALUE"""),"2.5kg")</f>
        <v>2.5kg</v>
      </c>
      <c r="M40" s="2">
        <f ca="1">IFERROR(__xludf.DUMMYFUNCTION("""COMPUTED_VALUE"""),977)</f>
        <v>977</v>
      </c>
    </row>
    <row r="41" spans="1:13">
      <c r="A41" s="2">
        <f ca="1">IFERROR(__xludf.DUMMYFUNCTION("""COMPUTED_VALUE"""),82)</f>
        <v>82</v>
      </c>
      <c r="B41" s="2" t="str">
        <f ca="1">IFERROR(__xludf.DUMMYFUNCTION("""COMPUTED_VALUE"""),"Dell")</f>
        <v>Dell</v>
      </c>
      <c r="C41" s="2" t="str">
        <f ca="1">IFERROR(__xludf.DUMMYFUNCTION("""COMPUTED_VALUE"""),"Latitude 5590")</f>
        <v>Latitude 5590</v>
      </c>
      <c r="D41" s="2" t="str">
        <f ca="1">IFERROR(__xludf.DUMMYFUNCTION("""COMPUTED_VALUE"""),"Ultrabook")</f>
        <v>Ultrabook</v>
      </c>
      <c r="E41" s="2">
        <f ca="1">IFERROR(__xludf.DUMMYFUNCTION("""COMPUTED_VALUE"""),15.6)</f>
        <v>15.6</v>
      </c>
      <c r="F41" s="2" t="str">
        <f ca="1">IFERROR(__xludf.DUMMYFUNCTION("""COMPUTED_VALUE"""),"IPS Panel Full HD 1920x1080")</f>
        <v>IPS Panel Full HD 1920x1080</v>
      </c>
      <c r="G41" s="2" t="str">
        <f ca="1">IFERROR(__xludf.DUMMYFUNCTION("""COMPUTED_VALUE"""),"Intel Core i5 8250U 1.6GHz")</f>
        <v>Intel Core i5 8250U 1.6GHz</v>
      </c>
      <c r="H41" s="2" t="str">
        <f ca="1">IFERROR(__xludf.DUMMYFUNCTION("""COMPUTED_VALUE"""),"8GB")</f>
        <v>8GB</v>
      </c>
      <c r="I41" s="2" t="str">
        <f ca="1">IFERROR(__xludf.DUMMYFUNCTION("""COMPUTED_VALUE"""),"256GB SSD")</f>
        <v>256GB SSD</v>
      </c>
      <c r="J41" s="2" t="str">
        <f ca="1">IFERROR(__xludf.DUMMYFUNCTION("""COMPUTED_VALUE"""),"Intel UHD Graphics 620")</f>
        <v>Intel UHD Graphics 620</v>
      </c>
      <c r="K41" s="2" t="str">
        <f ca="1">IFERROR(__xludf.DUMMYFUNCTION("""COMPUTED_VALUE"""),"Windows 10")</f>
        <v>Windows 10</v>
      </c>
      <c r="L41" s="2" t="str">
        <f ca="1">IFERROR(__xludf.DUMMYFUNCTION("""COMPUTED_VALUE"""),"1.88kg")</f>
        <v>1.88kg</v>
      </c>
      <c r="M41" s="2">
        <f ca="1">IFERROR(__xludf.DUMMYFUNCTION("""COMPUTED_VALUE"""),1096.16)</f>
        <v>1096.1600000000001</v>
      </c>
    </row>
    <row r="42" spans="1:13">
      <c r="A42" s="2">
        <f ca="1">IFERROR(__xludf.DUMMYFUNCTION("""COMPUTED_VALUE"""),83)</f>
        <v>83</v>
      </c>
      <c r="B42" s="2" t="str">
        <f ca="1">IFERROR(__xludf.DUMMYFUNCTION("""COMPUTED_VALUE"""),"Apple")</f>
        <v>Apple</v>
      </c>
      <c r="C42" s="2" t="str">
        <f ca="1">IFERROR(__xludf.DUMMYFUNCTION("""COMPUTED_VALUE"""),"MacBook 12""")</f>
        <v>MacBook 12"</v>
      </c>
      <c r="D42" s="2" t="str">
        <f ca="1">IFERROR(__xludf.DUMMYFUNCTION("""COMPUTED_VALUE"""),"Ultrabook")</f>
        <v>Ultrabook</v>
      </c>
      <c r="E42" s="2">
        <f ca="1">IFERROR(__xludf.DUMMYFUNCTION("""COMPUTED_VALUE"""),12)</f>
        <v>12</v>
      </c>
      <c r="F42" s="2" t="str">
        <f ca="1">IFERROR(__xludf.DUMMYFUNCTION("""COMPUTED_VALUE"""),"IPS Panel Retina Display 2304x1440")</f>
        <v>IPS Panel Retina Display 2304x1440</v>
      </c>
      <c r="G42" s="2" t="str">
        <f ca="1">IFERROR(__xludf.DUMMYFUNCTION("""COMPUTED_VALUE"""),"Intel Core i5 1.3GHz")</f>
        <v>Intel Core i5 1.3GHz</v>
      </c>
      <c r="H42" s="2" t="str">
        <f ca="1">IFERROR(__xludf.DUMMYFUNCTION("""COMPUTED_VALUE"""),"8GB")</f>
        <v>8GB</v>
      </c>
      <c r="I42" s="2" t="str">
        <f ca="1">IFERROR(__xludf.DUMMYFUNCTION("""COMPUTED_VALUE"""),"512GB SSD")</f>
        <v>512GB SSD</v>
      </c>
      <c r="J42" s="2" t="str">
        <f ca="1">IFERROR(__xludf.DUMMYFUNCTION("""COMPUTED_VALUE"""),"Intel HD Graphics 615")</f>
        <v>Intel HD Graphics 615</v>
      </c>
      <c r="K42" s="2" t="str">
        <f ca="1">IFERROR(__xludf.DUMMYFUNCTION("""COMPUTED_VALUE"""),"macOS")</f>
        <v>macOS</v>
      </c>
      <c r="L42" s="2" t="str">
        <f ca="1">IFERROR(__xludf.DUMMYFUNCTION("""COMPUTED_VALUE"""),"0.92kg")</f>
        <v>0.92kg</v>
      </c>
      <c r="M42" s="2">
        <f ca="1">IFERROR(__xludf.DUMMYFUNCTION("""COMPUTED_VALUE"""),1510)</f>
        <v>1510</v>
      </c>
    </row>
    <row r="43" spans="1:13">
      <c r="A43" s="2">
        <f ca="1">IFERROR(__xludf.DUMMYFUNCTION("""COMPUTED_VALUE"""),84)</f>
        <v>84</v>
      </c>
      <c r="B43" s="2" t="str">
        <f ca="1">IFERROR(__xludf.DUMMYFUNCTION("""COMPUTED_VALUE"""),"HP")</f>
        <v>HP</v>
      </c>
      <c r="C43" s="2" t="str">
        <f ca="1">IFERROR(__xludf.DUMMYFUNCTION("""COMPUTED_VALUE"""),"ProBook 440")</f>
        <v>ProBook 440</v>
      </c>
      <c r="D43" s="2" t="str">
        <f ca="1">IFERROR(__xludf.DUMMYFUNCTION("""COMPUTED_VALUE"""),"Notebook")</f>
        <v>Notebook</v>
      </c>
      <c r="E43" s="2">
        <f ca="1">IFERROR(__xludf.DUMMYFUNCTION("""COMPUTED_VALUE"""),14)</f>
        <v>14</v>
      </c>
      <c r="F43" s="2" t="str">
        <f ca="1">IFERROR(__xludf.DUMMYFUNCTION("""COMPUTED_VALUE"""),"Full HD 1920x1080")</f>
        <v>Full HD 1920x1080</v>
      </c>
      <c r="G43" s="2" t="str">
        <f ca="1">IFERROR(__xludf.DUMMYFUNCTION("""COMPUTED_VALUE"""),"Intel Core i5 8250U 1.6GHz")</f>
        <v>Intel Core i5 8250U 1.6GHz</v>
      </c>
      <c r="H43" s="2" t="str">
        <f ca="1">IFERROR(__xludf.DUMMYFUNCTION("""COMPUTED_VALUE"""),"8GB")</f>
        <v>8GB</v>
      </c>
      <c r="I43" s="2" t="str">
        <f ca="1">IFERROR(__xludf.DUMMYFUNCTION("""COMPUTED_VALUE"""),"256GB SSD")</f>
        <v>256GB SSD</v>
      </c>
      <c r="J43" s="2" t="str">
        <f ca="1">IFERROR(__xludf.DUMMYFUNCTION("""COMPUTED_VALUE"""),"Intel HD Graphics 620")</f>
        <v>Intel HD Graphics 620</v>
      </c>
      <c r="K43" s="2" t="str">
        <f ca="1">IFERROR(__xludf.DUMMYFUNCTION("""COMPUTED_VALUE"""),"Windows 10")</f>
        <v>Windows 10</v>
      </c>
      <c r="L43" s="2" t="str">
        <f ca="1">IFERROR(__xludf.DUMMYFUNCTION("""COMPUTED_VALUE"""),"1.63kg")</f>
        <v>1.63kg</v>
      </c>
      <c r="M43" s="2">
        <f ca="1">IFERROR(__xludf.DUMMYFUNCTION("""COMPUTED_VALUE"""),860)</f>
        <v>860</v>
      </c>
    </row>
    <row r="44" spans="1:13">
      <c r="A44" s="2">
        <f ca="1">IFERROR(__xludf.DUMMYFUNCTION("""COMPUTED_VALUE"""),88)</f>
        <v>88</v>
      </c>
      <c r="B44" s="2" t="str">
        <f ca="1">IFERROR(__xludf.DUMMYFUNCTION("""COMPUTED_VALUE"""),"HP")</f>
        <v>HP</v>
      </c>
      <c r="C44" s="2" t="str">
        <f ca="1">IFERROR(__xludf.DUMMYFUNCTION("""COMPUTED_VALUE"""),"Pavilion 15-CK000nv")</f>
        <v>Pavilion 15-CK000nv</v>
      </c>
      <c r="D44" s="2" t="str">
        <f ca="1">IFERROR(__xludf.DUMMYFUNCTION("""COMPUTED_VALUE"""),"Ultrabook")</f>
        <v>Ultrabook</v>
      </c>
      <c r="E44" s="2">
        <f ca="1">IFERROR(__xludf.DUMMYFUNCTION("""COMPUTED_VALUE"""),15.6)</f>
        <v>15.6</v>
      </c>
      <c r="F44" s="2" t="str">
        <f ca="1">IFERROR(__xludf.DUMMYFUNCTION("""COMPUTED_VALUE"""),"IPS Panel Full HD 1920x1080")</f>
        <v>IPS Panel Full HD 1920x1080</v>
      </c>
      <c r="G44" s="2" t="str">
        <f ca="1">IFERROR(__xludf.DUMMYFUNCTION("""COMPUTED_VALUE"""),"Intel Core i7 8550U 1.8GHz")</f>
        <v>Intel Core i7 8550U 1.8GHz</v>
      </c>
      <c r="H44" s="2" t="str">
        <f ca="1">IFERROR(__xludf.DUMMYFUNCTION("""COMPUTED_VALUE"""),"8GB")</f>
        <v>8GB</v>
      </c>
      <c r="I44" s="2" t="str">
        <f ca="1">IFERROR(__xludf.DUMMYFUNCTION("""COMPUTED_VALUE"""),"256GB SSD")</f>
        <v>256GB SSD</v>
      </c>
      <c r="J44" s="2" t="str">
        <f ca="1">IFERROR(__xludf.DUMMYFUNCTION("""COMPUTED_VALUE"""),"Nvidia GeForce GTX 940MX")</f>
        <v>Nvidia GeForce GTX 940MX</v>
      </c>
      <c r="K44" s="2" t="str">
        <f ca="1">IFERROR(__xludf.DUMMYFUNCTION("""COMPUTED_VALUE"""),"Windows 10")</f>
        <v>Windows 10</v>
      </c>
      <c r="L44" s="2" t="str">
        <f ca="1">IFERROR(__xludf.DUMMYFUNCTION("""COMPUTED_VALUE"""),"1.83kg")</f>
        <v>1.83kg</v>
      </c>
      <c r="M44" s="2">
        <f ca="1">IFERROR(__xludf.DUMMYFUNCTION("""COMPUTED_VALUE"""),699)</f>
        <v>699</v>
      </c>
    </row>
    <row r="45" spans="1:13">
      <c r="A45" s="2">
        <f ca="1">IFERROR(__xludf.DUMMYFUNCTION("""COMPUTED_VALUE"""),89)</f>
        <v>89</v>
      </c>
      <c r="B45" s="2" t="str">
        <f ca="1">IFERROR(__xludf.DUMMYFUNCTION("""COMPUTED_VALUE"""),"HP")</f>
        <v>HP</v>
      </c>
      <c r="C45" s="2" t="str">
        <f ca="1">IFERROR(__xludf.DUMMYFUNCTION("""COMPUTED_VALUE"""),"250 G6")</f>
        <v>250 G6</v>
      </c>
      <c r="D45" s="2" t="str">
        <f ca="1">IFERROR(__xludf.DUMMYFUNCTION("""COMPUTED_VALUE"""),"Notebook")</f>
        <v>Notebook</v>
      </c>
      <c r="E45" s="2">
        <f ca="1">IFERROR(__xludf.DUMMYFUNCTION("""COMPUTED_VALUE"""),15.6)</f>
        <v>15.6</v>
      </c>
      <c r="F45" s="2" t="str">
        <f ca="1">IFERROR(__xludf.DUMMYFUNCTION("""COMPUTED_VALUE"""),"Full HD 1920x1080")</f>
        <v>Full HD 1920x1080</v>
      </c>
      <c r="G45" s="2" t="str">
        <f ca="1">IFERROR(__xludf.DUMMYFUNCTION("""COMPUTED_VALUE"""),"Intel Core i5 7200U 2.5GHz")</f>
        <v>Intel Core i5 7200U 2.5GHz</v>
      </c>
      <c r="H45" s="2" t="str">
        <f ca="1">IFERROR(__xludf.DUMMYFUNCTION("""COMPUTED_VALUE"""),"8GB")</f>
        <v>8GB</v>
      </c>
      <c r="I45" s="2" t="str">
        <f ca="1">IFERROR(__xludf.DUMMYFUNCTION("""COMPUTED_VALUE"""),"256GB SSD")</f>
        <v>256GB SSD</v>
      </c>
      <c r="J45" s="2" t="str">
        <f ca="1">IFERROR(__xludf.DUMMYFUNCTION("""COMPUTED_VALUE"""),"Intel HD Graphics 620")</f>
        <v>Intel HD Graphics 620</v>
      </c>
      <c r="K45" s="2" t="str">
        <f ca="1">IFERROR(__xludf.DUMMYFUNCTION("""COMPUTED_VALUE"""),"Windows 10")</f>
        <v>Windows 10</v>
      </c>
      <c r="L45" s="2" t="str">
        <f ca="1">IFERROR(__xludf.DUMMYFUNCTION("""COMPUTED_VALUE"""),"1.96kg")</f>
        <v>1.96kg</v>
      </c>
      <c r="M45" s="2">
        <f ca="1">IFERROR(__xludf.DUMMYFUNCTION("""COMPUTED_VALUE"""),598.99)</f>
        <v>598.99</v>
      </c>
    </row>
    <row r="46" spans="1:13">
      <c r="A46" s="2">
        <f ca="1">IFERROR(__xludf.DUMMYFUNCTION("""COMPUTED_VALUE"""),91)</f>
        <v>91</v>
      </c>
      <c r="B46" s="2" t="str">
        <f ca="1">IFERROR(__xludf.DUMMYFUNCTION("""COMPUTED_VALUE"""),"Dell")</f>
        <v>Dell</v>
      </c>
      <c r="C46" s="2" t="str">
        <f ca="1">IFERROR(__xludf.DUMMYFUNCTION("""COMPUTED_VALUE"""),"XPS 13")</f>
        <v>XPS 13</v>
      </c>
      <c r="D46" s="2" t="str">
        <f ca="1">IFERROR(__xludf.DUMMYFUNCTION("""COMPUTED_VALUE"""),"Ultrabook")</f>
        <v>Ultrabook</v>
      </c>
      <c r="E46" s="2">
        <f ca="1">IFERROR(__xludf.DUMMYFUNCTION("""COMPUTED_VALUE"""),13.3)</f>
        <v>13.3</v>
      </c>
      <c r="F46" s="2" t="str">
        <f ca="1">IFERROR(__xludf.DUMMYFUNCTION("""COMPUTED_VALUE"""),"IPS Panel Full HD 1920x1080")</f>
        <v>IPS Panel Full HD 1920x1080</v>
      </c>
      <c r="G46" s="2" t="str">
        <f ca="1">IFERROR(__xludf.DUMMYFUNCTION("""COMPUTED_VALUE"""),"Intel Core i7 8550U 1.8GHz")</f>
        <v>Intel Core i7 8550U 1.8GHz</v>
      </c>
      <c r="H46" s="2" t="str">
        <f ca="1">IFERROR(__xludf.DUMMYFUNCTION("""COMPUTED_VALUE"""),"8GB")</f>
        <v>8GB</v>
      </c>
      <c r="I46" s="2" t="str">
        <f ca="1">IFERROR(__xludf.DUMMYFUNCTION("""COMPUTED_VALUE"""),"256GB SSD")</f>
        <v>256GB SSD</v>
      </c>
      <c r="J46" s="2" t="str">
        <f ca="1">IFERROR(__xludf.DUMMYFUNCTION("""COMPUTED_VALUE"""),"Intel UHD Graphics 620")</f>
        <v>Intel UHD Graphics 620</v>
      </c>
      <c r="K46" s="2" t="str">
        <f ca="1">IFERROR(__xludf.DUMMYFUNCTION("""COMPUTED_VALUE"""),"Windows 10")</f>
        <v>Windows 10</v>
      </c>
      <c r="L46" s="2" t="str">
        <f ca="1">IFERROR(__xludf.DUMMYFUNCTION("""COMPUTED_VALUE"""),"1.21kg")</f>
        <v>1.21kg</v>
      </c>
      <c r="M46" s="2">
        <f ca="1">IFERROR(__xludf.DUMMYFUNCTION("""COMPUTED_VALUE"""),1649)</f>
        <v>1649</v>
      </c>
    </row>
    <row r="47" spans="1:13">
      <c r="A47" s="2">
        <f ca="1">IFERROR(__xludf.DUMMYFUNCTION("""COMPUTED_VALUE"""),92)</f>
        <v>92</v>
      </c>
      <c r="B47" s="2" t="str">
        <f ca="1">IFERROR(__xludf.DUMMYFUNCTION("""COMPUTED_VALUE"""),"Asus")</f>
        <v>Asus</v>
      </c>
      <c r="C47" s="2" t="str">
        <f ca="1">IFERROR(__xludf.DUMMYFUNCTION("""COMPUTED_VALUE"""),"FX550IK-DM018T (FX-9830P/8GB/1TB/Radeon")</f>
        <v>FX550IK-DM018T (FX-9830P/8GB/1TB/Radeon</v>
      </c>
      <c r="D47" s="2" t="str">
        <f ca="1">IFERROR(__xludf.DUMMYFUNCTION("""COMPUTED_VALUE"""),"Gaming")</f>
        <v>Gaming</v>
      </c>
      <c r="E47" s="2">
        <f ca="1">IFERROR(__xludf.DUMMYFUNCTION("""COMPUTED_VALUE"""),15.6)</f>
        <v>15.6</v>
      </c>
      <c r="F47" s="2" t="str">
        <f ca="1">IFERROR(__xludf.DUMMYFUNCTION("""COMPUTED_VALUE"""),"Full HD 1920x1080")</f>
        <v>Full HD 1920x1080</v>
      </c>
      <c r="G47" s="2" t="str">
        <f ca="1">IFERROR(__xludf.DUMMYFUNCTION("""COMPUTED_VALUE"""),"AMD FX 9830P 3GHz")</f>
        <v>AMD FX 9830P 3GHz</v>
      </c>
      <c r="H47" s="2" t="str">
        <f ca="1">IFERROR(__xludf.DUMMYFUNCTION("""COMPUTED_VALUE"""),"8GB")</f>
        <v>8GB</v>
      </c>
      <c r="I47" s="2" t="str">
        <f ca="1">IFERROR(__xludf.DUMMYFUNCTION("""COMPUTED_VALUE"""),"1TB HDD")</f>
        <v>1TB HDD</v>
      </c>
      <c r="J47" s="2" t="str">
        <f ca="1">IFERROR(__xludf.DUMMYFUNCTION("""COMPUTED_VALUE"""),"AMD Radeon RX 560")</f>
        <v>AMD Radeon RX 560</v>
      </c>
      <c r="K47" s="2" t="str">
        <f ca="1">IFERROR(__xludf.DUMMYFUNCTION("""COMPUTED_VALUE"""),"Windows 10")</f>
        <v>Windows 10</v>
      </c>
      <c r="L47" s="2" t="str">
        <f ca="1">IFERROR(__xludf.DUMMYFUNCTION("""COMPUTED_VALUE"""),"2.45kg")</f>
        <v>2.45kg</v>
      </c>
      <c r="M47" s="2">
        <f ca="1">IFERROR(__xludf.DUMMYFUNCTION("""COMPUTED_VALUE"""),699)</f>
        <v>699</v>
      </c>
    </row>
    <row r="48" spans="1:13">
      <c r="A48" s="2">
        <f ca="1">IFERROR(__xludf.DUMMYFUNCTION("""COMPUTED_VALUE"""),93)</f>
        <v>93</v>
      </c>
      <c r="B48" s="2" t="str">
        <f ca="1">IFERROR(__xludf.DUMMYFUNCTION("""COMPUTED_VALUE"""),"Acer")</f>
        <v>Acer</v>
      </c>
      <c r="C48" s="2" t="str">
        <f ca="1">IFERROR(__xludf.DUMMYFUNCTION("""COMPUTED_VALUE"""),"Aspire 5")</f>
        <v>Aspire 5</v>
      </c>
      <c r="D48" s="2" t="str">
        <f ca="1">IFERROR(__xludf.DUMMYFUNCTION("""COMPUTED_VALUE"""),"Notebook")</f>
        <v>Notebook</v>
      </c>
      <c r="E48" s="2">
        <f ca="1">IFERROR(__xludf.DUMMYFUNCTION("""COMPUTED_VALUE"""),15.6)</f>
        <v>15.6</v>
      </c>
      <c r="F48" s="2" t="str">
        <f ca="1">IFERROR(__xludf.DUMMYFUNCTION("""COMPUTED_VALUE"""),"Full HD 1920x1080")</f>
        <v>Full HD 1920x1080</v>
      </c>
      <c r="G48" s="2" t="str">
        <f ca="1">IFERROR(__xludf.DUMMYFUNCTION("""COMPUTED_VALUE"""),"Intel Core i7 8550U 1.8GHz")</f>
        <v>Intel Core i7 8550U 1.8GHz</v>
      </c>
      <c r="H48" s="2" t="str">
        <f ca="1">IFERROR(__xludf.DUMMYFUNCTION("""COMPUTED_VALUE"""),"8GB")</f>
        <v>8GB</v>
      </c>
      <c r="I48" s="2" t="str">
        <f ca="1">IFERROR(__xludf.DUMMYFUNCTION("""COMPUTED_VALUE"""),"1TB HDD")</f>
        <v>1TB HDD</v>
      </c>
      <c r="J48" s="2" t="str">
        <f ca="1">IFERROR(__xludf.DUMMYFUNCTION("""COMPUTED_VALUE"""),"Nvidia GeForce MX150")</f>
        <v>Nvidia GeForce MX150</v>
      </c>
      <c r="K48" s="2" t="str">
        <f ca="1">IFERROR(__xludf.DUMMYFUNCTION("""COMPUTED_VALUE"""),"Windows 10")</f>
        <v>Windows 10</v>
      </c>
      <c r="L48" s="2" t="str">
        <f ca="1">IFERROR(__xludf.DUMMYFUNCTION("""COMPUTED_VALUE"""),"2.2kg")</f>
        <v>2.2kg</v>
      </c>
      <c r="M48" s="2">
        <f ca="1">IFERROR(__xludf.DUMMYFUNCTION("""COMPUTED_VALUE"""),689)</f>
        <v>689</v>
      </c>
    </row>
    <row r="49" spans="1:13">
      <c r="A49" s="2">
        <f ca="1">IFERROR(__xludf.DUMMYFUNCTION("""COMPUTED_VALUE"""),95)</f>
        <v>95</v>
      </c>
      <c r="B49" s="2" t="str">
        <f ca="1">IFERROR(__xludf.DUMMYFUNCTION("""COMPUTED_VALUE"""),"Dell")</f>
        <v>Dell</v>
      </c>
      <c r="C49" s="2" t="str">
        <f ca="1">IFERROR(__xludf.DUMMYFUNCTION("""COMPUTED_VALUE"""),"Inspiron 7577")</f>
        <v>Inspiron 7577</v>
      </c>
      <c r="D49" s="2" t="str">
        <f ca="1">IFERROR(__xludf.DUMMYFUNCTION("""COMPUTED_VALUE"""),"Gaming")</f>
        <v>Gaming</v>
      </c>
      <c r="E49" s="2">
        <f ca="1">IFERROR(__xludf.DUMMYFUNCTION("""COMPUTED_VALUE"""),15.6)</f>
        <v>15.6</v>
      </c>
      <c r="F49" s="2" t="str">
        <f ca="1">IFERROR(__xludf.DUMMYFUNCTION("""COMPUTED_VALUE"""),"Full HD 1920x1080")</f>
        <v>Full HD 1920x1080</v>
      </c>
      <c r="G49" s="2" t="str">
        <f ca="1">IFERROR(__xludf.DUMMYFUNCTION("""COMPUTED_VALUE"""),"Intel Core i5 7300HQ 2.5GHz")</f>
        <v>Intel Core i5 7300HQ 2.5GHz</v>
      </c>
      <c r="H49" s="2" t="str">
        <f ca="1">IFERROR(__xludf.DUMMYFUNCTION("""COMPUTED_VALUE"""),"8GB")</f>
        <v>8GB</v>
      </c>
      <c r="I49" s="2" t="str">
        <f ca="1">IFERROR(__xludf.DUMMYFUNCTION("""COMPUTED_VALUE"""),"256GB SSD")</f>
        <v>256GB SSD</v>
      </c>
      <c r="J49" s="2" t="str">
        <f ca="1">IFERROR(__xludf.DUMMYFUNCTION("""COMPUTED_VALUE"""),"Nvidia GeForce GTX 1060")</f>
        <v>Nvidia GeForce GTX 1060</v>
      </c>
      <c r="K49" s="2" t="str">
        <f ca="1">IFERROR(__xludf.DUMMYFUNCTION("""COMPUTED_VALUE"""),"Windows 10")</f>
        <v>Windows 10</v>
      </c>
      <c r="L49" s="2" t="str">
        <f ca="1">IFERROR(__xludf.DUMMYFUNCTION("""COMPUTED_VALUE"""),"2.65kg")</f>
        <v>2.65kg</v>
      </c>
      <c r="M49" s="2">
        <f ca="1">IFERROR(__xludf.DUMMYFUNCTION("""COMPUTED_VALUE"""),1195)</f>
        <v>1195</v>
      </c>
    </row>
    <row r="50" spans="1:13">
      <c r="A50" s="2">
        <f ca="1">IFERROR(__xludf.DUMMYFUNCTION("""COMPUTED_VALUE"""),96)</f>
        <v>96</v>
      </c>
      <c r="B50" s="2" t="str">
        <f ca="1">IFERROR(__xludf.DUMMYFUNCTION("""COMPUTED_VALUE"""),"Asus")</f>
        <v>Asus</v>
      </c>
      <c r="C50" s="2" t="str">
        <f ca="1">IFERROR(__xludf.DUMMYFUNCTION("""COMPUTED_VALUE"""),"Zenbook UX430UA")</f>
        <v>Zenbook UX430UA</v>
      </c>
      <c r="D50" s="2" t="str">
        <f ca="1">IFERROR(__xludf.DUMMYFUNCTION("""COMPUTED_VALUE"""),"Ultrabook")</f>
        <v>Ultrabook</v>
      </c>
      <c r="E50" s="2">
        <f ca="1">IFERROR(__xludf.DUMMYFUNCTION("""COMPUTED_VALUE"""),14)</f>
        <v>14</v>
      </c>
      <c r="F50" s="2" t="str">
        <f ca="1">IFERROR(__xludf.DUMMYFUNCTION("""COMPUTED_VALUE"""),"Full HD 1920x1080")</f>
        <v>Full HD 1920x1080</v>
      </c>
      <c r="G50" s="2" t="str">
        <f ca="1">IFERROR(__xludf.DUMMYFUNCTION("""COMPUTED_VALUE"""),"Intel Core i7 7500U 2.7GHz")</f>
        <v>Intel Core i7 7500U 2.7GHz</v>
      </c>
      <c r="H50" s="2" t="str">
        <f ca="1">IFERROR(__xludf.DUMMYFUNCTION("""COMPUTED_VALUE"""),"8GB")</f>
        <v>8GB</v>
      </c>
      <c r="I50" s="2" t="str">
        <f ca="1">IFERROR(__xludf.DUMMYFUNCTION("""COMPUTED_VALUE"""),"256GB SSD")</f>
        <v>256GB SSD</v>
      </c>
      <c r="J50" s="2" t="str">
        <f ca="1">IFERROR(__xludf.DUMMYFUNCTION("""COMPUTED_VALUE"""),"Intel HD Graphics 620")</f>
        <v>Intel HD Graphics 620</v>
      </c>
      <c r="K50" s="2" t="str">
        <f ca="1">IFERROR(__xludf.DUMMYFUNCTION("""COMPUTED_VALUE"""),"Windows 10")</f>
        <v>Windows 10</v>
      </c>
      <c r="L50" s="2" t="str">
        <f ca="1">IFERROR(__xludf.DUMMYFUNCTION("""COMPUTED_VALUE"""),"1.25kg")</f>
        <v>1.25kg</v>
      </c>
      <c r="M50" s="2">
        <f ca="1">IFERROR(__xludf.DUMMYFUNCTION("""COMPUTED_VALUE"""),1049)</f>
        <v>1049</v>
      </c>
    </row>
    <row r="51" spans="1:13">
      <c r="A51" s="2">
        <f ca="1">IFERROR(__xludf.DUMMYFUNCTION("""COMPUTED_VALUE"""),97)</f>
        <v>97</v>
      </c>
      <c r="B51" s="2" t="str">
        <f ca="1">IFERROR(__xludf.DUMMYFUNCTION("""COMPUTED_VALUE"""),"Acer")</f>
        <v>Acer</v>
      </c>
      <c r="C51" s="2" t="str">
        <f ca="1">IFERROR(__xludf.DUMMYFUNCTION("""COMPUTED_VALUE"""),"Spin 5")</f>
        <v>Spin 5</v>
      </c>
      <c r="D51" s="2" t="str">
        <f ca="1">IFERROR(__xludf.DUMMYFUNCTION("""COMPUTED_VALUE"""),"2 in 1 Convertible")</f>
        <v>2 in 1 Convertible</v>
      </c>
      <c r="E51" s="2">
        <f ca="1">IFERROR(__xludf.DUMMYFUNCTION("""COMPUTED_VALUE"""),13.3)</f>
        <v>13.3</v>
      </c>
      <c r="F51" s="2" t="str">
        <f ca="1">IFERROR(__xludf.DUMMYFUNCTION("""COMPUTED_VALUE"""),"IPS Panel Full HD / Touchscreen 1920x1080")</f>
        <v>IPS Panel Full HD / Touchscreen 1920x1080</v>
      </c>
      <c r="G51" s="2" t="str">
        <f ca="1">IFERROR(__xludf.DUMMYFUNCTION("""COMPUTED_VALUE"""),"Intel Core i5 8250U 1.6GHz")</f>
        <v>Intel Core i5 8250U 1.6GHz</v>
      </c>
      <c r="H51" s="2" t="str">
        <f ca="1">IFERROR(__xludf.DUMMYFUNCTION("""COMPUTED_VALUE"""),"8GB")</f>
        <v>8GB</v>
      </c>
      <c r="I51" s="2" t="str">
        <f ca="1">IFERROR(__xludf.DUMMYFUNCTION("""COMPUTED_VALUE"""),"256GB SSD")</f>
        <v>256GB SSD</v>
      </c>
      <c r="J51" s="2" t="str">
        <f ca="1">IFERROR(__xludf.DUMMYFUNCTION("""COMPUTED_VALUE"""),"Intel UHD Graphics 620")</f>
        <v>Intel UHD Graphics 620</v>
      </c>
      <c r="K51" s="2" t="str">
        <f ca="1">IFERROR(__xludf.DUMMYFUNCTION("""COMPUTED_VALUE"""),"Windows 10")</f>
        <v>Windows 10</v>
      </c>
      <c r="L51" s="2" t="str">
        <f ca="1">IFERROR(__xludf.DUMMYFUNCTION("""COMPUTED_VALUE"""),"1.5kg")</f>
        <v>1.5kg</v>
      </c>
      <c r="M51" s="2">
        <f ca="1">IFERROR(__xludf.DUMMYFUNCTION("""COMPUTED_VALUE"""),847)</f>
        <v>847</v>
      </c>
    </row>
    <row r="52" spans="1:13">
      <c r="A52" s="2">
        <f ca="1">IFERROR(__xludf.DUMMYFUNCTION("""COMPUTED_VALUE"""),98)</f>
        <v>98</v>
      </c>
      <c r="B52" s="2" t="str">
        <f ca="1">IFERROR(__xludf.DUMMYFUNCTION("""COMPUTED_VALUE"""),"Dell")</f>
        <v>Dell</v>
      </c>
      <c r="C52" s="2" t="str">
        <f ca="1">IFERROR(__xludf.DUMMYFUNCTION("""COMPUTED_VALUE"""),"Inspiron 3567")</f>
        <v>Inspiron 3567</v>
      </c>
      <c r="D52" s="2" t="str">
        <f ca="1">IFERROR(__xludf.DUMMYFUNCTION("""COMPUTED_VALUE"""),"Notebook")</f>
        <v>Notebook</v>
      </c>
      <c r="E52" s="2">
        <f ca="1">IFERROR(__xludf.DUMMYFUNCTION("""COMPUTED_VALUE"""),15.6)</f>
        <v>15.6</v>
      </c>
      <c r="F52" s="2" t="str">
        <f ca="1">IFERROR(__xludf.DUMMYFUNCTION("""COMPUTED_VALUE"""),"Full HD 1920x1080")</f>
        <v>Full HD 1920x1080</v>
      </c>
      <c r="G52" s="2" t="str">
        <f ca="1">IFERROR(__xludf.DUMMYFUNCTION("""COMPUTED_VALUE"""),"Intel Core i7 7500U 2.7GHz")</f>
        <v>Intel Core i7 7500U 2.7GHz</v>
      </c>
      <c r="H52" s="2" t="str">
        <f ca="1">IFERROR(__xludf.DUMMYFUNCTION("""COMPUTED_VALUE"""),"8GB")</f>
        <v>8GB</v>
      </c>
      <c r="I52" s="2" t="str">
        <f ca="1">IFERROR(__xludf.DUMMYFUNCTION("""COMPUTED_VALUE"""),"1TB HDD")</f>
        <v>1TB HDD</v>
      </c>
      <c r="J52" s="2" t="str">
        <f ca="1">IFERROR(__xludf.DUMMYFUNCTION("""COMPUTED_VALUE"""),"AMD Radeon R5 M430")</f>
        <v>AMD Radeon R5 M430</v>
      </c>
      <c r="K52" s="2" t="str">
        <f ca="1">IFERROR(__xludf.DUMMYFUNCTION("""COMPUTED_VALUE"""),"Linux")</f>
        <v>Linux</v>
      </c>
      <c r="L52" s="2" t="str">
        <f ca="1">IFERROR(__xludf.DUMMYFUNCTION("""COMPUTED_VALUE"""),"2.2kg")</f>
        <v>2.2kg</v>
      </c>
      <c r="M52" s="2">
        <f ca="1">IFERROR(__xludf.DUMMYFUNCTION("""COMPUTED_VALUE"""),599.9)</f>
        <v>599.9</v>
      </c>
    </row>
    <row r="53" spans="1:13">
      <c r="A53" s="2">
        <f ca="1">IFERROR(__xludf.DUMMYFUNCTION("""COMPUTED_VALUE"""),103)</f>
        <v>103</v>
      </c>
      <c r="B53" s="2" t="str">
        <f ca="1">IFERROR(__xludf.DUMMYFUNCTION("""COMPUTED_VALUE"""),"HP")</f>
        <v>HP</v>
      </c>
      <c r="C53" s="2" t="str">
        <f ca="1">IFERROR(__xludf.DUMMYFUNCTION("""COMPUTED_VALUE"""),"15-bs017nv (i7-7500U/8GB/256GB/Radeon")</f>
        <v>15-bs017nv (i7-7500U/8GB/256GB/Radeon</v>
      </c>
      <c r="D53" s="2" t="str">
        <f ca="1">IFERROR(__xludf.DUMMYFUNCTION("""COMPUTED_VALUE"""),"Notebook")</f>
        <v>Notebook</v>
      </c>
      <c r="E53" s="2">
        <f ca="1">IFERROR(__xludf.DUMMYFUNCTION("""COMPUTED_VALUE"""),15.6)</f>
        <v>15.6</v>
      </c>
      <c r="F53" s="2" t="str">
        <f ca="1">IFERROR(__xludf.DUMMYFUNCTION("""COMPUTED_VALUE"""),"Full HD 1920x1080")</f>
        <v>Full HD 1920x1080</v>
      </c>
      <c r="G53" s="2" t="str">
        <f ca="1">IFERROR(__xludf.DUMMYFUNCTION("""COMPUTED_VALUE"""),"Intel Core i7 7500U 2.7GHz")</f>
        <v>Intel Core i7 7500U 2.7GHz</v>
      </c>
      <c r="H53" s="2" t="str">
        <f ca="1">IFERROR(__xludf.DUMMYFUNCTION("""COMPUTED_VALUE"""),"8GB")</f>
        <v>8GB</v>
      </c>
      <c r="I53" s="2" t="str">
        <f ca="1">IFERROR(__xludf.DUMMYFUNCTION("""COMPUTED_VALUE"""),"256GB SSD")</f>
        <v>256GB SSD</v>
      </c>
      <c r="J53" s="2" t="str">
        <f ca="1">IFERROR(__xludf.DUMMYFUNCTION("""COMPUTED_VALUE"""),"AMD Radeon 530")</f>
        <v>AMD Radeon 530</v>
      </c>
      <c r="K53" s="2" t="str">
        <f ca="1">IFERROR(__xludf.DUMMYFUNCTION("""COMPUTED_VALUE"""),"Windows 10")</f>
        <v>Windows 10</v>
      </c>
      <c r="L53" s="2" t="str">
        <f ca="1">IFERROR(__xludf.DUMMYFUNCTION("""COMPUTED_VALUE"""),"1.91kg")</f>
        <v>1.91kg</v>
      </c>
      <c r="M53" s="2">
        <f ca="1">IFERROR(__xludf.DUMMYFUNCTION("""COMPUTED_VALUE"""),719)</f>
        <v>719</v>
      </c>
    </row>
    <row r="54" spans="1:13">
      <c r="A54" s="2">
        <f ca="1">IFERROR(__xludf.DUMMYFUNCTION("""COMPUTED_VALUE"""),105)</f>
        <v>105</v>
      </c>
      <c r="B54" s="2" t="str">
        <f ca="1">IFERROR(__xludf.DUMMYFUNCTION("""COMPUTED_VALUE"""),"Dell")</f>
        <v>Dell</v>
      </c>
      <c r="C54" s="2" t="str">
        <f ca="1">IFERROR(__xludf.DUMMYFUNCTION("""COMPUTED_VALUE"""),"Inspiron 3576")</f>
        <v>Inspiron 3576</v>
      </c>
      <c r="D54" s="2" t="str">
        <f ca="1">IFERROR(__xludf.DUMMYFUNCTION("""COMPUTED_VALUE"""),"Notebook")</f>
        <v>Notebook</v>
      </c>
      <c r="E54" s="2">
        <f ca="1">IFERROR(__xludf.DUMMYFUNCTION("""COMPUTED_VALUE"""),15.6)</f>
        <v>15.6</v>
      </c>
      <c r="F54" s="2" t="str">
        <f ca="1">IFERROR(__xludf.DUMMYFUNCTION("""COMPUTED_VALUE"""),"Full HD 1920x1080")</f>
        <v>Full HD 1920x1080</v>
      </c>
      <c r="G54" s="2" t="str">
        <f ca="1">IFERROR(__xludf.DUMMYFUNCTION("""COMPUTED_VALUE"""),"Intel Core i5 8250U 1.6GHz")</f>
        <v>Intel Core i5 8250U 1.6GHz</v>
      </c>
      <c r="H54" s="2" t="str">
        <f ca="1">IFERROR(__xludf.DUMMYFUNCTION("""COMPUTED_VALUE"""),"8GB")</f>
        <v>8GB</v>
      </c>
      <c r="I54" s="2" t="str">
        <f ca="1">IFERROR(__xludf.DUMMYFUNCTION("""COMPUTED_VALUE"""),"1TB HDD")</f>
        <v>1TB HDD</v>
      </c>
      <c r="J54" s="2" t="str">
        <f ca="1">IFERROR(__xludf.DUMMYFUNCTION("""COMPUTED_VALUE"""),"AMD Radeon 520")</f>
        <v>AMD Radeon 520</v>
      </c>
      <c r="K54" s="2" t="str">
        <f ca="1">IFERROR(__xludf.DUMMYFUNCTION("""COMPUTED_VALUE"""),"Linux")</f>
        <v>Linux</v>
      </c>
      <c r="L54" s="2" t="str">
        <f ca="1">IFERROR(__xludf.DUMMYFUNCTION("""COMPUTED_VALUE"""),"2.2kg")</f>
        <v>2.2kg</v>
      </c>
      <c r="M54" s="2">
        <f ca="1">IFERROR(__xludf.DUMMYFUNCTION("""COMPUTED_VALUE"""),647)</f>
        <v>647</v>
      </c>
    </row>
    <row r="55" spans="1:13">
      <c r="A55" s="2">
        <f ca="1">IFERROR(__xludf.DUMMYFUNCTION("""COMPUTED_VALUE"""),106)</f>
        <v>106</v>
      </c>
      <c r="B55" s="2" t="str">
        <f ca="1">IFERROR(__xludf.DUMMYFUNCTION("""COMPUTED_VALUE"""),"HP")</f>
        <v>HP</v>
      </c>
      <c r="C55" s="2" t="str">
        <f ca="1">IFERROR(__xludf.DUMMYFUNCTION("""COMPUTED_VALUE"""),"Envy 13-ad009n")</f>
        <v>Envy 13-ad009n</v>
      </c>
      <c r="D55" s="2" t="str">
        <f ca="1">IFERROR(__xludf.DUMMYFUNCTION("""COMPUTED_VALUE"""),"Ultrabook")</f>
        <v>Ultrabook</v>
      </c>
      <c r="E55" s="2">
        <f ca="1">IFERROR(__xludf.DUMMYFUNCTION("""COMPUTED_VALUE"""),13.3)</f>
        <v>13.3</v>
      </c>
      <c r="F55" s="2" t="str">
        <f ca="1">IFERROR(__xludf.DUMMYFUNCTION("""COMPUTED_VALUE"""),"IPS Panel Full HD 1920x1080")</f>
        <v>IPS Panel Full HD 1920x1080</v>
      </c>
      <c r="G55" s="2" t="str">
        <f ca="1">IFERROR(__xludf.DUMMYFUNCTION("""COMPUTED_VALUE"""),"Intel Core i7 7500U 2.7GHz")</f>
        <v>Intel Core i7 7500U 2.7GHz</v>
      </c>
      <c r="H55" s="2" t="str">
        <f ca="1">IFERROR(__xludf.DUMMYFUNCTION("""COMPUTED_VALUE"""),"8GB")</f>
        <v>8GB</v>
      </c>
      <c r="I55" s="2" t="str">
        <f ca="1">IFERROR(__xludf.DUMMYFUNCTION("""COMPUTED_VALUE"""),"256GB SSD")</f>
        <v>256GB SSD</v>
      </c>
      <c r="J55" s="2" t="str">
        <f ca="1">IFERROR(__xludf.DUMMYFUNCTION("""COMPUTED_VALUE"""),"Nvidia GeForce MX150")</f>
        <v>Nvidia GeForce MX150</v>
      </c>
      <c r="K55" s="2" t="str">
        <f ca="1">IFERROR(__xludf.DUMMYFUNCTION("""COMPUTED_VALUE"""),"Windows 10")</f>
        <v>Windows 10</v>
      </c>
      <c r="L55" s="2" t="str">
        <f ca="1">IFERROR(__xludf.DUMMYFUNCTION("""COMPUTED_VALUE"""),"1.38kg")</f>
        <v>1.38kg</v>
      </c>
      <c r="M55" s="2">
        <f ca="1">IFERROR(__xludf.DUMMYFUNCTION("""COMPUTED_VALUE"""),1119)</f>
        <v>1119</v>
      </c>
    </row>
    <row r="56" spans="1:13">
      <c r="A56" s="2">
        <f ca="1">IFERROR(__xludf.DUMMYFUNCTION("""COMPUTED_VALUE"""),107)</f>
        <v>107</v>
      </c>
      <c r="B56" s="2" t="str">
        <f ca="1">IFERROR(__xludf.DUMMYFUNCTION("""COMPUTED_VALUE"""),"Microsoft")</f>
        <v>Microsoft</v>
      </c>
      <c r="C56" s="2" t="str">
        <f ca="1">IFERROR(__xludf.DUMMYFUNCTION("""COMPUTED_VALUE"""),"Surface Laptop")</f>
        <v>Surface Laptop</v>
      </c>
      <c r="D56" s="2" t="str">
        <f ca="1">IFERROR(__xludf.DUMMYFUNCTION("""COMPUTED_VALUE"""),"Ultrabook")</f>
        <v>Ultrabook</v>
      </c>
      <c r="E56" s="2">
        <f ca="1">IFERROR(__xludf.DUMMYFUNCTION("""COMPUTED_VALUE"""),13.5)</f>
        <v>13.5</v>
      </c>
      <c r="F56" s="2" t="str">
        <f ca="1">IFERROR(__xludf.DUMMYFUNCTION("""COMPUTED_VALUE"""),"Touchscreen 2256x1504")</f>
        <v>Touchscreen 2256x1504</v>
      </c>
      <c r="G56" s="2" t="str">
        <f ca="1">IFERROR(__xludf.DUMMYFUNCTION("""COMPUTED_VALUE"""),"Intel Core i5 7200U 2.5GHz")</f>
        <v>Intel Core i5 7200U 2.5GHz</v>
      </c>
      <c r="H56" s="2" t="str">
        <f ca="1">IFERROR(__xludf.DUMMYFUNCTION("""COMPUTED_VALUE"""),"8GB")</f>
        <v>8GB</v>
      </c>
      <c r="I56" s="2" t="str">
        <f ca="1">IFERROR(__xludf.DUMMYFUNCTION("""COMPUTED_VALUE"""),"256GB SSD")</f>
        <v>256GB SSD</v>
      </c>
      <c r="J56" s="2" t="str">
        <f ca="1">IFERROR(__xludf.DUMMYFUNCTION("""COMPUTED_VALUE"""),"Intel HD Graphics 620")</f>
        <v>Intel HD Graphics 620</v>
      </c>
      <c r="K56" s="2" t="str">
        <f ca="1">IFERROR(__xludf.DUMMYFUNCTION("""COMPUTED_VALUE"""),"Windows 10 S")</f>
        <v>Windows 10 S</v>
      </c>
      <c r="L56" s="2" t="str">
        <f ca="1">IFERROR(__xludf.DUMMYFUNCTION("""COMPUTED_VALUE"""),"1.252kg")</f>
        <v>1.252kg</v>
      </c>
      <c r="M56" s="2">
        <f ca="1">IFERROR(__xludf.DUMMYFUNCTION("""COMPUTED_VALUE"""),1340)</f>
        <v>1340</v>
      </c>
    </row>
    <row r="57" spans="1:13">
      <c r="A57" s="2">
        <f ca="1">IFERROR(__xludf.DUMMYFUNCTION("""COMPUTED_VALUE"""),110)</f>
        <v>110</v>
      </c>
      <c r="B57" s="2" t="str">
        <f ca="1">IFERROR(__xludf.DUMMYFUNCTION("""COMPUTED_VALUE"""),"Asus")</f>
        <v>Asus</v>
      </c>
      <c r="C57" s="2" t="str">
        <f ca="1">IFERROR(__xludf.DUMMYFUNCTION("""COMPUTED_VALUE"""),"UX430UQ-GV209R (i7-7500U/8GB/256GB/GeForce")</f>
        <v>UX430UQ-GV209R (i7-7500U/8GB/256GB/GeForce</v>
      </c>
      <c r="D57" s="2" t="str">
        <f ca="1">IFERROR(__xludf.DUMMYFUNCTION("""COMPUTED_VALUE"""),"Ultrabook")</f>
        <v>Ultrabook</v>
      </c>
      <c r="E57" s="2">
        <f ca="1">IFERROR(__xludf.DUMMYFUNCTION("""COMPUTED_VALUE"""),14)</f>
        <v>14</v>
      </c>
      <c r="F57" s="2" t="str">
        <f ca="1">IFERROR(__xludf.DUMMYFUNCTION("""COMPUTED_VALUE"""),"IPS Panel Full HD 1920x1080")</f>
        <v>IPS Panel Full HD 1920x1080</v>
      </c>
      <c r="G57" s="2" t="str">
        <f ca="1">IFERROR(__xludf.DUMMYFUNCTION("""COMPUTED_VALUE"""),"Intel Core i7 7500U 2.7GHz")</f>
        <v>Intel Core i7 7500U 2.7GHz</v>
      </c>
      <c r="H57" s="2" t="str">
        <f ca="1">IFERROR(__xludf.DUMMYFUNCTION("""COMPUTED_VALUE"""),"8GB")</f>
        <v>8GB</v>
      </c>
      <c r="I57" s="2" t="str">
        <f ca="1">IFERROR(__xludf.DUMMYFUNCTION("""COMPUTED_VALUE"""),"256GB SSD")</f>
        <v>256GB SSD</v>
      </c>
      <c r="J57" s="2" t="str">
        <f ca="1">IFERROR(__xludf.DUMMYFUNCTION("""COMPUTED_VALUE"""),"Nvidia GeForce 940MX")</f>
        <v>Nvidia GeForce 940MX</v>
      </c>
      <c r="K57" s="2" t="str">
        <f ca="1">IFERROR(__xludf.DUMMYFUNCTION("""COMPUTED_VALUE"""),"Windows 10")</f>
        <v>Windows 10</v>
      </c>
      <c r="L57" s="2" t="str">
        <f ca="1">IFERROR(__xludf.DUMMYFUNCTION("""COMPUTED_VALUE"""),"1.3kg")</f>
        <v>1.3kg</v>
      </c>
      <c r="M57" s="2">
        <f ca="1">IFERROR(__xludf.DUMMYFUNCTION("""COMPUTED_VALUE"""),1193)</f>
        <v>1193</v>
      </c>
    </row>
    <row r="58" spans="1:13">
      <c r="A58" s="2">
        <f ca="1">IFERROR(__xludf.DUMMYFUNCTION("""COMPUTED_VALUE"""),112)</f>
        <v>112</v>
      </c>
      <c r="B58" s="2" t="str">
        <f ca="1">IFERROR(__xludf.DUMMYFUNCTION("""COMPUTED_VALUE"""),"Lenovo")</f>
        <v>Lenovo</v>
      </c>
      <c r="C58" s="2" t="str">
        <f ca="1">IFERROR(__xludf.DUMMYFUNCTION("""COMPUTED_VALUE"""),"Thinkpad T470")</f>
        <v>Thinkpad T470</v>
      </c>
      <c r="D58" s="2" t="str">
        <f ca="1">IFERROR(__xludf.DUMMYFUNCTION("""COMPUTED_VALUE"""),"Notebook")</f>
        <v>Notebook</v>
      </c>
      <c r="E58" s="2">
        <f ca="1">IFERROR(__xludf.DUMMYFUNCTION("""COMPUTED_VALUE"""),14)</f>
        <v>14</v>
      </c>
      <c r="F58" s="2" t="str">
        <f ca="1">IFERROR(__xludf.DUMMYFUNCTION("""COMPUTED_VALUE"""),"IPS Panel Full HD 1920x1080")</f>
        <v>IPS Panel Full HD 1920x1080</v>
      </c>
      <c r="G58" s="2" t="str">
        <f ca="1">IFERROR(__xludf.DUMMYFUNCTION("""COMPUTED_VALUE"""),"Intel Core i7 7500U 2.7GHz")</f>
        <v>Intel Core i7 7500U 2.7GHz</v>
      </c>
      <c r="H58" s="2" t="str">
        <f ca="1">IFERROR(__xludf.DUMMYFUNCTION("""COMPUTED_VALUE"""),"8GB")</f>
        <v>8GB</v>
      </c>
      <c r="I58" s="2" t="str">
        <f ca="1">IFERROR(__xludf.DUMMYFUNCTION("""COMPUTED_VALUE"""),"256GB SSD")</f>
        <v>256GB SSD</v>
      </c>
      <c r="J58" s="2" t="str">
        <f ca="1">IFERROR(__xludf.DUMMYFUNCTION("""COMPUTED_VALUE"""),"Intel HD Graphics 620")</f>
        <v>Intel HD Graphics 620</v>
      </c>
      <c r="K58" s="2" t="str">
        <f ca="1">IFERROR(__xludf.DUMMYFUNCTION("""COMPUTED_VALUE"""),"Windows 10")</f>
        <v>Windows 10</v>
      </c>
      <c r="L58" s="2" t="str">
        <f ca="1">IFERROR(__xludf.DUMMYFUNCTION("""COMPUTED_VALUE"""),"1.58kg")</f>
        <v>1.58kg</v>
      </c>
      <c r="M58" s="2">
        <f ca="1">IFERROR(__xludf.DUMMYFUNCTION("""COMPUTED_VALUE"""),1480)</f>
        <v>1480</v>
      </c>
    </row>
    <row r="59" spans="1:13">
      <c r="A59" s="2">
        <f ca="1">IFERROR(__xludf.DUMMYFUNCTION("""COMPUTED_VALUE"""),114)</f>
        <v>114</v>
      </c>
      <c r="B59" s="2" t="str">
        <f ca="1">IFERROR(__xludf.DUMMYFUNCTION("""COMPUTED_VALUE"""),"Dell")</f>
        <v>Dell</v>
      </c>
      <c r="C59" s="2" t="str">
        <f ca="1">IFERROR(__xludf.DUMMYFUNCTION("""COMPUTED_VALUE"""),"XPS 13")</f>
        <v>XPS 13</v>
      </c>
      <c r="D59" s="2" t="str">
        <f ca="1">IFERROR(__xludf.DUMMYFUNCTION("""COMPUTED_VALUE"""),"Ultrabook")</f>
        <v>Ultrabook</v>
      </c>
      <c r="E59" s="2">
        <f ca="1">IFERROR(__xludf.DUMMYFUNCTION("""COMPUTED_VALUE"""),13.3)</f>
        <v>13.3</v>
      </c>
      <c r="F59" s="2" t="str">
        <f ca="1">IFERROR(__xludf.DUMMYFUNCTION("""COMPUTED_VALUE"""),"Quad HD+ / Touchscreen 3200x1800")</f>
        <v>Quad HD+ / Touchscreen 3200x1800</v>
      </c>
      <c r="G59" s="2" t="str">
        <f ca="1">IFERROR(__xludf.DUMMYFUNCTION("""COMPUTED_VALUE"""),"Intel Core i7 7560U 2.4GHz")</f>
        <v>Intel Core i7 7560U 2.4GHz</v>
      </c>
      <c r="H59" s="2" t="str">
        <f ca="1">IFERROR(__xludf.DUMMYFUNCTION("""COMPUTED_VALUE"""),"8GB")</f>
        <v>8GB</v>
      </c>
      <c r="I59" s="2" t="str">
        <f ca="1">IFERROR(__xludf.DUMMYFUNCTION("""COMPUTED_VALUE"""),"256GB SSD")</f>
        <v>256GB SSD</v>
      </c>
      <c r="J59" s="2" t="str">
        <f ca="1">IFERROR(__xludf.DUMMYFUNCTION("""COMPUTED_VALUE"""),"Intel Iris Plus Graphics 640")</f>
        <v>Intel Iris Plus Graphics 640</v>
      </c>
      <c r="K59" s="2" t="str">
        <f ca="1">IFERROR(__xludf.DUMMYFUNCTION("""COMPUTED_VALUE"""),"Windows 10")</f>
        <v>Windows 10</v>
      </c>
      <c r="L59" s="2" t="str">
        <f ca="1">IFERROR(__xludf.DUMMYFUNCTION("""COMPUTED_VALUE"""),"1.23kg")</f>
        <v>1.23kg</v>
      </c>
      <c r="M59" s="2">
        <f ca="1">IFERROR(__xludf.DUMMYFUNCTION("""COMPUTED_VALUE"""),1379)</f>
        <v>1379</v>
      </c>
    </row>
    <row r="60" spans="1:13">
      <c r="A60" s="2">
        <f ca="1">IFERROR(__xludf.DUMMYFUNCTION("""COMPUTED_VALUE"""),115)</f>
        <v>115</v>
      </c>
      <c r="B60" s="2" t="str">
        <f ca="1">IFERROR(__xludf.DUMMYFUNCTION("""COMPUTED_VALUE"""),"Lenovo")</f>
        <v>Lenovo</v>
      </c>
      <c r="C60" s="2" t="str">
        <f ca="1">IFERROR(__xludf.DUMMYFUNCTION("""COMPUTED_VALUE"""),"ThinkPad Yoga")</f>
        <v>ThinkPad Yoga</v>
      </c>
      <c r="D60" s="2" t="str">
        <f ca="1">IFERROR(__xludf.DUMMYFUNCTION("""COMPUTED_VALUE"""),"2 in 1 Convertible")</f>
        <v>2 in 1 Convertible</v>
      </c>
      <c r="E60" s="2">
        <f ca="1">IFERROR(__xludf.DUMMYFUNCTION("""COMPUTED_VALUE"""),13.3)</f>
        <v>13.3</v>
      </c>
      <c r="F60" s="2" t="str">
        <f ca="1">IFERROR(__xludf.DUMMYFUNCTION("""COMPUTED_VALUE"""),"IPS Panel Full HD / Touchscreen 1920x1080")</f>
        <v>IPS Panel Full HD / Touchscreen 1920x1080</v>
      </c>
      <c r="G60" s="2" t="str">
        <f ca="1">IFERROR(__xludf.DUMMYFUNCTION("""COMPUTED_VALUE"""),"Intel Core i5 7200U 2.5GHz")</f>
        <v>Intel Core i5 7200U 2.5GHz</v>
      </c>
      <c r="H60" s="2" t="str">
        <f ca="1">IFERROR(__xludf.DUMMYFUNCTION("""COMPUTED_VALUE"""),"8GB")</f>
        <v>8GB</v>
      </c>
      <c r="I60" s="2" t="str">
        <f ca="1">IFERROR(__xludf.DUMMYFUNCTION("""COMPUTED_VALUE"""),"256GB SSD")</f>
        <v>256GB SSD</v>
      </c>
      <c r="J60" s="2" t="str">
        <f ca="1">IFERROR(__xludf.DUMMYFUNCTION("""COMPUTED_VALUE"""),"Intel HD Graphics 620")</f>
        <v>Intel HD Graphics 620</v>
      </c>
      <c r="K60" s="2" t="str">
        <f ca="1">IFERROR(__xludf.DUMMYFUNCTION("""COMPUTED_VALUE"""),"Windows 10")</f>
        <v>Windows 10</v>
      </c>
      <c r="L60" s="2" t="str">
        <f ca="1">IFERROR(__xludf.DUMMYFUNCTION("""COMPUTED_VALUE"""),"1.37kg")</f>
        <v>1.37kg</v>
      </c>
      <c r="M60" s="2">
        <f ca="1">IFERROR(__xludf.DUMMYFUNCTION("""COMPUTED_VALUE"""),1399)</f>
        <v>1399</v>
      </c>
    </row>
    <row r="61" spans="1:13">
      <c r="A61" s="2">
        <f ca="1">IFERROR(__xludf.DUMMYFUNCTION("""COMPUTED_VALUE"""),117)</f>
        <v>117</v>
      </c>
      <c r="B61" s="2" t="str">
        <f ca="1">IFERROR(__xludf.DUMMYFUNCTION("""COMPUTED_VALUE"""),"Dell")</f>
        <v>Dell</v>
      </c>
      <c r="C61" s="2" t="str">
        <f ca="1">IFERROR(__xludf.DUMMYFUNCTION("""COMPUTED_VALUE"""),"XPS 13")</f>
        <v>XPS 13</v>
      </c>
      <c r="D61" s="2" t="str">
        <f ca="1">IFERROR(__xludf.DUMMYFUNCTION("""COMPUTED_VALUE"""),"Ultrabook")</f>
        <v>Ultrabook</v>
      </c>
      <c r="E61" s="2">
        <f ca="1">IFERROR(__xludf.DUMMYFUNCTION("""COMPUTED_VALUE"""),13.3)</f>
        <v>13.3</v>
      </c>
      <c r="F61" s="2" t="str">
        <f ca="1">IFERROR(__xludf.DUMMYFUNCTION("""COMPUTED_VALUE"""),"IPS Panel Full HD 1920x1080")</f>
        <v>IPS Panel Full HD 1920x1080</v>
      </c>
      <c r="G61" s="2" t="str">
        <f ca="1">IFERROR(__xludf.DUMMYFUNCTION("""COMPUTED_VALUE"""),"Intel Core i5 8250U 1.6GHz")</f>
        <v>Intel Core i5 8250U 1.6GHz</v>
      </c>
      <c r="H61" s="2" t="str">
        <f ca="1">IFERROR(__xludf.DUMMYFUNCTION("""COMPUTED_VALUE"""),"8GB")</f>
        <v>8GB</v>
      </c>
      <c r="I61" s="2" t="str">
        <f ca="1">IFERROR(__xludf.DUMMYFUNCTION("""COMPUTED_VALUE"""),"256GB SSD")</f>
        <v>256GB SSD</v>
      </c>
      <c r="J61" s="2" t="str">
        <f ca="1">IFERROR(__xludf.DUMMYFUNCTION("""COMPUTED_VALUE"""),"Intel UHD Graphics 620")</f>
        <v>Intel UHD Graphics 620</v>
      </c>
      <c r="K61" s="2" t="str">
        <f ca="1">IFERROR(__xludf.DUMMYFUNCTION("""COMPUTED_VALUE"""),"Windows 10")</f>
        <v>Windows 10</v>
      </c>
      <c r="L61" s="2" t="str">
        <f ca="1">IFERROR(__xludf.DUMMYFUNCTION("""COMPUTED_VALUE"""),"1.21kg")</f>
        <v>1.21kg</v>
      </c>
      <c r="M61" s="2">
        <f ca="1">IFERROR(__xludf.DUMMYFUNCTION("""COMPUTED_VALUE"""),1629)</f>
        <v>1629</v>
      </c>
    </row>
    <row r="62" spans="1:13">
      <c r="A62" s="2">
        <f ca="1">IFERROR(__xludf.DUMMYFUNCTION("""COMPUTED_VALUE"""),118)</f>
        <v>118</v>
      </c>
      <c r="B62" s="2" t="str">
        <f ca="1">IFERROR(__xludf.DUMMYFUNCTION("""COMPUTED_VALUE"""),"HP")</f>
        <v>HP</v>
      </c>
      <c r="C62" s="2" t="str">
        <f ca="1">IFERROR(__xludf.DUMMYFUNCTION("""COMPUTED_VALUE"""),"Spectre x360")</f>
        <v>Spectre x360</v>
      </c>
      <c r="D62" s="2" t="str">
        <f ca="1">IFERROR(__xludf.DUMMYFUNCTION("""COMPUTED_VALUE"""),"2 in 1 Convertible")</f>
        <v>2 in 1 Convertible</v>
      </c>
      <c r="E62" s="2">
        <f ca="1">IFERROR(__xludf.DUMMYFUNCTION("""COMPUTED_VALUE"""),13.3)</f>
        <v>13.3</v>
      </c>
      <c r="F62" s="2" t="str">
        <f ca="1">IFERROR(__xludf.DUMMYFUNCTION("""COMPUTED_VALUE"""),"IPS Panel Full HD / Touchscreen 1920x1080")</f>
        <v>IPS Panel Full HD / Touchscreen 1920x1080</v>
      </c>
      <c r="G62" s="2" t="str">
        <f ca="1">IFERROR(__xludf.DUMMYFUNCTION("""COMPUTED_VALUE"""),"Intel Core i5 8250U 1.6GHz")</f>
        <v>Intel Core i5 8250U 1.6GHz</v>
      </c>
      <c r="H62" s="2" t="str">
        <f ca="1">IFERROR(__xludf.DUMMYFUNCTION("""COMPUTED_VALUE"""),"8GB")</f>
        <v>8GB</v>
      </c>
      <c r="I62" s="2" t="str">
        <f ca="1">IFERROR(__xludf.DUMMYFUNCTION("""COMPUTED_VALUE"""),"256GB SSD")</f>
        <v>256GB SSD</v>
      </c>
      <c r="J62" s="2" t="str">
        <f ca="1">IFERROR(__xludf.DUMMYFUNCTION("""COMPUTED_VALUE"""),"Intel UHD Graphics 620")</f>
        <v>Intel UHD Graphics 620</v>
      </c>
      <c r="K62" s="2" t="str">
        <f ca="1">IFERROR(__xludf.DUMMYFUNCTION("""COMPUTED_VALUE"""),"Windows 10")</f>
        <v>Windows 10</v>
      </c>
      <c r="L62" s="2" t="str">
        <f ca="1">IFERROR(__xludf.DUMMYFUNCTION("""COMPUTED_VALUE"""),"1.26kg")</f>
        <v>1.26kg</v>
      </c>
      <c r="M62" s="2">
        <f ca="1">IFERROR(__xludf.DUMMYFUNCTION("""COMPUTED_VALUE"""),1398.99)</f>
        <v>1398.99</v>
      </c>
    </row>
    <row r="63" spans="1:13">
      <c r="A63" s="2">
        <f ca="1">IFERROR(__xludf.DUMMYFUNCTION("""COMPUTED_VALUE"""),119)</f>
        <v>119</v>
      </c>
      <c r="B63" s="2" t="str">
        <f ca="1">IFERROR(__xludf.DUMMYFUNCTION("""COMPUTED_VALUE"""),"HP")</f>
        <v>HP</v>
      </c>
      <c r="C63" s="2" t="str">
        <f ca="1">IFERROR(__xludf.DUMMYFUNCTION("""COMPUTED_VALUE"""),"Probook 440")</f>
        <v>Probook 440</v>
      </c>
      <c r="D63" s="2" t="str">
        <f ca="1">IFERROR(__xludf.DUMMYFUNCTION("""COMPUTED_VALUE"""),"Notebook")</f>
        <v>Notebook</v>
      </c>
      <c r="E63" s="2">
        <f ca="1">IFERROR(__xludf.DUMMYFUNCTION("""COMPUTED_VALUE"""),14)</f>
        <v>14</v>
      </c>
      <c r="F63" s="2" t="str">
        <f ca="1">IFERROR(__xludf.DUMMYFUNCTION("""COMPUTED_VALUE"""),"Full HD 1920x1080")</f>
        <v>Full HD 1920x1080</v>
      </c>
      <c r="G63" s="2" t="str">
        <f ca="1">IFERROR(__xludf.DUMMYFUNCTION("""COMPUTED_VALUE"""),"Intel Core i7 8550U 1.8GHz")</f>
        <v>Intel Core i7 8550U 1.8GHz</v>
      </c>
      <c r="H63" s="2" t="str">
        <f ca="1">IFERROR(__xludf.DUMMYFUNCTION("""COMPUTED_VALUE"""),"8GB")</f>
        <v>8GB</v>
      </c>
      <c r="I63" s="2" t="str">
        <f ca="1">IFERROR(__xludf.DUMMYFUNCTION("""COMPUTED_VALUE"""),"512GB SSD")</f>
        <v>512GB SSD</v>
      </c>
      <c r="J63" s="2" t="str">
        <f ca="1">IFERROR(__xludf.DUMMYFUNCTION("""COMPUTED_VALUE"""),"Intel UHD Graphics 620")</f>
        <v>Intel UHD Graphics 620</v>
      </c>
      <c r="K63" s="2" t="str">
        <f ca="1">IFERROR(__xludf.DUMMYFUNCTION("""COMPUTED_VALUE"""),"Windows 10")</f>
        <v>Windows 10</v>
      </c>
      <c r="L63" s="2" t="str">
        <f ca="1">IFERROR(__xludf.DUMMYFUNCTION("""COMPUTED_VALUE"""),"1.63kg")</f>
        <v>1.63kg</v>
      </c>
      <c r="M63" s="2">
        <f ca="1">IFERROR(__xludf.DUMMYFUNCTION("""COMPUTED_VALUE"""),1084)</f>
        <v>1084</v>
      </c>
    </row>
    <row r="64" spans="1:13">
      <c r="A64" s="2">
        <f ca="1">IFERROR(__xludf.DUMMYFUNCTION("""COMPUTED_VALUE"""),120)</f>
        <v>120</v>
      </c>
      <c r="B64" s="2" t="str">
        <f ca="1">IFERROR(__xludf.DUMMYFUNCTION("""COMPUTED_VALUE"""),"Dell")</f>
        <v>Dell</v>
      </c>
      <c r="C64" s="2" t="str">
        <f ca="1">IFERROR(__xludf.DUMMYFUNCTION("""COMPUTED_VALUE"""),"Inspiron 7570")</f>
        <v>Inspiron 7570</v>
      </c>
      <c r="D64" s="2" t="str">
        <f ca="1">IFERROR(__xludf.DUMMYFUNCTION("""COMPUTED_VALUE"""),"Notebook")</f>
        <v>Notebook</v>
      </c>
      <c r="E64" s="2">
        <f ca="1">IFERROR(__xludf.DUMMYFUNCTION("""COMPUTED_VALUE"""),15.6)</f>
        <v>15.6</v>
      </c>
      <c r="F64" s="2" t="str">
        <f ca="1">IFERROR(__xludf.DUMMYFUNCTION("""COMPUTED_VALUE"""),"IPS Panel Full HD 1920x1080")</f>
        <v>IPS Panel Full HD 1920x1080</v>
      </c>
      <c r="G64" s="2" t="str">
        <f ca="1">IFERROR(__xludf.DUMMYFUNCTION("""COMPUTED_VALUE"""),"Intel Core i7 8550U 1.8GHz")</f>
        <v>Intel Core i7 8550U 1.8GHz</v>
      </c>
      <c r="H64" s="2" t="str">
        <f ca="1">IFERROR(__xludf.DUMMYFUNCTION("""COMPUTED_VALUE"""),"8GB")</f>
        <v>8GB</v>
      </c>
      <c r="I64" s="2" t="str">
        <f ca="1">IFERROR(__xludf.DUMMYFUNCTION("""COMPUTED_VALUE"""),"256GB SSD +  1TB HDD")</f>
        <v>256GB SSD +  1TB HDD</v>
      </c>
      <c r="J64" s="2" t="str">
        <f ca="1">IFERROR(__xludf.DUMMYFUNCTION("""COMPUTED_VALUE"""),"Nvidia GeForce 940MX")</f>
        <v>Nvidia GeForce 940MX</v>
      </c>
      <c r="K64" s="2" t="str">
        <f ca="1">IFERROR(__xludf.DUMMYFUNCTION("""COMPUTED_VALUE"""),"Windows 10")</f>
        <v>Windows 10</v>
      </c>
      <c r="L64" s="2" t="str">
        <f ca="1">IFERROR(__xludf.DUMMYFUNCTION("""COMPUTED_VALUE"""),"2.16kg")</f>
        <v>2.16kg</v>
      </c>
      <c r="M64" s="2">
        <f ca="1">IFERROR(__xludf.DUMMYFUNCTION("""COMPUTED_VALUE"""),1130.33)</f>
        <v>1130.33</v>
      </c>
    </row>
    <row r="65" spans="1:13">
      <c r="A65" s="2">
        <f ca="1">IFERROR(__xludf.DUMMYFUNCTION("""COMPUTED_VALUE"""),122)</f>
        <v>122</v>
      </c>
      <c r="B65" s="2" t="str">
        <f ca="1">IFERROR(__xludf.DUMMYFUNCTION("""COMPUTED_VALUE"""),"Asus")</f>
        <v>Asus</v>
      </c>
      <c r="C65" s="2" t="str">
        <f ca="1">IFERROR(__xludf.DUMMYFUNCTION("""COMPUTED_VALUE"""),"VivoBook S15")</f>
        <v>VivoBook S15</v>
      </c>
      <c r="D65" s="2" t="str">
        <f ca="1">IFERROR(__xludf.DUMMYFUNCTION("""COMPUTED_VALUE"""),"Notebook")</f>
        <v>Notebook</v>
      </c>
      <c r="E65" s="2">
        <f ca="1">IFERROR(__xludf.DUMMYFUNCTION("""COMPUTED_VALUE"""),15.6)</f>
        <v>15.6</v>
      </c>
      <c r="F65" s="2" t="str">
        <f ca="1">IFERROR(__xludf.DUMMYFUNCTION("""COMPUTED_VALUE"""),"Full HD 1920x1080")</f>
        <v>Full HD 1920x1080</v>
      </c>
      <c r="G65" s="2" t="str">
        <f ca="1">IFERROR(__xludf.DUMMYFUNCTION("""COMPUTED_VALUE"""),"Intel Core i7 8550U 1.8GHz")</f>
        <v>Intel Core i7 8550U 1.8GHz</v>
      </c>
      <c r="H65" s="2" t="str">
        <f ca="1">IFERROR(__xludf.DUMMYFUNCTION("""COMPUTED_VALUE"""),"8GB")</f>
        <v>8GB</v>
      </c>
      <c r="I65" s="2" t="str">
        <f ca="1">IFERROR(__xludf.DUMMYFUNCTION("""COMPUTED_VALUE"""),"256GB SSD")</f>
        <v>256GB SSD</v>
      </c>
      <c r="J65" s="2" t="str">
        <f ca="1">IFERROR(__xludf.DUMMYFUNCTION("""COMPUTED_VALUE"""),"Nvidia GeForce 940MX")</f>
        <v>Nvidia GeForce 940MX</v>
      </c>
      <c r="K65" s="2" t="str">
        <f ca="1">IFERROR(__xludf.DUMMYFUNCTION("""COMPUTED_VALUE"""),"Windows 10")</f>
        <v>Windows 10</v>
      </c>
      <c r="L65" s="2" t="str">
        <f ca="1">IFERROR(__xludf.DUMMYFUNCTION("""COMPUTED_VALUE"""),"1.7kg")</f>
        <v>1.7kg</v>
      </c>
      <c r="M65" s="2">
        <f ca="1">IFERROR(__xludf.DUMMYFUNCTION("""COMPUTED_VALUE"""),1118)</f>
        <v>1118</v>
      </c>
    </row>
    <row r="66" spans="1:13">
      <c r="A66" s="2">
        <f ca="1">IFERROR(__xludf.DUMMYFUNCTION("""COMPUTED_VALUE"""),125)</f>
        <v>125</v>
      </c>
      <c r="B66" s="2" t="str">
        <f ca="1">IFERROR(__xludf.DUMMYFUNCTION("""COMPUTED_VALUE"""),"Lenovo")</f>
        <v>Lenovo</v>
      </c>
      <c r="C66" s="2" t="str">
        <f ca="1">IFERROR(__xludf.DUMMYFUNCTION("""COMPUTED_VALUE"""),"IdeaPad 320-15IKBN")</f>
        <v>IdeaPad 320-15IKBN</v>
      </c>
      <c r="D66" s="2" t="str">
        <f ca="1">IFERROR(__xludf.DUMMYFUNCTION("""COMPUTED_VALUE"""),"Notebook")</f>
        <v>Notebook</v>
      </c>
      <c r="E66" s="2">
        <f ca="1">IFERROR(__xludf.DUMMYFUNCTION("""COMPUTED_VALUE"""),15.6)</f>
        <v>15.6</v>
      </c>
      <c r="F66" s="2" t="str">
        <f ca="1">IFERROR(__xludf.DUMMYFUNCTION("""COMPUTED_VALUE"""),"Full HD 1920x1080")</f>
        <v>Full HD 1920x1080</v>
      </c>
      <c r="G66" s="2" t="str">
        <f ca="1">IFERROR(__xludf.DUMMYFUNCTION("""COMPUTED_VALUE"""),"Intel Core i5 7200U 2.5GHz")</f>
        <v>Intel Core i5 7200U 2.5GHz</v>
      </c>
      <c r="H66" s="2" t="str">
        <f ca="1">IFERROR(__xludf.DUMMYFUNCTION("""COMPUTED_VALUE"""),"8GB")</f>
        <v>8GB</v>
      </c>
      <c r="I66" s="2" t="str">
        <f ca="1">IFERROR(__xludf.DUMMYFUNCTION("""COMPUTED_VALUE"""),"256GB SSD")</f>
        <v>256GB SSD</v>
      </c>
      <c r="J66" s="2" t="str">
        <f ca="1">IFERROR(__xludf.DUMMYFUNCTION("""COMPUTED_VALUE"""),"Nvidia GeForce 940MX")</f>
        <v>Nvidia GeForce 940MX</v>
      </c>
      <c r="K66" s="2" t="str">
        <f ca="1">IFERROR(__xludf.DUMMYFUNCTION("""COMPUTED_VALUE"""),"No OS")</f>
        <v>No OS</v>
      </c>
      <c r="L66" s="2" t="str">
        <f ca="1">IFERROR(__xludf.DUMMYFUNCTION("""COMPUTED_VALUE"""),"2.2kg")</f>
        <v>2.2kg</v>
      </c>
      <c r="M66" s="2">
        <f ca="1">IFERROR(__xludf.DUMMYFUNCTION("""COMPUTED_VALUE"""),629)</f>
        <v>629</v>
      </c>
    </row>
    <row r="67" spans="1:13">
      <c r="A67" s="2">
        <f ca="1">IFERROR(__xludf.DUMMYFUNCTION("""COMPUTED_VALUE"""),129)</f>
        <v>129</v>
      </c>
      <c r="B67" s="2" t="str">
        <f ca="1">IFERROR(__xludf.DUMMYFUNCTION("""COMPUTED_VALUE"""),"HP")</f>
        <v>HP</v>
      </c>
      <c r="C67" s="2" t="str">
        <f ca="1">IFERROR(__xludf.DUMMYFUNCTION("""COMPUTED_VALUE"""),"Probook 440")</f>
        <v>Probook 440</v>
      </c>
      <c r="D67" s="2" t="str">
        <f ca="1">IFERROR(__xludf.DUMMYFUNCTION("""COMPUTED_VALUE"""),"Notebook")</f>
        <v>Notebook</v>
      </c>
      <c r="E67" s="2">
        <f ca="1">IFERROR(__xludf.DUMMYFUNCTION("""COMPUTED_VALUE"""),14)</f>
        <v>14</v>
      </c>
      <c r="F67" s="2" t="str">
        <f ca="1">IFERROR(__xludf.DUMMYFUNCTION("""COMPUTED_VALUE"""),"Full HD 1920x1080")</f>
        <v>Full HD 1920x1080</v>
      </c>
      <c r="G67" s="2" t="str">
        <f ca="1">IFERROR(__xludf.DUMMYFUNCTION("""COMPUTED_VALUE"""),"Intel Core i5 8250U 1.6GHz")</f>
        <v>Intel Core i5 8250U 1.6GHz</v>
      </c>
      <c r="H67" s="2" t="str">
        <f ca="1">IFERROR(__xludf.DUMMYFUNCTION("""COMPUTED_VALUE"""),"8GB")</f>
        <v>8GB</v>
      </c>
      <c r="I67" s="2" t="str">
        <f ca="1">IFERROR(__xludf.DUMMYFUNCTION("""COMPUTED_VALUE"""),"1TB HDD")</f>
        <v>1TB HDD</v>
      </c>
      <c r="J67" s="2" t="str">
        <f ca="1">IFERROR(__xludf.DUMMYFUNCTION("""COMPUTED_VALUE"""),"Intel UHD Graphics 620")</f>
        <v>Intel UHD Graphics 620</v>
      </c>
      <c r="K67" s="2" t="str">
        <f ca="1">IFERROR(__xludf.DUMMYFUNCTION("""COMPUTED_VALUE"""),"Windows 10")</f>
        <v>Windows 10</v>
      </c>
      <c r="L67" s="2" t="str">
        <f ca="1">IFERROR(__xludf.DUMMYFUNCTION("""COMPUTED_VALUE"""),"1.63kg")</f>
        <v>1.63kg</v>
      </c>
      <c r="M67" s="2">
        <f ca="1">IFERROR(__xludf.DUMMYFUNCTION("""COMPUTED_VALUE"""),812)</f>
        <v>812</v>
      </c>
    </row>
    <row r="68" spans="1:13">
      <c r="A68" s="2">
        <f ca="1">IFERROR(__xludf.DUMMYFUNCTION("""COMPUTED_VALUE"""),132)</f>
        <v>132</v>
      </c>
      <c r="B68" s="2" t="str">
        <f ca="1">IFERROR(__xludf.DUMMYFUNCTION("""COMPUTED_VALUE"""),"HP")</f>
        <v>HP</v>
      </c>
      <c r="C68" s="2" t="str">
        <f ca="1">IFERROR(__xludf.DUMMYFUNCTION("""COMPUTED_VALUE"""),"ProBook 470")</f>
        <v>ProBook 470</v>
      </c>
      <c r="D68" s="2" t="str">
        <f ca="1">IFERROR(__xludf.DUMMYFUNCTION("""COMPUTED_VALUE"""),"Notebook")</f>
        <v>Notebook</v>
      </c>
      <c r="E68" s="2">
        <f ca="1">IFERROR(__xludf.DUMMYFUNCTION("""COMPUTED_VALUE"""),17.3)</f>
        <v>17.3</v>
      </c>
      <c r="F68" s="2" t="str">
        <f ca="1">IFERROR(__xludf.DUMMYFUNCTION("""COMPUTED_VALUE"""),"Full HD 1920x1080")</f>
        <v>Full HD 1920x1080</v>
      </c>
      <c r="G68" s="2" t="str">
        <f ca="1">IFERROR(__xludf.DUMMYFUNCTION("""COMPUTED_VALUE"""),"Intel Core i5 8250U 1.6GHz")</f>
        <v>Intel Core i5 8250U 1.6GHz</v>
      </c>
      <c r="H68" s="2" t="str">
        <f ca="1">IFERROR(__xludf.DUMMYFUNCTION("""COMPUTED_VALUE"""),"8GB")</f>
        <v>8GB</v>
      </c>
      <c r="I68" s="2" t="str">
        <f ca="1">IFERROR(__xludf.DUMMYFUNCTION("""COMPUTED_VALUE"""),"256GB SSD")</f>
        <v>256GB SSD</v>
      </c>
      <c r="J68" s="2" t="str">
        <f ca="1">IFERROR(__xludf.DUMMYFUNCTION("""COMPUTED_VALUE"""),"Intel UHD Graphics 620")</f>
        <v>Intel UHD Graphics 620</v>
      </c>
      <c r="K68" s="2" t="str">
        <f ca="1">IFERROR(__xludf.DUMMYFUNCTION("""COMPUTED_VALUE"""),"Windows 10")</f>
        <v>Windows 10</v>
      </c>
      <c r="L68" s="2" t="str">
        <f ca="1">IFERROR(__xludf.DUMMYFUNCTION("""COMPUTED_VALUE"""),"2.5kg")</f>
        <v>2.5kg</v>
      </c>
      <c r="M68" s="2">
        <f ca="1">IFERROR(__xludf.DUMMYFUNCTION("""COMPUTED_VALUE"""),928)</f>
        <v>928</v>
      </c>
    </row>
    <row r="69" spans="1:13">
      <c r="A69" s="2">
        <f ca="1">IFERROR(__xludf.DUMMYFUNCTION("""COMPUTED_VALUE"""),133)</f>
        <v>133</v>
      </c>
      <c r="B69" s="2" t="str">
        <f ca="1">IFERROR(__xludf.DUMMYFUNCTION("""COMPUTED_VALUE"""),"Dell")</f>
        <v>Dell</v>
      </c>
      <c r="C69" s="2" t="str">
        <f ca="1">IFERROR(__xludf.DUMMYFUNCTION("""COMPUTED_VALUE"""),"Inspiron 5567")</f>
        <v>Inspiron 5567</v>
      </c>
      <c r="D69" s="2" t="str">
        <f ca="1">IFERROR(__xludf.DUMMYFUNCTION("""COMPUTED_VALUE"""),"Notebook")</f>
        <v>Notebook</v>
      </c>
      <c r="E69" s="2">
        <f ca="1">IFERROR(__xludf.DUMMYFUNCTION("""COMPUTED_VALUE"""),15.6)</f>
        <v>15.6</v>
      </c>
      <c r="F69" s="2" t="str">
        <f ca="1">IFERROR(__xludf.DUMMYFUNCTION("""COMPUTED_VALUE"""),"1366x768")</f>
        <v>1366x768</v>
      </c>
      <c r="G69" s="2" t="str">
        <f ca="1">IFERROR(__xludf.DUMMYFUNCTION("""COMPUTED_VALUE"""),"Intel Core i5 7200U 2.5GHz")</f>
        <v>Intel Core i5 7200U 2.5GHz</v>
      </c>
      <c r="H69" s="2" t="str">
        <f ca="1">IFERROR(__xludf.DUMMYFUNCTION("""COMPUTED_VALUE"""),"8GB")</f>
        <v>8GB</v>
      </c>
      <c r="I69" s="2" t="str">
        <f ca="1">IFERROR(__xludf.DUMMYFUNCTION("""COMPUTED_VALUE"""),"1TB HDD")</f>
        <v>1TB HDD</v>
      </c>
      <c r="J69" s="2" t="str">
        <f ca="1">IFERROR(__xludf.DUMMYFUNCTION("""COMPUTED_VALUE"""),"AMD Radeon R7 M445")</f>
        <v>AMD Radeon R7 M445</v>
      </c>
      <c r="K69" s="2" t="str">
        <f ca="1">IFERROR(__xludf.DUMMYFUNCTION("""COMPUTED_VALUE"""),"Windows 10")</f>
        <v>Windows 10</v>
      </c>
      <c r="L69" s="2" t="str">
        <f ca="1">IFERROR(__xludf.DUMMYFUNCTION("""COMPUTED_VALUE"""),"2.36kg")</f>
        <v>2.36kg</v>
      </c>
      <c r="M69" s="2">
        <f ca="1">IFERROR(__xludf.DUMMYFUNCTION("""COMPUTED_VALUE"""),638.99)</f>
        <v>638.99</v>
      </c>
    </row>
    <row r="70" spans="1:13">
      <c r="A70" s="2">
        <f ca="1">IFERROR(__xludf.DUMMYFUNCTION("""COMPUTED_VALUE"""),135)</f>
        <v>135</v>
      </c>
      <c r="B70" s="2" t="str">
        <f ca="1">IFERROR(__xludf.DUMMYFUNCTION("""COMPUTED_VALUE"""),"Acer")</f>
        <v>Acer</v>
      </c>
      <c r="C70" s="2" t="str">
        <f ca="1">IFERROR(__xludf.DUMMYFUNCTION("""COMPUTED_VALUE"""),"Swift 3")</f>
        <v>Swift 3</v>
      </c>
      <c r="D70" s="2" t="str">
        <f ca="1">IFERROR(__xludf.DUMMYFUNCTION("""COMPUTED_VALUE"""),"Ultrabook")</f>
        <v>Ultrabook</v>
      </c>
      <c r="E70" s="2">
        <f ca="1">IFERROR(__xludf.DUMMYFUNCTION("""COMPUTED_VALUE"""),14)</f>
        <v>14</v>
      </c>
      <c r="F70" s="2" t="str">
        <f ca="1">IFERROR(__xludf.DUMMYFUNCTION("""COMPUTED_VALUE"""),"IPS Panel Full HD 1920x1080")</f>
        <v>IPS Panel Full HD 1920x1080</v>
      </c>
      <c r="G70" s="2" t="str">
        <f ca="1">IFERROR(__xludf.DUMMYFUNCTION("""COMPUTED_VALUE"""),"Intel Core i7 8550U 1.8GHz")</f>
        <v>Intel Core i7 8550U 1.8GHz</v>
      </c>
      <c r="H70" s="2" t="str">
        <f ca="1">IFERROR(__xludf.DUMMYFUNCTION("""COMPUTED_VALUE"""),"8GB")</f>
        <v>8GB</v>
      </c>
      <c r="I70" s="2" t="str">
        <f ca="1">IFERROR(__xludf.DUMMYFUNCTION("""COMPUTED_VALUE"""),"256GB SSD")</f>
        <v>256GB SSD</v>
      </c>
      <c r="J70" s="2" t="str">
        <f ca="1">IFERROR(__xludf.DUMMYFUNCTION("""COMPUTED_VALUE"""),"Intel UHD Graphics 620")</f>
        <v>Intel UHD Graphics 620</v>
      </c>
      <c r="K70" s="2" t="str">
        <f ca="1">IFERROR(__xludf.DUMMYFUNCTION("""COMPUTED_VALUE"""),"Windows 10")</f>
        <v>Windows 10</v>
      </c>
      <c r="L70" s="2" t="str">
        <f ca="1">IFERROR(__xludf.DUMMYFUNCTION("""COMPUTED_VALUE"""),"1.6kg")</f>
        <v>1.6kg</v>
      </c>
      <c r="M70" s="2">
        <f ca="1">IFERROR(__xludf.DUMMYFUNCTION("""COMPUTED_VALUE"""),884)</f>
        <v>884</v>
      </c>
    </row>
    <row r="71" spans="1:13">
      <c r="A71" s="2">
        <f ca="1">IFERROR(__xludf.DUMMYFUNCTION("""COMPUTED_VALUE"""),137)</f>
        <v>137</v>
      </c>
      <c r="B71" s="2" t="str">
        <f ca="1">IFERROR(__xludf.DUMMYFUNCTION("""COMPUTED_VALUE"""),"HP")</f>
        <v>HP</v>
      </c>
      <c r="C71" s="2" t="str">
        <f ca="1">IFERROR(__xludf.DUMMYFUNCTION("""COMPUTED_VALUE"""),"15-BS078nr (i7-7500U/8GB/1TB/W10)")</f>
        <v>15-BS078nr (i7-7500U/8GB/1TB/W10)</v>
      </c>
      <c r="D71" s="2" t="str">
        <f ca="1">IFERROR(__xludf.DUMMYFUNCTION("""COMPUTED_VALUE"""),"Notebook")</f>
        <v>Notebook</v>
      </c>
      <c r="E71" s="2">
        <f ca="1">IFERROR(__xludf.DUMMYFUNCTION("""COMPUTED_VALUE"""),15.6)</f>
        <v>15.6</v>
      </c>
      <c r="F71" s="2" t="str">
        <f ca="1">IFERROR(__xludf.DUMMYFUNCTION("""COMPUTED_VALUE"""),"1366x768")</f>
        <v>1366x768</v>
      </c>
      <c r="G71" s="2" t="str">
        <f ca="1">IFERROR(__xludf.DUMMYFUNCTION("""COMPUTED_VALUE"""),"Intel Core i7 7500U 2.7GHz")</f>
        <v>Intel Core i7 7500U 2.7GHz</v>
      </c>
      <c r="H71" s="2" t="str">
        <f ca="1">IFERROR(__xludf.DUMMYFUNCTION("""COMPUTED_VALUE"""),"8GB")</f>
        <v>8GB</v>
      </c>
      <c r="I71" s="2" t="str">
        <f ca="1">IFERROR(__xludf.DUMMYFUNCTION("""COMPUTED_VALUE"""),"1TB HDD")</f>
        <v>1TB HDD</v>
      </c>
      <c r="J71" s="2" t="str">
        <f ca="1">IFERROR(__xludf.DUMMYFUNCTION("""COMPUTED_VALUE"""),"Intel HD Graphics 620")</f>
        <v>Intel HD Graphics 620</v>
      </c>
      <c r="K71" s="2" t="str">
        <f ca="1">IFERROR(__xludf.DUMMYFUNCTION("""COMPUTED_VALUE"""),"Windows 10")</f>
        <v>Windows 10</v>
      </c>
      <c r="L71" s="2" t="str">
        <f ca="1">IFERROR(__xludf.DUMMYFUNCTION("""COMPUTED_VALUE"""),"2.05kg")</f>
        <v>2.05kg</v>
      </c>
      <c r="M71" s="2">
        <f ca="1">IFERROR(__xludf.DUMMYFUNCTION("""COMPUTED_VALUE"""),598)</f>
        <v>598</v>
      </c>
    </row>
    <row r="72" spans="1:13">
      <c r="A72" s="2">
        <f ca="1">IFERROR(__xludf.DUMMYFUNCTION("""COMPUTED_VALUE"""),138)</f>
        <v>138</v>
      </c>
      <c r="B72" s="2" t="str">
        <f ca="1">IFERROR(__xludf.DUMMYFUNCTION("""COMPUTED_VALUE"""),"HP")</f>
        <v>HP</v>
      </c>
      <c r="C72" s="2" t="str">
        <f ca="1">IFERROR(__xludf.DUMMYFUNCTION("""COMPUTED_VALUE"""),"Probook 440")</f>
        <v>Probook 440</v>
      </c>
      <c r="D72" s="2" t="str">
        <f ca="1">IFERROR(__xludf.DUMMYFUNCTION("""COMPUTED_VALUE"""),"Notebook")</f>
        <v>Notebook</v>
      </c>
      <c r="E72" s="2">
        <f ca="1">IFERROR(__xludf.DUMMYFUNCTION("""COMPUTED_VALUE"""),14)</f>
        <v>14</v>
      </c>
      <c r="F72" s="2" t="str">
        <f ca="1">IFERROR(__xludf.DUMMYFUNCTION("""COMPUTED_VALUE"""),"Full HD 1920x1080")</f>
        <v>Full HD 1920x1080</v>
      </c>
      <c r="G72" s="2" t="str">
        <f ca="1">IFERROR(__xludf.DUMMYFUNCTION("""COMPUTED_VALUE"""),"Intel Core i7 8550U 1.8GHz")</f>
        <v>Intel Core i7 8550U 1.8GHz</v>
      </c>
      <c r="H72" s="2" t="str">
        <f ca="1">IFERROR(__xludf.DUMMYFUNCTION("""COMPUTED_VALUE"""),"8GB")</f>
        <v>8GB</v>
      </c>
      <c r="I72" s="2" t="str">
        <f ca="1">IFERROR(__xludf.DUMMYFUNCTION("""COMPUTED_VALUE"""),"256GB SSD")</f>
        <v>256GB SSD</v>
      </c>
      <c r="J72" s="2" t="str">
        <f ca="1">IFERROR(__xludf.DUMMYFUNCTION("""COMPUTED_VALUE"""),"Intel UHD Graphics 620")</f>
        <v>Intel UHD Graphics 620</v>
      </c>
      <c r="K72" s="2" t="str">
        <f ca="1">IFERROR(__xludf.DUMMYFUNCTION("""COMPUTED_VALUE"""),"Windows 10")</f>
        <v>Windows 10</v>
      </c>
      <c r="L72" s="2" t="str">
        <f ca="1">IFERROR(__xludf.DUMMYFUNCTION("""COMPUTED_VALUE"""),"1.63kg")</f>
        <v>1.63kg</v>
      </c>
      <c r="M72" s="2">
        <f ca="1">IFERROR(__xludf.DUMMYFUNCTION("""COMPUTED_VALUE"""),988)</f>
        <v>988</v>
      </c>
    </row>
    <row r="73" spans="1:13">
      <c r="A73" s="2">
        <f ca="1">IFERROR(__xludf.DUMMYFUNCTION("""COMPUTED_VALUE"""),140)</f>
        <v>140</v>
      </c>
      <c r="B73" s="2" t="str">
        <f ca="1">IFERROR(__xludf.DUMMYFUNCTION("""COMPUTED_VALUE"""),"Asus")</f>
        <v>Asus</v>
      </c>
      <c r="C73" s="2" t="str">
        <f ca="1">IFERROR(__xludf.DUMMYFUNCTION("""COMPUTED_VALUE"""),"FX753VD-GC086T (i5-7300HQ/8GB/1TB")</f>
        <v>FX753VD-GC086T (i5-7300HQ/8GB/1TB</v>
      </c>
      <c r="D73" s="2" t="str">
        <f ca="1">IFERROR(__xludf.DUMMYFUNCTION("""COMPUTED_VALUE"""),"Gaming")</f>
        <v>Gaming</v>
      </c>
      <c r="E73" s="2">
        <f ca="1">IFERROR(__xludf.DUMMYFUNCTION("""COMPUTED_VALUE"""),17.3)</f>
        <v>17.3</v>
      </c>
      <c r="F73" s="2" t="str">
        <f ca="1">IFERROR(__xludf.DUMMYFUNCTION("""COMPUTED_VALUE"""),"Full HD 1920x1080")</f>
        <v>Full HD 1920x1080</v>
      </c>
      <c r="G73" s="2" t="str">
        <f ca="1">IFERROR(__xludf.DUMMYFUNCTION("""COMPUTED_VALUE"""),"Intel Core i5 7300HQ 2.5GHz")</f>
        <v>Intel Core i5 7300HQ 2.5GHz</v>
      </c>
      <c r="H73" s="2" t="str">
        <f ca="1">IFERROR(__xludf.DUMMYFUNCTION("""COMPUTED_VALUE"""),"8GB")</f>
        <v>8GB</v>
      </c>
      <c r="I73" s="2" t="str">
        <f ca="1">IFERROR(__xludf.DUMMYFUNCTION("""COMPUTED_VALUE"""),"128GB SSD +  1TB HDD")</f>
        <v>128GB SSD +  1TB HDD</v>
      </c>
      <c r="J73" s="2" t="str">
        <f ca="1">IFERROR(__xludf.DUMMYFUNCTION("""COMPUTED_VALUE"""),"Nvidia GeForce GTX 1050")</f>
        <v>Nvidia GeForce GTX 1050</v>
      </c>
      <c r="K73" s="2" t="str">
        <f ca="1">IFERROR(__xludf.DUMMYFUNCTION("""COMPUTED_VALUE"""),"Windows 10")</f>
        <v>Windows 10</v>
      </c>
      <c r="L73" s="2" t="str">
        <f ca="1">IFERROR(__xludf.DUMMYFUNCTION("""COMPUTED_VALUE"""),"3kg")</f>
        <v>3kg</v>
      </c>
      <c r="M73" s="2">
        <f ca="1">IFERROR(__xludf.DUMMYFUNCTION("""COMPUTED_VALUE"""),938)</f>
        <v>938</v>
      </c>
    </row>
    <row r="74" spans="1:13">
      <c r="A74" s="2">
        <f ca="1">IFERROR(__xludf.DUMMYFUNCTION("""COMPUTED_VALUE"""),144)</f>
        <v>144</v>
      </c>
      <c r="B74" s="2" t="str">
        <f ca="1">IFERROR(__xludf.DUMMYFUNCTION("""COMPUTED_VALUE"""),"Lenovo")</f>
        <v>Lenovo</v>
      </c>
      <c r="C74" s="2" t="str">
        <f ca="1">IFERROR(__xludf.DUMMYFUNCTION("""COMPUTED_VALUE"""),"ThinkPad E480")</f>
        <v>ThinkPad E480</v>
      </c>
      <c r="D74" s="2" t="str">
        <f ca="1">IFERROR(__xludf.DUMMYFUNCTION("""COMPUTED_VALUE"""),"Notebook")</f>
        <v>Notebook</v>
      </c>
      <c r="E74" s="2">
        <f ca="1">IFERROR(__xludf.DUMMYFUNCTION("""COMPUTED_VALUE"""),14)</f>
        <v>14</v>
      </c>
      <c r="F74" s="2" t="str">
        <f ca="1">IFERROR(__xludf.DUMMYFUNCTION("""COMPUTED_VALUE"""),"IPS Panel Full HD 1920x1080")</f>
        <v>IPS Panel Full HD 1920x1080</v>
      </c>
      <c r="G74" s="2" t="str">
        <f ca="1">IFERROR(__xludf.DUMMYFUNCTION("""COMPUTED_VALUE"""),"Intel Core i5 8250U 1.6GHz")</f>
        <v>Intel Core i5 8250U 1.6GHz</v>
      </c>
      <c r="H74" s="2" t="str">
        <f ca="1">IFERROR(__xludf.DUMMYFUNCTION("""COMPUTED_VALUE"""),"8GB")</f>
        <v>8GB</v>
      </c>
      <c r="I74" s="2" t="str">
        <f ca="1">IFERROR(__xludf.DUMMYFUNCTION("""COMPUTED_VALUE"""),"256GB SSD")</f>
        <v>256GB SSD</v>
      </c>
      <c r="J74" s="2" t="str">
        <f ca="1">IFERROR(__xludf.DUMMYFUNCTION("""COMPUTED_VALUE"""),"AMD Radeon RX 550")</f>
        <v>AMD Radeon RX 550</v>
      </c>
      <c r="K74" s="2" t="str">
        <f ca="1">IFERROR(__xludf.DUMMYFUNCTION("""COMPUTED_VALUE"""),"Windows 10")</f>
        <v>Windows 10</v>
      </c>
      <c r="L74" s="2" t="str">
        <f ca="1">IFERROR(__xludf.DUMMYFUNCTION("""COMPUTED_VALUE"""),"1.75kg")</f>
        <v>1.75kg</v>
      </c>
      <c r="M74" s="2">
        <f ca="1">IFERROR(__xludf.DUMMYFUNCTION("""COMPUTED_VALUE"""),1116.02)</f>
        <v>1116.02</v>
      </c>
    </row>
    <row r="75" spans="1:13">
      <c r="A75" s="2">
        <f ca="1">IFERROR(__xludf.DUMMYFUNCTION("""COMPUTED_VALUE"""),145)</f>
        <v>145</v>
      </c>
      <c r="B75" s="2" t="str">
        <f ca="1">IFERROR(__xludf.DUMMYFUNCTION("""COMPUTED_VALUE"""),"Lenovo")</f>
        <v>Lenovo</v>
      </c>
      <c r="C75" s="2" t="str">
        <f ca="1">IFERROR(__xludf.DUMMYFUNCTION("""COMPUTED_VALUE"""),"Legion Y520-15IKBN")</f>
        <v>Legion Y520-15IKBN</v>
      </c>
      <c r="D75" s="2" t="str">
        <f ca="1">IFERROR(__xludf.DUMMYFUNCTION("""COMPUTED_VALUE"""),"Gaming")</f>
        <v>Gaming</v>
      </c>
      <c r="E75" s="2">
        <f ca="1">IFERROR(__xludf.DUMMYFUNCTION("""COMPUTED_VALUE"""),15.6)</f>
        <v>15.6</v>
      </c>
      <c r="F75" s="2" t="str">
        <f ca="1">IFERROR(__xludf.DUMMYFUNCTION("""COMPUTED_VALUE"""),"IPS Panel Full HD 1920x1080")</f>
        <v>IPS Panel Full HD 1920x1080</v>
      </c>
      <c r="G75" s="2" t="str">
        <f ca="1">IFERROR(__xludf.DUMMYFUNCTION("""COMPUTED_VALUE"""),"Intel Core i7 7700HQ 2.8GHz")</f>
        <v>Intel Core i7 7700HQ 2.8GHz</v>
      </c>
      <c r="H75" s="2" t="str">
        <f ca="1">IFERROR(__xludf.DUMMYFUNCTION("""COMPUTED_VALUE"""),"8GB")</f>
        <v>8GB</v>
      </c>
      <c r="I75" s="2" t="str">
        <f ca="1">IFERROR(__xludf.DUMMYFUNCTION("""COMPUTED_VALUE"""),"256GB SSD")</f>
        <v>256GB SSD</v>
      </c>
      <c r="J75" s="2" t="str">
        <f ca="1">IFERROR(__xludf.DUMMYFUNCTION("""COMPUTED_VALUE"""),"Nvidia GeForce GTX 1050M")</f>
        <v>Nvidia GeForce GTX 1050M</v>
      </c>
      <c r="K75" s="2" t="str">
        <f ca="1">IFERROR(__xludf.DUMMYFUNCTION("""COMPUTED_VALUE"""),"No OS")</f>
        <v>No OS</v>
      </c>
      <c r="L75" s="2" t="str">
        <f ca="1">IFERROR(__xludf.DUMMYFUNCTION("""COMPUTED_VALUE"""),"2.4kg")</f>
        <v>2.4kg</v>
      </c>
      <c r="M75" s="2">
        <f ca="1">IFERROR(__xludf.DUMMYFUNCTION("""COMPUTED_VALUE"""),869)</f>
        <v>869</v>
      </c>
    </row>
    <row r="76" spans="1:13">
      <c r="A76" s="2">
        <f ca="1">IFERROR(__xludf.DUMMYFUNCTION("""COMPUTED_VALUE"""),148)</f>
        <v>148</v>
      </c>
      <c r="B76" s="2" t="str">
        <f ca="1">IFERROR(__xludf.DUMMYFUNCTION("""COMPUTED_VALUE"""),"Asus")</f>
        <v>Asus</v>
      </c>
      <c r="C76" s="2" t="str">
        <f ca="1">IFERROR(__xludf.DUMMYFUNCTION("""COMPUTED_VALUE"""),"ZenBook UX430UA")</f>
        <v>ZenBook UX430UA</v>
      </c>
      <c r="D76" s="2" t="str">
        <f ca="1">IFERROR(__xludf.DUMMYFUNCTION("""COMPUTED_VALUE"""),"Ultrabook")</f>
        <v>Ultrabook</v>
      </c>
      <c r="E76" s="2">
        <f ca="1">IFERROR(__xludf.DUMMYFUNCTION("""COMPUTED_VALUE"""),14)</f>
        <v>14</v>
      </c>
      <c r="F76" s="2" t="str">
        <f ca="1">IFERROR(__xludf.DUMMYFUNCTION("""COMPUTED_VALUE"""),"Full HD 1920x1080")</f>
        <v>Full HD 1920x1080</v>
      </c>
      <c r="G76" s="2" t="str">
        <f ca="1">IFERROR(__xludf.DUMMYFUNCTION("""COMPUTED_VALUE"""),"Intel Core i7 8550U 1.8GHz")</f>
        <v>Intel Core i7 8550U 1.8GHz</v>
      </c>
      <c r="H76" s="2" t="str">
        <f ca="1">IFERROR(__xludf.DUMMYFUNCTION("""COMPUTED_VALUE"""),"8GB")</f>
        <v>8GB</v>
      </c>
      <c r="I76" s="2" t="str">
        <f ca="1">IFERROR(__xludf.DUMMYFUNCTION("""COMPUTED_VALUE"""),"256GB SSD")</f>
        <v>256GB SSD</v>
      </c>
      <c r="J76" s="2" t="str">
        <f ca="1">IFERROR(__xludf.DUMMYFUNCTION("""COMPUTED_VALUE"""),"Intel UHD Graphics 620")</f>
        <v>Intel UHD Graphics 620</v>
      </c>
      <c r="K76" s="2" t="str">
        <f ca="1">IFERROR(__xludf.DUMMYFUNCTION("""COMPUTED_VALUE"""),"Windows 10")</f>
        <v>Windows 10</v>
      </c>
      <c r="L76" s="2" t="str">
        <f ca="1">IFERROR(__xludf.DUMMYFUNCTION("""COMPUTED_VALUE"""),"1.25kg")</f>
        <v>1.25kg</v>
      </c>
      <c r="M76" s="2">
        <f ca="1">IFERROR(__xludf.DUMMYFUNCTION("""COMPUTED_VALUE"""),1099)</f>
        <v>1099</v>
      </c>
    </row>
    <row r="77" spans="1:13">
      <c r="A77" s="2">
        <f ca="1">IFERROR(__xludf.DUMMYFUNCTION("""COMPUTED_VALUE"""),149)</f>
        <v>149</v>
      </c>
      <c r="B77" s="2" t="str">
        <f ca="1">IFERROR(__xludf.DUMMYFUNCTION("""COMPUTED_VALUE"""),"HP")</f>
        <v>HP</v>
      </c>
      <c r="C77" s="2" t="str">
        <f ca="1">IFERROR(__xludf.DUMMYFUNCTION("""COMPUTED_VALUE"""),"EliteBook Folio")</f>
        <v>EliteBook Folio</v>
      </c>
      <c r="D77" s="2" t="str">
        <f ca="1">IFERROR(__xludf.DUMMYFUNCTION("""COMPUTED_VALUE"""),"Ultrabook")</f>
        <v>Ultrabook</v>
      </c>
      <c r="E77" s="2">
        <f ca="1">IFERROR(__xludf.DUMMYFUNCTION("""COMPUTED_VALUE"""),12.5)</f>
        <v>12.5</v>
      </c>
      <c r="F77" s="2" t="str">
        <f ca="1">IFERROR(__xludf.DUMMYFUNCTION("""COMPUTED_VALUE"""),"IPS Panel 4K Ultra HD / Touchscreen 3840x2160")</f>
        <v>IPS Panel 4K Ultra HD / Touchscreen 3840x2160</v>
      </c>
      <c r="G77" s="2" t="str">
        <f ca="1">IFERROR(__xludf.DUMMYFUNCTION("""COMPUTED_VALUE"""),"Intel Core M 6Y75 1.2GHz")</f>
        <v>Intel Core M 6Y75 1.2GHz</v>
      </c>
      <c r="H77" s="2" t="str">
        <f ca="1">IFERROR(__xludf.DUMMYFUNCTION("""COMPUTED_VALUE"""),"8GB")</f>
        <v>8GB</v>
      </c>
      <c r="I77" s="2" t="str">
        <f ca="1">IFERROR(__xludf.DUMMYFUNCTION("""COMPUTED_VALUE"""),"512GB SSD")</f>
        <v>512GB SSD</v>
      </c>
      <c r="J77" s="2" t="str">
        <f ca="1">IFERROR(__xludf.DUMMYFUNCTION("""COMPUTED_VALUE"""),"Intel HD Graphics 515")</f>
        <v>Intel HD Graphics 515</v>
      </c>
      <c r="K77" s="2" t="str">
        <f ca="1">IFERROR(__xludf.DUMMYFUNCTION("""COMPUTED_VALUE"""),"Windows 10")</f>
        <v>Windows 10</v>
      </c>
      <c r="L77" s="2" t="str">
        <f ca="1">IFERROR(__xludf.DUMMYFUNCTION("""COMPUTED_VALUE"""),"0.97kg")</f>
        <v>0.97kg</v>
      </c>
      <c r="M77" s="2">
        <f ca="1">IFERROR(__xludf.DUMMYFUNCTION("""COMPUTED_VALUE"""),2014)</f>
        <v>2014</v>
      </c>
    </row>
    <row r="78" spans="1:13">
      <c r="A78" s="2">
        <f ca="1">IFERROR(__xludf.DUMMYFUNCTION("""COMPUTED_VALUE"""),154)</f>
        <v>154</v>
      </c>
      <c r="B78" s="2" t="str">
        <f ca="1">IFERROR(__xludf.DUMMYFUNCTION("""COMPUTED_VALUE"""),"Dell")</f>
        <v>Dell</v>
      </c>
      <c r="C78" s="2" t="str">
        <f ca="1">IFERROR(__xludf.DUMMYFUNCTION("""COMPUTED_VALUE"""),"Inspiron 7567")</f>
        <v>Inspiron 7567</v>
      </c>
      <c r="D78" s="2" t="str">
        <f ca="1">IFERROR(__xludf.DUMMYFUNCTION("""COMPUTED_VALUE"""),"Gaming")</f>
        <v>Gaming</v>
      </c>
      <c r="E78" s="2">
        <f ca="1">IFERROR(__xludf.DUMMYFUNCTION("""COMPUTED_VALUE"""),15.6)</f>
        <v>15.6</v>
      </c>
      <c r="F78" s="2" t="str">
        <f ca="1">IFERROR(__xludf.DUMMYFUNCTION("""COMPUTED_VALUE"""),"Full HD 1920x1080")</f>
        <v>Full HD 1920x1080</v>
      </c>
      <c r="G78" s="2" t="str">
        <f ca="1">IFERROR(__xludf.DUMMYFUNCTION("""COMPUTED_VALUE"""),"Intel Core i7 7700HQ 2.8GHz")</f>
        <v>Intel Core i7 7700HQ 2.8GHz</v>
      </c>
      <c r="H78" s="2" t="str">
        <f ca="1">IFERROR(__xludf.DUMMYFUNCTION("""COMPUTED_VALUE"""),"8GB")</f>
        <v>8GB</v>
      </c>
      <c r="I78" s="2" t="str">
        <f ca="1">IFERROR(__xludf.DUMMYFUNCTION("""COMPUTED_VALUE"""),"1.0TB Hybrid")</f>
        <v>1.0TB Hybrid</v>
      </c>
      <c r="J78" s="2" t="str">
        <f ca="1">IFERROR(__xludf.DUMMYFUNCTION("""COMPUTED_VALUE"""),"Nvidia GeForce GTX 1050")</f>
        <v>Nvidia GeForce GTX 1050</v>
      </c>
      <c r="K78" s="2" t="str">
        <f ca="1">IFERROR(__xludf.DUMMYFUNCTION("""COMPUTED_VALUE"""),"Windows 10")</f>
        <v>Windows 10</v>
      </c>
      <c r="L78" s="2" t="str">
        <f ca="1">IFERROR(__xludf.DUMMYFUNCTION("""COMPUTED_VALUE"""),"2.62kg")</f>
        <v>2.62kg</v>
      </c>
      <c r="M78" s="2">
        <f ca="1">IFERROR(__xludf.DUMMYFUNCTION("""COMPUTED_VALUE"""),899)</f>
        <v>899</v>
      </c>
    </row>
    <row r="79" spans="1:13">
      <c r="A79" s="2">
        <f ca="1">IFERROR(__xludf.DUMMYFUNCTION("""COMPUTED_VALUE"""),160)</f>
        <v>160</v>
      </c>
      <c r="B79" s="2" t="str">
        <f ca="1">IFERROR(__xludf.DUMMYFUNCTION("""COMPUTED_VALUE"""),"Asus")</f>
        <v>Asus</v>
      </c>
      <c r="C79" s="2" t="str">
        <f ca="1">IFERROR(__xludf.DUMMYFUNCTION("""COMPUTED_VALUE"""),"ZenBook Flip")</f>
        <v>ZenBook Flip</v>
      </c>
      <c r="D79" s="2" t="str">
        <f ca="1">IFERROR(__xludf.DUMMYFUNCTION("""COMPUTED_VALUE"""),"2 in 1 Convertible")</f>
        <v>2 in 1 Convertible</v>
      </c>
      <c r="E79" s="2">
        <f ca="1">IFERROR(__xludf.DUMMYFUNCTION("""COMPUTED_VALUE"""),13.3)</f>
        <v>13.3</v>
      </c>
      <c r="F79" s="2" t="str">
        <f ca="1">IFERROR(__xludf.DUMMYFUNCTION("""COMPUTED_VALUE"""),"Full HD / Touchscreen 1920x1080")</f>
        <v>Full HD / Touchscreen 1920x1080</v>
      </c>
      <c r="G79" s="2" t="str">
        <f ca="1">IFERROR(__xludf.DUMMYFUNCTION("""COMPUTED_VALUE"""),"Intel Core i5 8250U 1.6GHz")</f>
        <v>Intel Core i5 8250U 1.6GHz</v>
      </c>
      <c r="H79" s="2" t="str">
        <f ca="1">IFERROR(__xludf.DUMMYFUNCTION("""COMPUTED_VALUE"""),"8GB")</f>
        <v>8GB</v>
      </c>
      <c r="I79" s="2" t="str">
        <f ca="1">IFERROR(__xludf.DUMMYFUNCTION("""COMPUTED_VALUE"""),"256GB SSD")</f>
        <v>256GB SSD</v>
      </c>
      <c r="J79" s="2" t="str">
        <f ca="1">IFERROR(__xludf.DUMMYFUNCTION("""COMPUTED_VALUE"""),"Intel HD Graphics 620")</f>
        <v>Intel HD Graphics 620</v>
      </c>
      <c r="K79" s="2" t="str">
        <f ca="1">IFERROR(__xludf.DUMMYFUNCTION("""COMPUTED_VALUE"""),"Windows 10")</f>
        <v>Windows 10</v>
      </c>
      <c r="L79" s="2" t="str">
        <f ca="1">IFERROR(__xludf.DUMMYFUNCTION("""COMPUTED_VALUE"""),"1.1kg")</f>
        <v>1.1kg</v>
      </c>
      <c r="M79" s="2">
        <f ca="1">IFERROR(__xludf.DUMMYFUNCTION("""COMPUTED_VALUE"""),1315)</f>
        <v>1315</v>
      </c>
    </row>
    <row r="80" spans="1:13">
      <c r="A80" s="2">
        <f ca="1">IFERROR(__xludf.DUMMYFUNCTION("""COMPUTED_VALUE"""),161)</f>
        <v>161</v>
      </c>
      <c r="B80" s="2" t="str">
        <f ca="1">IFERROR(__xludf.DUMMYFUNCTION("""COMPUTED_VALUE"""),"Dell")</f>
        <v>Dell</v>
      </c>
      <c r="C80" s="2" t="str">
        <f ca="1">IFERROR(__xludf.DUMMYFUNCTION("""COMPUTED_VALUE"""),"Inspiron 5579")</f>
        <v>Inspiron 5579</v>
      </c>
      <c r="D80" s="2" t="str">
        <f ca="1">IFERROR(__xludf.DUMMYFUNCTION("""COMPUTED_VALUE"""),"2 in 1 Convertible")</f>
        <v>2 in 1 Convertible</v>
      </c>
      <c r="E80" s="2">
        <f ca="1">IFERROR(__xludf.DUMMYFUNCTION("""COMPUTED_VALUE"""),15.6)</f>
        <v>15.6</v>
      </c>
      <c r="F80" s="2" t="str">
        <f ca="1">IFERROR(__xludf.DUMMYFUNCTION("""COMPUTED_VALUE"""),"Full HD / Touchscreen 1920x1080")</f>
        <v>Full HD / Touchscreen 1920x1080</v>
      </c>
      <c r="G80" s="2" t="str">
        <f ca="1">IFERROR(__xludf.DUMMYFUNCTION("""COMPUTED_VALUE"""),"Intel Core i7 8550U 1.8GHz")</f>
        <v>Intel Core i7 8550U 1.8GHz</v>
      </c>
      <c r="H80" s="2" t="str">
        <f ca="1">IFERROR(__xludf.DUMMYFUNCTION("""COMPUTED_VALUE"""),"8GB")</f>
        <v>8GB</v>
      </c>
      <c r="I80" s="2" t="str">
        <f ca="1">IFERROR(__xludf.DUMMYFUNCTION("""COMPUTED_VALUE"""),"256GB SSD")</f>
        <v>256GB SSD</v>
      </c>
      <c r="J80" s="2" t="str">
        <f ca="1">IFERROR(__xludf.DUMMYFUNCTION("""COMPUTED_VALUE"""),"Intel UHD Graphics 620")</f>
        <v>Intel UHD Graphics 620</v>
      </c>
      <c r="K80" s="2" t="str">
        <f ca="1">IFERROR(__xludf.DUMMYFUNCTION("""COMPUTED_VALUE"""),"Windows 10")</f>
        <v>Windows 10</v>
      </c>
      <c r="L80" s="2" t="str">
        <f ca="1">IFERROR(__xludf.DUMMYFUNCTION("""COMPUTED_VALUE"""),"1.56kg")</f>
        <v>1.56kg</v>
      </c>
      <c r="M80" s="2">
        <f ca="1">IFERROR(__xludf.DUMMYFUNCTION("""COMPUTED_VALUE"""),1049)</f>
        <v>1049</v>
      </c>
    </row>
    <row r="81" spans="1:13">
      <c r="A81" s="2">
        <f ca="1">IFERROR(__xludf.DUMMYFUNCTION("""COMPUTED_VALUE"""),166)</f>
        <v>166</v>
      </c>
      <c r="B81" s="2" t="str">
        <f ca="1">IFERROR(__xludf.DUMMYFUNCTION("""COMPUTED_VALUE"""),"Dell")</f>
        <v>Dell</v>
      </c>
      <c r="C81" s="2" t="str">
        <f ca="1">IFERROR(__xludf.DUMMYFUNCTION("""COMPUTED_VALUE"""),"Inspiron 3576")</f>
        <v>Inspiron 3576</v>
      </c>
      <c r="D81" s="2" t="str">
        <f ca="1">IFERROR(__xludf.DUMMYFUNCTION("""COMPUTED_VALUE"""),"Notebook")</f>
        <v>Notebook</v>
      </c>
      <c r="E81" s="2">
        <f ca="1">IFERROR(__xludf.DUMMYFUNCTION("""COMPUTED_VALUE"""),15.6)</f>
        <v>15.6</v>
      </c>
      <c r="F81" s="2" t="str">
        <f ca="1">IFERROR(__xludf.DUMMYFUNCTION("""COMPUTED_VALUE"""),"Full HD 1920x1080")</f>
        <v>Full HD 1920x1080</v>
      </c>
      <c r="G81" s="2" t="str">
        <f ca="1">IFERROR(__xludf.DUMMYFUNCTION("""COMPUTED_VALUE"""),"Intel Core i5 8250U 1.6GHz")</f>
        <v>Intel Core i5 8250U 1.6GHz</v>
      </c>
      <c r="H81" s="2" t="str">
        <f ca="1">IFERROR(__xludf.DUMMYFUNCTION("""COMPUTED_VALUE"""),"8GB")</f>
        <v>8GB</v>
      </c>
      <c r="I81" s="2" t="str">
        <f ca="1">IFERROR(__xludf.DUMMYFUNCTION("""COMPUTED_VALUE"""),"256GB SSD")</f>
        <v>256GB SSD</v>
      </c>
      <c r="J81" s="2" t="str">
        <f ca="1">IFERROR(__xludf.DUMMYFUNCTION("""COMPUTED_VALUE"""),"AMD Radeon 520")</f>
        <v>AMD Radeon 520</v>
      </c>
      <c r="K81" s="2" t="str">
        <f ca="1">IFERROR(__xludf.DUMMYFUNCTION("""COMPUTED_VALUE"""),"Windows 10")</f>
        <v>Windows 10</v>
      </c>
      <c r="L81" s="2" t="str">
        <f ca="1">IFERROR(__xludf.DUMMYFUNCTION("""COMPUTED_VALUE"""),"2.13kg")</f>
        <v>2.13kg</v>
      </c>
      <c r="M81" s="2">
        <f ca="1">IFERROR(__xludf.DUMMYFUNCTION("""COMPUTED_VALUE"""),728)</f>
        <v>728</v>
      </c>
    </row>
    <row r="82" spans="1:13">
      <c r="A82" s="2">
        <f ca="1">IFERROR(__xludf.DUMMYFUNCTION("""COMPUTED_VALUE"""),171)</f>
        <v>171</v>
      </c>
      <c r="B82" s="2" t="str">
        <f ca="1">IFERROR(__xludf.DUMMYFUNCTION("""COMPUTED_VALUE"""),"Dell")</f>
        <v>Dell</v>
      </c>
      <c r="C82" s="2" t="str">
        <f ca="1">IFERROR(__xludf.DUMMYFUNCTION("""COMPUTED_VALUE"""),"Inspiron 5577")</f>
        <v>Inspiron 5577</v>
      </c>
      <c r="D82" s="2" t="str">
        <f ca="1">IFERROR(__xludf.DUMMYFUNCTION("""COMPUTED_VALUE"""),"Gaming")</f>
        <v>Gaming</v>
      </c>
      <c r="E82" s="2">
        <f ca="1">IFERROR(__xludf.DUMMYFUNCTION("""COMPUTED_VALUE"""),15.6)</f>
        <v>15.6</v>
      </c>
      <c r="F82" s="2" t="str">
        <f ca="1">IFERROR(__xludf.DUMMYFUNCTION("""COMPUTED_VALUE"""),"Full HD 1920x1080")</f>
        <v>Full HD 1920x1080</v>
      </c>
      <c r="G82" s="2" t="str">
        <f ca="1">IFERROR(__xludf.DUMMYFUNCTION("""COMPUTED_VALUE"""),"Intel Core i7 7700HQ 2.8GHz")</f>
        <v>Intel Core i7 7700HQ 2.8GHz</v>
      </c>
      <c r="H82" s="2" t="str">
        <f ca="1">IFERROR(__xludf.DUMMYFUNCTION("""COMPUTED_VALUE"""),"8GB")</f>
        <v>8GB</v>
      </c>
      <c r="I82" s="2" t="str">
        <f ca="1">IFERROR(__xludf.DUMMYFUNCTION("""COMPUTED_VALUE"""),"128GB SSD +  1TB HDD")</f>
        <v>128GB SSD +  1TB HDD</v>
      </c>
      <c r="J82" s="2" t="str">
        <f ca="1">IFERROR(__xludf.DUMMYFUNCTION("""COMPUTED_VALUE"""),"Nvidia GeForce GTX 1050")</f>
        <v>Nvidia GeForce GTX 1050</v>
      </c>
      <c r="K82" s="2" t="str">
        <f ca="1">IFERROR(__xludf.DUMMYFUNCTION("""COMPUTED_VALUE"""),"Windows 10")</f>
        <v>Windows 10</v>
      </c>
      <c r="L82" s="2" t="str">
        <f ca="1">IFERROR(__xludf.DUMMYFUNCTION("""COMPUTED_VALUE"""),"2.56kg")</f>
        <v>2.56kg</v>
      </c>
      <c r="M82" s="2">
        <f ca="1">IFERROR(__xludf.DUMMYFUNCTION("""COMPUTED_VALUE"""),1060.49)</f>
        <v>1060.49</v>
      </c>
    </row>
    <row r="83" spans="1:13">
      <c r="A83" s="2">
        <f ca="1">IFERROR(__xludf.DUMMYFUNCTION("""COMPUTED_VALUE"""),172)</f>
        <v>172</v>
      </c>
      <c r="B83" s="2" t="str">
        <f ca="1">IFERROR(__xludf.DUMMYFUNCTION("""COMPUTED_VALUE"""),"Acer")</f>
        <v>Acer</v>
      </c>
      <c r="C83" s="2" t="str">
        <f ca="1">IFERROR(__xludf.DUMMYFUNCTION("""COMPUTED_VALUE"""),"Aspire A517-51G")</f>
        <v>Aspire A517-51G</v>
      </c>
      <c r="D83" s="2" t="str">
        <f ca="1">IFERROR(__xludf.DUMMYFUNCTION("""COMPUTED_VALUE"""),"Notebook")</f>
        <v>Notebook</v>
      </c>
      <c r="E83" s="2">
        <f ca="1">IFERROR(__xludf.DUMMYFUNCTION("""COMPUTED_VALUE"""),17.3)</f>
        <v>17.3</v>
      </c>
      <c r="F83" s="2" t="str">
        <f ca="1">IFERROR(__xludf.DUMMYFUNCTION("""COMPUTED_VALUE"""),"IPS Panel Full HD 1920x1080")</f>
        <v>IPS Panel Full HD 1920x1080</v>
      </c>
      <c r="G83" s="2" t="str">
        <f ca="1">IFERROR(__xludf.DUMMYFUNCTION("""COMPUTED_VALUE"""),"Intel Core i5 8250U 1.6GHz")</f>
        <v>Intel Core i5 8250U 1.6GHz</v>
      </c>
      <c r="H83" s="2" t="str">
        <f ca="1">IFERROR(__xludf.DUMMYFUNCTION("""COMPUTED_VALUE"""),"8GB")</f>
        <v>8GB</v>
      </c>
      <c r="I83" s="2" t="str">
        <f ca="1">IFERROR(__xludf.DUMMYFUNCTION("""COMPUTED_VALUE"""),"256GB SSD")</f>
        <v>256GB SSD</v>
      </c>
      <c r="J83" s="2" t="str">
        <f ca="1">IFERROR(__xludf.DUMMYFUNCTION("""COMPUTED_VALUE"""),"Nvidia GeForce MX150")</f>
        <v>Nvidia GeForce MX150</v>
      </c>
      <c r="K83" s="2" t="str">
        <f ca="1">IFERROR(__xludf.DUMMYFUNCTION("""COMPUTED_VALUE"""),"Windows 10")</f>
        <v>Windows 10</v>
      </c>
      <c r="L83" s="2" t="str">
        <f ca="1">IFERROR(__xludf.DUMMYFUNCTION("""COMPUTED_VALUE"""),"3kg")</f>
        <v>3kg</v>
      </c>
      <c r="M83" s="2">
        <f ca="1">IFERROR(__xludf.DUMMYFUNCTION("""COMPUTED_VALUE"""),854)</f>
        <v>854</v>
      </c>
    </row>
    <row r="84" spans="1:13">
      <c r="A84" s="2">
        <f ca="1">IFERROR(__xludf.DUMMYFUNCTION("""COMPUTED_VALUE"""),174)</f>
        <v>174</v>
      </c>
      <c r="B84" s="2" t="str">
        <f ca="1">IFERROR(__xludf.DUMMYFUNCTION("""COMPUTED_VALUE"""),"Huawei")</f>
        <v>Huawei</v>
      </c>
      <c r="C84" s="2" t="str">
        <f ca="1">IFERROR(__xludf.DUMMYFUNCTION("""COMPUTED_VALUE"""),"MateBook X")</f>
        <v>MateBook X</v>
      </c>
      <c r="D84" s="2" t="str">
        <f ca="1">IFERROR(__xludf.DUMMYFUNCTION("""COMPUTED_VALUE"""),"Ultrabook")</f>
        <v>Ultrabook</v>
      </c>
      <c r="E84" s="2">
        <f ca="1">IFERROR(__xludf.DUMMYFUNCTION("""COMPUTED_VALUE"""),13)</f>
        <v>13</v>
      </c>
      <c r="F84" s="2" t="str">
        <f ca="1">IFERROR(__xludf.DUMMYFUNCTION("""COMPUTED_VALUE"""),"IPS Panel Full HD 2160x1440")</f>
        <v>IPS Panel Full HD 2160x1440</v>
      </c>
      <c r="G84" s="2" t="str">
        <f ca="1">IFERROR(__xludf.DUMMYFUNCTION("""COMPUTED_VALUE"""),"Intel Core i5 7200U 2.5GHz")</f>
        <v>Intel Core i5 7200U 2.5GHz</v>
      </c>
      <c r="H84" s="2" t="str">
        <f ca="1">IFERROR(__xludf.DUMMYFUNCTION("""COMPUTED_VALUE"""),"8GB")</f>
        <v>8GB</v>
      </c>
      <c r="I84" s="2" t="str">
        <f ca="1">IFERROR(__xludf.DUMMYFUNCTION("""COMPUTED_VALUE"""),"256GB SSD")</f>
        <v>256GB SSD</v>
      </c>
      <c r="J84" s="2" t="str">
        <f ca="1">IFERROR(__xludf.DUMMYFUNCTION("""COMPUTED_VALUE"""),"Intel HD Graphics 620")</f>
        <v>Intel HD Graphics 620</v>
      </c>
      <c r="K84" s="2" t="str">
        <f ca="1">IFERROR(__xludf.DUMMYFUNCTION("""COMPUTED_VALUE"""),"Windows 10")</f>
        <v>Windows 10</v>
      </c>
      <c r="L84" s="2" t="str">
        <f ca="1">IFERROR(__xludf.DUMMYFUNCTION("""COMPUTED_VALUE"""),"1.05kg")</f>
        <v>1.05kg</v>
      </c>
      <c r="M84" s="2">
        <f ca="1">IFERROR(__xludf.DUMMYFUNCTION("""COMPUTED_VALUE"""),1349)</f>
        <v>1349</v>
      </c>
    </row>
    <row r="85" spans="1:13">
      <c r="A85" s="2">
        <f ca="1">IFERROR(__xludf.DUMMYFUNCTION("""COMPUTED_VALUE"""),178)</f>
        <v>178</v>
      </c>
      <c r="B85" s="2" t="str">
        <f ca="1">IFERROR(__xludf.DUMMYFUNCTION("""COMPUTED_VALUE"""),"HP")</f>
        <v>HP</v>
      </c>
      <c r="C85" s="2" t="str">
        <f ca="1">IFERROR(__xludf.DUMMYFUNCTION("""COMPUTED_VALUE"""),"ProBook 470")</f>
        <v>ProBook 470</v>
      </c>
      <c r="D85" s="2" t="str">
        <f ca="1">IFERROR(__xludf.DUMMYFUNCTION("""COMPUTED_VALUE"""),"Notebook")</f>
        <v>Notebook</v>
      </c>
      <c r="E85" s="2">
        <f ca="1">IFERROR(__xludf.DUMMYFUNCTION("""COMPUTED_VALUE"""),17.3)</f>
        <v>17.3</v>
      </c>
      <c r="F85" s="2" t="str">
        <f ca="1">IFERROR(__xludf.DUMMYFUNCTION("""COMPUTED_VALUE"""),"Full HD 1920x1080")</f>
        <v>Full HD 1920x1080</v>
      </c>
      <c r="G85" s="2" t="str">
        <f ca="1">IFERROR(__xludf.DUMMYFUNCTION("""COMPUTED_VALUE"""),"Intel Core i5 8250U 1.6GHz")</f>
        <v>Intel Core i5 8250U 1.6GHz</v>
      </c>
      <c r="H85" s="2" t="str">
        <f ca="1">IFERROR(__xludf.DUMMYFUNCTION("""COMPUTED_VALUE"""),"8GB")</f>
        <v>8GB</v>
      </c>
      <c r="I85" s="2" t="str">
        <f ca="1">IFERROR(__xludf.DUMMYFUNCTION("""COMPUTED_VALUE"""),"256GB SSD")</f>
        <v>256GB SSD</v>
      </c>
      <c r="J85" s="2" t="str">
        <f ca="1">IFERROR(__xludf.DUMMYFUNCTION("""COMPUTED_VALUE"""),"Nvidia GeForce 930MX")</f>
        <v>Nvidia GeForce 930MX</v>
      </c>
      <c r="K85" s="2" t="str">
        <f ca="1">IFERROR(__xludf.DUMMYFUNCTION("""COMPUTED_VALUE"""),"Windows 10")</f>
        <v>Windows 10</v>
      </c>
      <c r="L85" s="2" t="str">
        <f ca="1">IFERROR(__xludf.DUMMYFUNCTION("""COMPUTED_VALUE"""),"2.5kg")</f>
        <v>2.5kg</v>
      </c>
      <c r="M85" s="2">
        <f ca="1">IFERROR(__xludf.DUMMYFUNCTION("""COMPUTED_VALUE"""),923)</f>
        <v>923</v>
      </c>
    </row>
    <row r="86" spans="1:13">
      <c r="A86" s="2">
        <f ca="1">IFERROR(__xludf.DUMMYFUNCTION("""COMPUTED_VALUE"""),179)</f>
        <v>179</v>
      </c>
      <c r="B86" s="2" t="str">
        <f ca="1">IFERROR(__xludf.DUMMYFUNCTION("""COMPUTED_VALUE"""),"Dell")</f>
        <v>Dell</v>
      </c>
      <c r="C86" s="2" t="str">
        <f ca="1">IFERROR(__xludf.DUMMYFUNCTION("""COMPUTED_VALUE"""),"Inspiron 3567")</f>
        <v>Inspiron 3567</v>
      </c>
      <c r="D86" s="2" t="str">
        <f ca="1">IFERROR(__xludf.DUMMYFUNCTION("""COMPUTED_VALUE"""),"Notebook")</f>
        <v>Notebook</v>
      </c>
      <c r="E86" s="2">
        <f ca="1">IFERROR(__xludf.DUMMYFUNCTION("""COMPUTED_VALUE"""),15.6)</f>
        <v>15.6</v>
      </c>
      <c r="F86" s="2" t="str">
        <f ca="1">IFERROR(__xludf.DUMMYFUNCTION("""COMPUTED_VALUE"""),"1366x768")</f>
        <v>1366x768</v>
      </c>
      <c r="G86" s="2" t="str">
        <f ca="1">IFERROR(__xludf.DUMMYFUNCTION("""COMPUTED_VALUE"""),"Intel Core i3 7100U 2.4GHz")</f>
        <v>Intel Core i3 7100U 2.4GHz</v>
      </c>
      <c r="H86" s="2" t="str">
        <f ca="1">IFERROR(__xludf.DUMMYFUNCTION("""COMPUTED_VALUE"""),"8GB")</f>
        <v>8GB</v>
      </c>
      <c r="I86" s="2" t="str">
        <f ca="1">IFERROR(__xludf.DUMMYFUNCTION("""COMPUTED_VALUE"""),"1TB HDD")</f>
        <v>1TB HDD</v>
      </c>
      <c r="J86" s="2" t="str">
        <f ca="1">IFERROR(__xludf.DUMMYFUNCTION("""COMPUTED_VALUE"""),"Intel HD Graphics 620")</f>
        <v>Intel HD Graphics 620</v>
      </c>
      <c r="K86" s="2" t="str">
        <f ca="1">IFERROR(__xludf.DUMMYFUNCTION("""COMPUTED_VALUE"""),"Windows 10")</f>
        <v>Windows 10</v>
      </c>
      <c r="L86" s="2" t="str">
        <f ca="1">IFERROR(__xludf.DUMMYFUNCTION("""COMPUTED_VALUE"""),"2.3kg")</f>
        <v>2.3kg</v>
      </c>
      <c r="M86" s="2">
        <f ca="1">IFERROR(__xludf.DUMMYFUNCTION("""COMPUTED_VALUE"""),459)</f>
        <v>459</v>
      </c>
    </row>
    <row r="87" spans="1:13">
      <c r="A87" s="2">
        <f ca="1">IFERROR(__xludf.DUMMYFUNCTION("""COMPUTED_VALUE"""),182)</f>
        <v>182</v>
      </c>
      <c r="B87" s="2" t="str">
        <f ca="1">IFERROR(__xludf.DUMMYFUNCTION("""COMPUTED_VALUE"""),"Lenovo")</f>
        <v>Lenovo</v>
      </c>
      <c r="C87" s="2" t="str">
        <f ca="1">IFERROR(__xludf.DUMMYFUNCTION("""COMPUTED_VALUE"""),"V310-15IKB (i5-7200U/8GB/1TB")</f>
        <v>V310-15IKB (i5-7200U/8GB/1TB</v>
      </c>
      <c r="D87" s="2" t="str">
        <f ca="1">IFERROR(__xludf.DUMMYFUNCTION("""COMPUTED_VALUE"""),"Notebook")</f>
        <v>Notebook</v>
      </c>
      <c r="E87" s="2">
        <f ca="1">IFERROR(__xludf.DUMMYFUNCTION("""COMPUTED_VALUE"""),15.6)</f>
        <v>15.6</v>
      </c>
      <c r="F87" s="2" t="str">
        <f ca="1">IFERROR(__xludf.DUMMYFUNCTION("""COMPUTED_VALUE"""),"Full HD 1920x1080")</f>
        <v>Full HD 1920x1080</v>
      </c>
      <c r="G87" s="2" t="str">
        <f ca="1">IFERROR(__xludf.DUMMYFUNCTION("""COMPUTED_VALUE"""),"Intel Core i5 7200U 2.5GHz")</f>
        <v>Intel Core i5 7200U 2.5GHz</v>
      </c>
      <c r="H87" s="2" t="str">
        <f ca="1">IFERROR(__xludf.DUMMYFUNCTION("""COMPUTED_VALUE"""),"8GB")</f>
        <v>8GB</v>
      </c>
      <c r="I87" s="2" t="str">
        <f ca="1">IFERROR(__xludf.DUMMYFUNCTION("""COMPUTED_VALUE"""),"128GB SSD +  1TB HDD")</f>
        <v>128GB SSD +  1TB HDD</v>
      </c>
      <c r="J87" s="2" t="str">
        <f ca="1">IFERROR(__xludf.DUMMYFUNCTION("""COMPUTED_VALUE"""),"AMD R17M-M1-70")</f>
        <v>AMD R17M-M1-70</v>
      </c>
      <c r="K87" s="2" t="str">
        <f ca="1">IFERROR(__xludf.DUMMYFUNCTION("""COMPUTED_VALUE"""),"Windows 10")</f>
        <v>Windows 10</v>
      </c>
      <c r="L87" s="2" t="str">
        <f ca="1">IFERROR(__xludf.DUMMYFUNCTION("""COMPUTED_VALUE"""),"1.90kg")</f>
        <v>1.90kg</v>
      </c>
      <c r="M87" s="2">
        <f ca="1">IFERROR(__xludf.DUMMYFUNCTION("""COMPUTED_VALUE"""),813)</f>
        <v>813</v>
      </c>
    </row>
    <row r="88" spans="1:13">
      <c r="A88" s="2">
        <f ca="1">IFERROR(__xludf.DUMMYFUNCTION("""COMPUTED_VALUE"""),183)</f>
        <v>183</v>
      </c>
      <c r="B88" s="2" t="str">
        <f ca="1">IFERROR(__xludf.DUMMYFUNCTION("""COMPUTED_VALUE"""),"HP")</f>
        <v>HP</v>
      </c>
      <c r="C88" s="2" t="str">
        <f ca="1">IFERROR(__xludf.DUMMYFUNCTION("""COMPUTED_VALUE"""),"Spectre x360")</f>
        <v>Spectre x360</v>
      </c>
      <c r="D88" s="2" t="str">
        <f ca="1">IFERROR(__xludf.DUMMYFUNCTION("""COMPUTED_VALUE"""),"2 in 1 Convertible")</f>
        <v>2 in 1 Convertible</v>
      </c>
      <c r="E88" s="2">
        <f ca="1">IFERROR(__xludf.DUMMYFUNCTION("""COMPUTED_VALUE"""),13.3)</f>
        <v>13.3</v>
      </c>
      <c r="F88" s="2" t="str">
        <f ca="1">IFERROR(__xludf.DUMMYFUNCTION("""COMPUTED_VALUE"""),"IPS Panel 4K Ultra HD / Touchscreen 3840x2160")</f>
        <v>IPS Panel 4K Ultra HD / Touchscreen 3840x2160</v>
      </c>
      <c r="G88" s="2" t="str">
        <f ca="1">IFERROR(__xludf.DUMMYFUNCTION("""COMPUTED_VALUE"""),"Intel Core i5 8250U 1.6GHz")</f>
        <v>Intel Core i5 8250U 1.6GHz</v>
      </c>
      <c r="H88" s="2" t="str">
        <f ca="1">IFERROR(__xludf.DUMMYFUNCTION("""COMPUTED_VALUE"""),"8GB")</f>
        <v>8GB</v>
      </c>
      <c r="I88" s="2" t="str">
        <f ca="1">IFERROR(__xludf.DUMMYFUNCTION("""COMPUTED_VALUE"""),"256GB SSD")</f>
        <v>256GB SSD</v>
      </c>
      <c r="J88" s="2" t="str">
        <f ca="1">IFERROR(__xludf.DUMMYFUNCTION("""COMPUTED_VALUE"""),"Intel UHD Graphics 620")</f>
        <v>Intel UHD Graphics 620</v>
      </c>
      <c r="K88" s="2" t="str">
        <f ca="1">IFERROR(__xludf.DUMMYFUNCTION("""COMPUTED_VALUE"""),"Windows 10")</f>
        <v>Windows 10</v>
      </c>
      <c r="L88" s="2" t="str">
        <f ca="1">IFERROR(__xludf.DUMMYFUNCTION("""COMPUTED_VALUE"""),"1.29kg")</f>
        <v>1.29kg</v>
      </c>
      <c r="M88" s="2">
        <f ca="1">IFERROR(__xludf.DUMMYFUNCTION("""COMPUTED_VALUE"""),1499)</f>
        <v>1499</v>
      </c>
    </row>
    <row r="89" spans="1:13">
      <c r="A89" s="2">
        <f ca="1">IFERROR(__xludf.DUMMYFUNCTION("""COMPUTED_VALUE"""),185)</f>
        <v>185</v>
      </c>
      <c r="B89" s="2" t="str">
        <f ca="1">IFERROR(__xludf.DUMMYFUNCTION("""COMPUTED_VALUE"""),"Dell")</f>
        <v>Dell</v>
      </c>
      <c r="C89" s="2" t="str">
        <f ca="1">IFERROR(__xludf.DUMMYFUNCTION("""COMPUTED_VALUE"""),"XPS 13")</f>
        <v>XPS 13</v>
      </c>
      <c r="D89" s="2" t="str">
        <f ca="1">IFERROR(__xludf.DUMMYFUNCTION("""COMPUTED_VALUE"""),"Ultrabook")</f>
        <v>Ultrabook</v>
      </c>
      <c r="E89" s="2">
        <f ca="1">IFERROR(__xludf.DUMMYFUNCTION("""COMPUTED_VALUE"""),13.3)</f>
        <v>13.3</v>
      </c>
      <c r="F89" s="2" t="str">
        <f ca="1">IFERROR(__xludf.DUMMYFUNCTION("""COMPUTED_VALUE"""),"Full HD 1920x1080")</f>
        <v>Full HD 1920x1080</v>
      </c>
      <c r="G89" s="2" t="str">
        <f ca="1">IFERROR(__xludf.DUMMYFUNCTION("""COMPUTED_VALUE"""),"Intel Core i5 8250U 1.6GHz")</f>
        <v>Intel Core i5 8250U 1.6GHz</v>
      </c>
      <c r="H89" s="2" t="str">
        <f ca="1">IFERROR(__xludf.DUMMYFUNCTION("""COMPUTED_VALUE"""),"8GB")</f>
        <v>8GB</v>
      </c>
      <c r="I89" s="2" t="str">
        <f ca="1">IFERROR(__xludf.DUMMYFUNCTION("""COMPUTED_VALUE"""),"256GB SSD")</f>
        <v>256GB SSD</v>
      </c>
      <c r="J89" s="2" t="str">
        <f ca="1">IFERROR(__xludf.DUMMYFUNCTION("""COMPUTED_VALUE"""),"Intel UHD Graphics 620")</f>
        <v>Intel UHD Graphics 620</v>
      </c>
      <c r="K89" s="2" t="str">
        <f ca="1">IFERROR(__xludf.DUMMYFUNCTION("""COMPUTED_VALUE"""),"Windows 10")</f>
        <v>Windows 10</v>
      </c>
      <c r="L89" s="2" t="str">
        <f ca="1">IFERROR(__xludf.DUMMYFUNCTION("""COMPUTED_VALUE"""),"1.23kg")</f>
        <v>1.23kg</v>
      </c>
      <c r="M89" s="2">
        <f ca="1">IFERROR(__xludf.DUMMYFUNCTION("""COMPUTED_VALUE"""),1399)</f>
        <v>1399</v>
      </c>
    </row>
    <row r="90" spans="1:13">
      <c r="A90" s="2">
        <f ca="1">IFERROR(__xludf.DUMMYFUNCTION("""COMPUTED_VALUE"""),187)</f>
        <v>187</v>
      </c>
      <c r="B90" s="2" t="str">
        <f ca="1">IFERROR(__xludf.DUMMYFUNCTION("""COMPUTED_VALUE"""),"Toshiba")</f>
        <v>Toshiba</v>
      </c>
      <c r="C90" s="2" t="str">
        <f ca="1">IFERROR(__xludf.DUMMYFUNCTION("""COMPUTED_VALUE"""),"Satellite Pro")</f>
        <v>Satellite Pro</v>
      </c>
      <c r="D90" s="2" t="str">
        <f ca="1">IFERROR(__xludf.DUMMYFUNCTION("""COMPUTED_VALUE"""),"Notebook")</f>
        <v>Notebook</v>
      </c>
      <c r="E90" s="2">
        <f ca="1">IFERROR(__xludf.DUMMYFUNCTION("""COMPUTED_VALUE"""),15.6)</f>
        <v>15.6</v>
      </c>
      <c r="F90" s="2" t="str">
        <f ca="1">IFERROR(__xludf.DUMMYFUNCTION("""COMPUTED_VALUE"""),"1366x768")</f>
        <v>1366x768</v>
      </c>
      <c r="G90" s="2" t="str">
        <f ca="1">IFERROR(__xludf.DUMMYFUNCTION("""COMPUTED_VALUE"""),"Intel Core i5 7200U 2.5GHz")</f>
        <v>Intel Core i5 7200U 2.5GHz</v>
      </c>
      <c r="H90" s="2" t="str">
        <f ca="1">IFERROR(__xludf.DUMMYFUNCTION("""COMPUTED_VALUE"""),"8GB")</f>
        <v>8GB</v>
      </c>
      <c r="I90" s="2" t="str">
        <f ca="1">IFERROR(__xludf.DUMMYFUNCTION("""COMPUTED_VALUE"""),"128GB SSD")</f>
        <v>128GB SSD</v>
      </c>
      <c r="J90" s="2" t="str">
        <f ca="1">IFERROR(__xludf.DUMMYFUNCTION("""COMPUTED_VALUE"""),"Intel HD Graphics 620")</f>
        <v>Intel HD Graphics 620</v>
      </c>
      <c r="K90" s="2" t="str">
        <f ca="1">IFERROR(__xludf.DUMMYFUNCTION("""COMPUTED_VALUE"""),"Windows 10")</f>
        <v>Windows 10</v>
      </c>
      <c r="L90" s="2" t="str">
        <f ca="1">IFERROR(__xludf.DUMMYFUNCTION("""COMPUTED_VALUE"""),"2.0kg")</f>
        <v>2.0kg</v>
      </c>
      <c r="M90" s="2">
        <f ca="1">IFERROR(__xludf.DUMMYFUNCTION("""COMPUTED_VALUE"""),793)</f>
        <v>793</v>
      </c>
    </row>
    <row r="91" spans="1:13">
      <c r="A91" s="2">
        <f ca="1">IFERROR(__xludf.DUMMYFUNCTION("""COMPUTED_VALUE"""),188)</f>
        <v>188</v>
      </c>
      <c r="B91" s="2" t="str">
        <f ca="1">IFERROR(__xludf.DUMMYFUNCTION("""COMPUTED_VALUE"""),"Xiaomi")</f>
        <v>Xiaomi</v>
      </c>
      <c r="C91" s="2" t="str">
        <f ca="1">IFERROR(__xludf.DUMMYFUNCTION("""COMPUTED_VALUE"""),"Mi Notebook")</f>
        <v>Mi Notebook</v>
      </c>
      <c r="D91" s="2" t="str">
        <f ca="1">IFERROR(__xludf.DUMMYFUNCTION("""COMPUTED_VALUE"""),"Notebook")</f>
        <v>Notebook</v>
      </c>
      <c r="E91" s="2">
        <f ca="1">IFERROR(__xludf.DUMMYFUNCTION("""COMPUTED_VALUE"""),15.6)</f>
        <v>15.6</v>
      </c>
      <c r="F91" s="2" t="str">
        <f ca="1">IFERROR(__xludf.DUMMYFUNCTION("""COMPUTED_VALUE"""),"IPS Panel Full HD 1920x1080")</f>
        <v>IPS Panel Full HD 1920x1080</v>
      </c>
      <c r="G91" s="2" t="str">
        <f ca="1">IFERROR(__xludf.DUMMYFUNCTION("""COMPUTED_VALUE"""),"Intel Core i5 8250U 1.6GHz")</f>
        <v>Intel Core i5 8250U 1.6GHz</v>
      </c>
      <c r="H91" s="2" t="str">
        <f ca="1">IFERROR(__xludf.DUMMYFUNCTION("""COMPUTED_VALUE"""),"8GB")</f>
        <v>8GB</v>
      </c>
      <c r="I91" s="2" t="str">
        <f ca="1">IFERROR(__xludf.DUMMYFUNCTION("""COMPUTED_VALUE"""),"256GB SSD")</f>
        <v>256GB SSD</v>
      </c>
      <c r="J91" s="2" t="str">
        <f ca="1">IFERROR(__xludf.DUMMYFUNCTION("""COMPUTED_VALUE"""),"Nvidia GeForce MX150")</f>
        <v>Nvidia GeForce MX150</v>
      </c>
      <c r="K91" s="2" t="str">
        <f ca="1">IFERROR(__xludf.DUMMYFUNCTION("""COMPUTED_VALUE"""),"No OS")</f>
        <v>No OS</v>
      </c>
      <c r="L91" s="2" t="str">
        <f ca="1">IFERROR(__xludf.DUMMYFUNCTION("""COMPUTED_VALUE"""),"1.95kg")</f>
        <v>1.95kg</v>
      </c>
      <c r="M91" s="2">
        <f ca="1">IFERROR(__xludf.DUMMYFUNCTION("""COMPUTED_VALUE"""),1199)</f>
        <v>1199</v>
      </c>
    </row>
    <row r="92" spans="1:13">
      <c r="A92" s="2">
        <f ca="1">IFERROR(__xludf.DUMMYFUNCTION("""COMPUTED_VALUE"""),191)</f>
        <v>191</v>
      </c>
      <c r="B92" s="2" t="str">
        <f ca="1">IFERROR(__xludf.DUMMYFUNCTION("""COMPUTED_VALUE"""),"Lenovo")</f>
        <v>Lenovo</v>
      </c>
      <c r="C92" s="2" t="str">
        <f ca="1">IFERROR(__xludf.DUMMYFUNCTION("""COMPUTED_VALUE"""),"Legion Y520-15IKBN")</f>
        <v>Legion Y520-15IKBN</v>
      </c>
      <c r="D92" s="2" t="str">
        <f ca="1">IFERROR(__xludf.DUMMYFUNCTION("""COMPUTED_VALUE"""),"Gaming")</f>
        <v>Gaming</v>
      </c>
      <c r="E92" s="2">
        <f ca="1">IFERROR(__xludf.DUMMYFUNCTION("""COMPUTED_VALUE"""),15.6)</f>
        <v>15.6</v>
      </c>
      <c r="F92" s="2" t="str">
        <f ca="1">IFERROR(__xludf.DUMMYFUNCTION("""COMPUTED_VALUE"""),"IPS Panel Full HD 1920x1080")</f>
        <v>IPS Panel Full HD 1920x1080</v>
      </c>
      <c r="G92" s="2" t="str">
        <f ca="1">IFERROR(__xludf.DUMMYFUNCTION("""COMPUTED_VALUE"""),"Intel Core i5 7300HQ 2.5GHz")</f>
        <v>Intel Core i5 7300HQ 2.5GHz</v>
      </c>
      <c r="H92" s="2" t="str">
        <f ca="1">IFERROR(__xludf.DUMMYFUNCTION("""COMPUTED_VALUE"""),"8GB")</f>
        <v>8GB</v>
      </c>
      <c r="I92" s="2" t="str">
        <f ca="1">IFERROR(__xludf.DUMMYFUNCTION("""COMPUTED_VALUE"""),"256GB SSD")</f>
        <v>256GB SSD</v>
      </c>
      <c r="J92" s="2" t="str">
        <f ca="1">IFERROR(__xludf.DUMMYFUNCTION("""COMPUTED_VALUE"""),"Nvidia GeForce GTX 1050")</f>
        <v>Nvidia GeForce GTX 1050</v>
      </c>
      <c r="K92" s="2" t="str">
        <f ca="1">IFERROR(__xludf.DUMMYFUNCTION("""COMPUTED_VALUE"""),"No OS")</f>
        <v>No OS</v>
      </c>
      <c r="L92" s="2" t="str">
        <f ca="1">IFERROR(__xludf.DUMMYFUNCTION("""COMPUTED_VALUE"""),"2.4kg")</f>
        <v>2.4kg</v>
      </c>
      <c r="M92" s="2">
        <f ca="1">IFERROR(__xludf.DUMMYFUNCTION("""COMPUTED_VALUE"""),779)</f>
        <v>779</v>
      </c>
    </row>
    <row r="93" spans="1:13">
      <c r="A93" s="2">
        <f ca="1">IFERROR(__xludf.DUMMYFUNCTION("""COMPUTED_VALUE"""),192)</f>
        <v>192</v>
      </c>
      <c r="B93" s="2" t="str">
        <f ca="1">IFERROR(__xludf.DUMMYFUNCTION("""COMPUTED_VALUE"""),"Acer")</f>
        <v>Acer</v>
      </c>
      <c r="C93" s="2" t="str">
        <f ca="1">IFERROR(__xludf.DUMMYFUNCTION("""COMPUTED_VALUE"""),"Swift 7")</f>
        <v>Swift 7</v>
      </c>
      <c r="D93" s="2" t="str">
        <f ca="1">IFERROR(__xludf.DUMMYFUNCTION("""COMPUTED_VALUE"""),"Ultrabook")</f>
        <v>Ultrabook</v>
      </c>
      <c r="E93" s="2">
        <f ca="1">IFERROR(__xludf.DUMMYFUNCTION("""COMPUTED_VALUE"""),13.3)</f>
        <v>13.3</v>
      </c>
      <c r="F93" s="2" t="str">
        <f ca="1">IFERROR(__xludf.DUMMYFUNCTION("""COMPUTED_VALUE"""),"IPS Panel Full HD 1920x1080")</f>
        <v>IPS Panel Full HD 1920x1080</v>
      </c>
      <c r="G93" s="2" t="str">
        <f ca="1">IFERROR(__xludf.DUMMYFUNCTION("""COMPUTED_VALUE"""),"Intel Core i5 7Y54 1.2GHz")</f>
        <v>Intel Core i5 7Y54 1.2GHz</v>
      </c>
      <c r="H93" s="2" t="str">
        <f ca="1">IFERROR(__xludf.DUMMYFUNCTION("""COMPUTED_VALUE"""),"8GB")</f>
        <v>8GB</v>
      </c>
      <c r="I93" s="2" t="str">
        <f ca="1">IFERROR(__xludf.DUMMYFUNCTION("""COMPUTED_VALUE"""),"256GB SSD")</f>
        <v>256GB SSD</v>
      </c>
      <c r="J93" s="2" t="str">
        <f ca="1">IFERROR(__xludf.DUMMYFUNCTION("""COMPUTED_VALUE"""),"Intel HD Graphics 615")</f>
        <v>Intel HD Graphics 615</v>
      </c>
      <c r="K93" s="2" t="str">
        <f ca="1">IFERROR(__xludf.DUMMYFUNCTION("""COMPUTED_VALUE"""),"Windows 10")</f>
        <v>Windows 10</v>
      </c>
      <c r="L93" s="2" t="str">
        <f ca="1">IFERROR(__xludf.DUMMYFUNCTION("""COMPUTED_VALUE"""),"1.12kg")</f>
        <v>1.12kg</v>
      </c>
      <c r="M93" s="2">
        <f ca="1">IFERROR(__xludf.DUMMYFUNCTION("""COMPUTED_VALUE"""),989)</f>
        <v>989</v>
      </c>
    </row>
    <row r="94" spans="1:13">
      <c r="A94" s="2">
        <f ca="1">IFERROR(__xludf.DUMMYFUNCTION("""COMPUTED_VALUE"""),193)</f>
        <v>193</v>
      </c>
      <c r="B94" s="2" t="str">
        <f ca="1">IFERROR(__xludf.DUMMYFUNCTION("""COMPUTED_VALUE"""),"Dell")</f>
        <v>Dell</v>
      </c>
      <c r="C94" s="2" t="str">
        <f ca="1">IFERROR(__xludf.DUMMYFUNCTION("""COMPUTED_VALUE"""),"Inspiron 5770")</f>
        <v>Inspiron 5770</v>
      </c>
      <c r="D94" s="2" t="str">
        <f ca="1">IFERROR(__xludf.DUMMYFUNCTION("""COMPUTED_VALUE"""),"Notebook")</f>
        <v>Notebook</v>
      </c>
      <c r="E94" s="2">
        <f ca="1">IFERROR(__xludf.DUMMYFUNCTION("""COMPUTED_VALUE"""),17.3)</f>
        <v>17.3</v>
      </c>
      <c r="F94" s="2" t="str">
        <f ca="1">IFERROR(__xludf.DUMMYFUNCTION("""COMPUTED_VALUE"""),"Full HD 1920x1080")</f>
        <v>Full HD 1920x1080</v>
      </c>
      <c r="G94" s="2" t="str">
        <f ca="1">IFERROR(__xludf.DUMMYFUNCTION("""COMPUTED_VALUE"""),"Intel Core i7 8550U 1.8GHz")</f>
        <v>Intel Core i7 8550U 1.8GHz</v>
      </c>
      <c r="H94" s="2" t="str">
        <f ca="1">IFERROR(__xludf.DUMMYFUNCTION("""COMPUTED_VALUE"""),"8GB")</f>
        <v>8GB</v>
      </c>
      <c r="I94" s="2" t="str">
        <f ca="1">IFERROR(__xludf.DUMMYFUNCTION("""COMPUTED_VALUE"""),"128GB SSD +  1TB HDD")</f>
        <v>128GB SSD +  1TB HDD</v>
      </c>
      <c r="J94" s="2" t="str">
        <f ca="1">IFERROR(__xludf.DUMMYFUNCTION("""COMPUTED_VALUE"""),"AMD Radeon 530")</f>
        <v>AMD Radeon 530</v>
      </c>
      <c r="K94" s="2" t="str">
        <f ca="1">IFERROR(__xludf.DUMMYFUNCTION("""COMPUTED_VALUE"""),"Windows 10")</f>
        <v>Windows 10</v>
      </c>
      <c r="L94" s="2" t="str">
        <f ca="1">IFERROR(__xludf.DUMMYFUNCTION("""COMPUTED_VALUE"""),"2.8kg")</f>
        <v>2.8kg</v>
      </c>
      <c r="M94" s="2">
        <f ca="1">IFERROR(__xludf.DUMMYFUNCTION("""COMPUTED_VALUE"""),1085)</f>
        <v>1085</v>
      </c>
    </row>
    <row r="95" spans="1:13">
      <c r="A95" s="2">
        <f ca="1">IFERROR(__xludf.DUMMYFUNCTION("""COMPUTED_VALUE"""),196)</f>
        <v>196</v>
      </c>
      <c r="B95" s="2" t="str">
        <f ca="1">IFERROR(__xludf.DUMMYFUNCTION("""COMPUTED_VALUE"""),"Xiaomi")</f>
        <v>Xiaomi</v>
      </c>
      <c r="C95" s="2" t="str">
        <f ca="1">IFERROR(__xludf.DUMMYFUNCTION("""COMPUTED_VALUE"""),"Mi Notebook")</f>
        <v>Mi Notebook</v>
      </c>
      <c r="D95" s="2" t="str">
        <f ca="1">IFERROR(__xludf.DUMMYFUNCTION("""COMPUTED_VALUE"""),"Ultrabook")</f>
        <v>Ultrabook</v>
      </c>
      <c r="E95" s="2">
        <f ca="1">IFERROR(__xludf.DUMMYFUNCTION("""COMPUTED_VALUE"""),13.3)</f>
        <v>13.3</v>
      </c>
      <c r="F95" s="2" t="str">
        <f ca="1">IFERROR(__xludf.DUMMYFUNCTION("""COMPUTED_VALUE"""),"IPS Panel Full HD 1920x1080")</f>
        <v>IPS Panel Full HD 1920x1080</v>
      </c>
      <c r="G95" s="2" t="str">
        <f ca="1">IFERROR(__xludf.DUMMYFUNCTION("""COMPUTED_VALUE"""),"Intel Core i5 7200U 2.5GHz")</f>
        <v>Intel Core i5 7200U 2.5GHz</v>
      </c>
      <c r="H95" s="2" t="str">
        <f ca="1">IFERROR(__xludf.DUMMYFUNCTION("""COMPUTED_VALUE"""),"8GB")</f>
        <v>8GB</v>
      </c>
      <c r="I95" s="2" t="str">
        <f ca="1">IFERROR(__xludf.DUMMYFUNCTION("""COMPUTED_VALUE"""),"256GB SSD")</f>
        <v>256GB SSD</v>
      </c>
      <c r="J95" s="2" t="str">
        <f ca="1">IFERROR(__xludf.DUMMYFUNCTION("""COMPUTED_VALUE"""),"Nvidia GeForce MX150")</f>
        <v>Nvidia GeForce MX150</v>
      </c>
      <c r="K95" s="2" t="str">
        <f ca="1">IFERROR(__xludf.DUMMYFUNCTION("""COMPUTED_VALUE"""),"No OS")</f>
        <v>No OS</v>
      </c>
      <c r="L95" s="2" t="str">
        <f ca="1">IFERROR(__xludf.DUMMYFUNCTION("""COMPUTED_VALUE"""),"1.3kg")</f>
        <v>1.3kg</v>
      </c>
      <c r="M95" s="2">
        <f ca="1">IFERROR(__xludf.DUMMYFUNCTION("""COMPUTED_VALUE"""),999.9)</f>
        <v>999.9</v>
      </c>
    </row>
    <row r="96" spans="1:13">
      <c r="A96" s="2">
        <f ca="1">IFERROR(__xludf.DUMMYFUNCTION("""COMPUTED_VALUE"""),197)</f>
        <v>197</v>
      </c>
      <c r="B96" s="2" t="str">
        <f ca="1">IFERROR(__xludf.DUMMYFUNCTION("""COMPUTED_VALUE"""),"Lenovo")</f>
        <v>Lenovo</v>
      </c>
      <c r="C96" s="2" t="str">
        <f ca="1">IFERROR(__xludf.DUMMYFUNCTION("""COMPUTED_VALUE"""),"IdeaPad 320-17IKBR")</f>
        <v>IdeaPad 320-17IKBR</v>
      </c>
      <c r="D96" s="2" t="str">
        <f ca="1">IFERROR(__xludf.DUMMYFUNCTION("""COMPUTED_VALUE"""),"Notebook")</f>
        <v>Notebook</v>
      </c>
      <c r="E96" s="2">
        <f ca="1">IFERROR(__xludf.DUMMYFUNCTION("""COMPUTED_VALUE"""),17.3)</f>
        <v>17.3</v>
      </c>
      <c r="F96" s="2" t="str">
        <f ca="1">IFERROR(__xludf.DUMMYFUNCTION("""COMPUTED_VALUE"""),"1600x900")</f>
        <v>1600x900</v>
      </c>
      <c r="G96" s="2" t="str">
        <f ca="1">IFERROR(__xludf.DUMMYFUNCTION("""COMPUTED_VALUE"""),"Intel Core i5 8250U 1.6GHz")</f>
        <v>Intel Core i5 8250U 1.6GHz</v>
      </c>
      <c r="H96" s="2" t="str">
        <f ca="1">IFERROR(__xludf.DUMMYFUNCTION("""COMPUTED_VALUE"""),"8GB")</f>
        <v>8GB</v>
      </c>
      <c r="I96" s="2" t="str">
        <f ca="1">IFERROR(__xludf.DUMMYFUNCTION("""COMPUTED_VALUE"""),"256GB SSD")</f>
        <v>256GB SSD</v>
      </c>
      <c r="J96" s="2" t="str">
        <f ca="1">IFERROR(__xludf.DUMMYFUNCTION("""COMPUTED_VALUE"""),"Nvidia GeForce MX150")</f>
        <v>Nvidia GeForce MX150</v>
      </c>
      <c r="K96" s="2" t="str">
        <f ca="1">IFERROR(__xludf.DUMMYFUNCTION("""COMPUTED_VALUE"""),"No OS")</f>
        <v>No OS</v>
      </c>
      <c r="L96" s="2" t="str">
        <f ca="1">IFERROR(__xludf.DUMMYFUNCTION("""COMPUTED_VALUE"""),"2.8kg")</f>
        <v>2.8kg</v>
      </c>
      <c r="M96" s="2">
        <f ca="1">IFERROR(__xludf.DUMMYFUNCTION("""COMPUTED_VALUE"""),698)</f>
        <v>698</v>
      </c>
    </row>
    <row r="97" spans="1:13">
      <c r="A97" s="2">
        <f ca="1">IFERROR(__xludf.DUMMYFUNCTION("""COMPUTED_VALUE"""),198)</f>
        <v>198</v>
      </c>
      <c r="B97" s="2" t="str">
        <f ca="1">IFERROR(__xludf.DUMMYFUNCTION("""COMPUTED_VALUE"""),"Dell")</f>
        <v>Dell</v>
      </c>
      <c r="C97" s="2" t="str">
        <f ca="1">IFERROR(__xludf.DUMMYFUNCTION("""COMPUTED_VALUE"""),"Inspiron 5379")</f>
        <v>Inspiron 5379</v>
      </c>
      <c r="D97" s="2" t="str">
        <f ca="1">IFERROR(__xludf.DUMMYFUNCTION("""COMPUTED_VALUE"""),"2 in 1 Convertible")</f>
        <v>2 in 1 Convertible</v>
      </c>
      <c r="E97" s="2">
        <f ca="1">IFERROR(__xludf.DUMMYFUNCTION("""COMPUTED_VALUE"""),13.3)</f>
        <v>13.3</v>
      </c>
      <c r="F97" s="2" t="str">
        <f ca="1">IFERROR(__xludf.DUMMYFUNCTION("""COMPUTED_VALUE"""),"IPS Panel Full HD / Touchscreen 1920x1080")</f>
        <v>IPS Panel Full HD / Touchscreen 1920x1080</v>
      </c>
      <c r="G97" s="2" t="str">
        <f ca="1">IFERROR(__xludf.DUMMYFUNCTION("""COMPUTED_VALUE"""),"Intel Core i7 8550U 1.8GHz")</f>
        <v>Intel Core i7 8550U 1.8GHz</v>
      </c>
      <c r="H97" s="2" t="str">
        <f ca="1">IFERROR(__xludf.DUMMYFUNCTION("""COMPUTED_VALUE"""),"8GB")</f>
        <v>8GB</v>
      </c>
      <c r="I97" s="2" t="str">
        <f ca="1">IFERROR(__xludf.DUMMYFUNCTION("""COMPUTED_VALUE"""),"1TB HDD")</f>
        <v>1TB HDD</v>
      </c>
      <c r="J97" s="2" t="str">
        <f ca="1">IFERROR(__xludf.DUMMYFUNCTION("""COMPUTED_VALUE"""),"Intel UHD Graphics 620")</f>
        <v>Intel UHD Graphics 620</v>
      </c>
      <c r="K97" s="2" t="str">
        <f ca="1">IFERROR(__xludf.DUMMYFUNCTION("""COMPUTED_VALUE"""),"Windows 10")</f>
        <v>Windows 10</v>
      </c>
      <c r="L97" s="2" t="str">
        <f ca="1">IFERROR(__xludf.DUMMYFUNCTION("""COMPUTED_VALUE"""),"1.62kg")</f>
        <v>1.62kg</v>
      </c>
      <c r="M97" s="2">
        <f ca="1">IFERROR(__xludf.DUMMYFUNCTION("""COMPUTED_VALUE"""),839)</f>
        <v>839</v>
      </c>
    </row>
    <row r="98" spans="1:13">
      <c r="A98" s="2">
        <f ca="1">IFERROR(__xludf.DUMMYFUNCTION("""COMPUTED_VALUE"""),199)</f>
        <v>199</v>
      </c>
      <c r="B98" s="2" t="str">
        <f ca="1">IFERROR(__xludf.DUMMYFUNCTION("""COMPUTED_VALUE"""),"HP")</f>
        <v>HP</v>
      </c>
      <c r="C98" s="2" t="str">
        <f ca="1">IFERROR(__xludf.DUMMYFUNCTION("""COMPUTED_VALUE"""),"ProBook 470")</f>
        <v>ProBook 470</v>
      </c>
      <c r="D98" s="2" t="str">
        <f ca="1">IFERROR(__xludf.DUMMYFUNCTION("""COMPUTED_VALUE"""),"Notebook")</f>
        <v>Notebook</v>
      </c>
      <c r="E98" s="2">
        <f ca="1">IFERROR(__xludf.DUMMYFUNCTION("""COMPUTED_VALUE"""),17.3)</f>
        <v>17.3</v>
      </c>
      <c r="F98" s="2" t="str">
        <f ca="1">IFERROR(__xludf.DUMMYFUNCTION("""COMPUTED_VALUE"""),"IPS Panel Full HD 1920x1080")</f>
        <v>IPS Panel Full HD 1920x1080</v>
      </c>
      <c r="G98" s="2" t="str">
        <f ca="1">IFERROR(__xludf.DUMMYFUNCTION("""COMPUTED_VALUE"""),"Intel Core i5 8250U 1.6GHz")</f>
        <v>Intel Core i5 8250U 1.6GHz</v>
      </c>
      <c r="H98" s="2" t="str">
        <f ca="1">IFERROR(__xludf.DUMMYFUNCTION("""COMPUTED_VALUE"""),"8GB")</f>
        <v>8GB</v>
      </c>
      <c r="I98" s="2" t="str">
        <f ca="1">IFERROR(__xludf.DUMMYFUNCTION("""COMPUTED_VALUE"""),"1TB HDD")</f>
        <v>1TB HDD</v>
      </c>
      <c r="J98" s="2" t="str">
        <f ca="1">IFERROR(__xludf.DUMMYFUNCTION("""COMPUTED_VALUE"""),"Nvidia GeForce 930MX")</f>
        <v>Nvidia GeForce 930MX</v>
      </c>
      <c r="K98" s="2" t="str">
        <f ca="1">IFERROR(__xludf.DUMMYFUNCTION("""COMPUTED_VALUE"""),"Windows 10")</f>
        <v>Windows 10</v>
      </c>
      <c r="L98" s="2" t="str">
        <f ca="1">IFERROR(__xludf.DUMMYFUNCTION("""COMPUTED_VALUE"""),"2.5kg")</f>
        <v>2.5kg</v>
      </c>
      <c r="M98" s="2">
        <f ca="1">IFERROR(__xludf.DUMMYFUNCTION("""COMPUTED_VALUE"""),914)</f>
        <v>914</v>
      </c>
    </row>
    <row r="99" spans="1:13">
      <c r="A99" s="2">
        <f ca="1">IFERROR(__xludf.DUMMYFUNCTION("""COMPUTED_VALUE"""),201)</f>
        <v>201</v>
      </c>
      <c r="B99" s="2" t="str">
        <f ca="1">IFERROR(__xludf.DUMMYFUNCTION("""COMPUTED_VALUE"""),"HP")</f>
        <v>HP</v>
      </c>
      <c r="C99" s="2" t="str">
        <f ca="1">IFERROR(__xludf.DUMMYFUNCTION("""COMPUTED_VALUE"""),"ProBook 430")</f>
        <v>ProBook 430</v>
      </c>
      <c r="D99" s="2" t="str">
        <f ca="1">IFERROR(__xludf.DUMMYFUNCTION("""COMPUTED_VALUE"""),"Notebook")</f>
        <v>Notebook</v>
      </c>
      <c r="E99" s="2">
        <f ca="1">IFERROR(__xludf.DUMMYFUNCTION("""COMPUTED_VALUE"""),13.3)</f>
        <v>13.3</v>
      </c>
      <c r="F99" s="2" t="str">
        <f ca="1">IFERROR(__xludf.DUMMYFUNCTION("""COMPUTED_VALUE"""),"Full HD 1920x1080")</f>
        <v>Full HD 1920x1080</v>
      </c>
      <c r="G99" s="2" t="str">
        <f ca="1">IFERROR(__xludf.DUMMYFUNCTION("""COMPUTED_VALUE"""),"Intel Core i5 8250U 1.6GHz")</f>
        <v>Intel Core i5 8250U 1.6GHz</v>
      </c>
      <c r="H99" s="2" t="str">
        <f ca="1">IFERROR(__xludf.DUMMYFUNCTION("""COMPUTED_VALUE"""),"8GB")</f>
        <v>8GB</v>
      </c>
      <c r="I99" s="2" t="str">
        <f ca="1">IFERROR(__xludf.DUMMYFUNCTION("""COMPUTED_VALUE"""),"512GB SSD")</f>
        <v>512GB SSD</v>
      </c>
      <c r="J99" s="2" t="str">
        <f ca="1">IFERROR(__xludf.DUMMYFUNCTION("""COMPUTED_VALUE"""),"Intel UHD Graphics 620")</f>
        <v>Intel UHD Graphics 620</v>
      </c>
      <c r="K99" s="2" t="str">
        <f ca="1">IFERROR(__xludf.DUMMYFUNCTION("""COMPUTED_VALUE"""),"Windows 10")</f>
        <v>Windows 10</v>
      </c>
      <c r="L99" s="2" t="str">
        <f ca="1">IFERROR(__xludf.DUMMYFUNCTION("""COMPUTED_VALUE"""),"1.49kg")</f>
        <v>1.49kg</v>
      </c>
      <c r="M99" s="2">
        <f ca="1">IFERROR(__xludf.DUMMYFUNCTION("""COMPUTED_VALUE"""),959)</f>
        <v>959</v>
      </c>
    </row>
    <row r="100" spans="1:13">
      <c r="A100" s="2">
        <f ca="1">IFERROR(__xludf.DUMMYFUNCTION("""COMPUTED_VALUE"""),203)</f>
        <v>203</v>
      </c>
      <c r="B100" s="2" t="str">
        <f ca="1">IFERROR(__xludf.DUMMYFUNCTION("""COMPUTED_VALUE"""),"HP")</f>
        <v>HP</v>
      </c>
      <c r="C100" s="2" t="str">
        <f ca="1">IFERROR(__xludf.DUMMYFUNCTION("""COMPUTED_VALUE"""),"Probook 470")</f>
        <v>Probook 470</v>
      </c>
      <c r="D100" s="2" t="str">
        <f ca="1">IFERROR(__xludf.DUMMYFUNCTION("""COMPUTED_VALUE"""),"Notebook")</f>
        <v>Notebook</v>
      </c>
      <c r="E100" s="2">
        <f ca="1">IFERROR(__xludf.DUMMYFUNCTION("""COMPUTED_VALUE"""),17.3)</f>
        <v>17.3</v>
      </c>
      <c r="F100" s="2" t="str">
        <f ca="1">IFERROR(__xludf.DUMMYFUNCTION("""COMPUTED_VALUE"""),"Full HD 1920x1080")</f>
        <v>Full HD 1920x1080</v>
      </c>
      <c r="G100" s="2" t="str">
        <f ca="1">IFERROR(__xludf.DUMMYFUNCTION("""COMPUTED_VALUE"""),"Intel Core i7 8550U 1.8GHz")</f>
        <v>Intel Core i7 8550U 1.8GHz</v>
      </c>
      <c r="H100" s="2" t="str">
        <f ca="1">IFERROR(__xludf.DUMMYFUNCTION("""COMPUTED_VALUE"""),"8GB")</f>
        <v>8GB</v>
      </c>
      <c r="I100" s="2" t="str">
        <f ca="1">IFERROR(__xludf.DUMMYFUNCTION("""COMPUTED_VALUE"""),"256GB SSD")</f>
        <v>256GB SSD</v>
      </c>
      <c r="J100" s="2" t="str">
        <f ca="1">IFERROR(__xludf.DUMMYFUNCTION("""COMPUTED_VALUE"""),"Nvidia GeForce 930MX ")</f>
        <v xml:space="preserve">Nvidia GeForce 930MX </v>
      </c>
      <c r="K100" s="2" t="str">
        <f ca="1">IFERROR(__xludf.DUMMYFUNCTION("""COMPUTED_VALUE"""),"Windows 10")</f>
        <v>Windows 10</v>
      </c>
      <c r="L100" s="2" t="str">
        <f ca="1">IFERROR(__xludf.DUMMYFUNCTION("""COMPUTED_VALUE"""),"2.5kg")</f>
        <v>2.5kg</v>
      </c>
      <c r="M100" s="2">
        <f ca="1">IFERROR(__xludf.DUMMYFUNCTION("""COMPUTED_VALUE"""),1045)</f>
        <v>1045</v>
      </c>
    </row>
    <row r="101" spans="1:13">
      <c r="A101" s="2">
        <f ca="1">IFERROR(__xludf.DUMMYFUNCTION("""COMPUTED_VALUE"""),206)</f>
        <v>206</v>
      </c>
      <c r="B101" s="2" t="str">
        <f ca="1">IFERROR(__xludf.DUMMYFUNCTION("""COMPUTED_VALUE"""),"Acer")</f>
        <v>Acer</v>
      </c>
      <c r="C101" s="2" t="str">
        <f ca="1">IFERROR(__xludf.DUMMYFUNCTION("""COMPUTED_VALUE"""),"Aspire E5-576G")</f>
        <v>Aspire E5-576G</v>
      </c>
      <c r="D101" s="2" t="str">
        <f ca="1">IFERROR(__xludf.DUMMYFUNCTION("""COMPUTED_VALUE"""),"Notebook")</f>
        <v>Notebook</v>
      </c>
      <c r="E101" s="2">
        <f ca="1">IFERROR(__xludf.DUMMYFUNCTION("""COMPUTED_VALUE"""),15.6)</f>
        <v>15.6</v>
      </c>
      <c r="F101" s="2" t="str">
        <f ca="1">IFERROR(__xludf.DUMMYFUNCTION("""COMPUTED_VALUE"""),"Full HD 1920x1080")</f>
        <v>Full HD 1920x1080</v>
      </c>
      <c r="G101" s="2" t="str">
        <f ca="1">IFERROR(__xludf.DUMMYFUNCTION("""COMPUTED_VALUE"""),"Intel Core i7 7500U 2.7GHz")</f>
        <v>Intel Core i7 7500U 2.7GHz</v>
      </c>
      <c r="H101" s="2" t="str">
        <f ca="1">IFERROR(__xludf.DUMMYFUNCTION("""COMPUTED_VALUE"""),"8GB")</f>
        <v>8GB</v>
      </c>
      <c r="I101" s="2" t="str">
        <f ca="1">IFERROR(__xludf.DUMMYFUNCTION("""COMPUTED_VALUE"""),"1TB HDD")</f>
        <v>1TB HDD</v>
      </c>
      <c r="J101" s="2" t="str">
        <f ca="1">IFERROR(__xludf.DUMMYFUNCTION("""COMPUTED_VALUE"""),"Nvidia GeForce 940MX")</f>
        <v>Nvidia GeForce 940MX</v>
      </c>
      <c r="K101" s="2" t="str">
        <f ca="1">IFERROR(__xludf.DUMMYFUNCTION("""COMPUTED_VALUE"""),"Windows 10")</f>
        <v>Windows 10</v>
      </c>
      <c r="L101" s="2" t="str">
        <f ca="1">IFERROR(__xludf.DUMMYFUNCTION("""COMPUTED_VALUE"""),"2.23kg")</f>
        <v>2.23kg</v>
      </c>
      <c r="M101" s="2">
        <f ca="1">IFERROR(__xludf.DUMMYFUNCTION("""COMPUTED_VALUE"""),742)</f>
        <v>742</v>
      </c>
    </row>
    <row r="102" spans="1:13">
      <c r="A102" s="2">
        <f ca="1">IFERROR(__xludf.DUMMYFUNCTION("""COMPUTED_VALUE"""),211)</f>
        <v>211</v>
      </c>
      <c r="B102" s="2" t="str">
        <f ca="1">IFERROR(__xludf.DUMMYFUNCTION("""COMPUTED_VALUE"""),"Dell")</f>
        <v>Dell</v>
      </c>
      <c r="C102" s="2" t="str">
        <f ca="1">IFERROR(__xludf.DUMMYFUNCTION("""COMPUTED_VALUE"""),"XPS 13")</f>
        <v>XPS 13</v>
      </c>
      <c r="D102" s="2" t="str">
        <f ca="1">IFERROR(__xludf.DUMMYFUNCTION("""COMPUTED_VALUE"""),"Ultrabook")</f>
        <v>Ultrabook</v>
      </c>
      <c r="E102" s="2">
        <f ca="1">IFERROR(__xludf.DUMMYFUNCTION("""COMPUTED_VALUE"""),13.3)</f>
        <v>13.3</v>
      </c>
      <c r="F102" s="2" t="str">
        <f ca="1">IFERROR(__xludf.DUMMYFUNCTION("""COMPUTED_VALUE"""),"IPS Panel 4K Ultra HD / Touchscreen 3840x2160")</f>
        <v>IPS Panel 4K Ultra HD / Touchscreen 3840x2160</v>
      </c>
      <c r="G102" s="2" t="str">
        <f ca="1">IFERROR(__xludf.DUMMYFUNCTION("""COMPUTED_VALUE"""),"Intel Core i7 8550U 1.8GHz")</f>
        <v>Intel Core i7 8550U 1.8GHz</v>
      </c>
      <c r="H102" s="2" t="str">
        <f ca="1">IFERROR(__xludf.DUMMYFUNCTION("""COMPUTED_VALUE"""),"8GB")</f>
        <v>8GB</v>
      </c>
      <c r="I102" s="2" t="str">
        <f ca="1">IFERROR(__xludf.DUMMYFUNCTION("""COMPUTED_VALUE"""),"256GB SSD")</f>
        <v>256GB SSD</v>
      </c>
      <c r="J102" s="2" t="str">
        <f ca="1">IFERROR(__xludf.DUMMYFUNCTION("""COMPUTED_VALUE"""),"Intel UHD Graphics 620")</f>
        <v>Intel UHD Graphics 620</v>
      </c>
      <c r="K102" s="2" t="str">
        <f ca="1">IFERROR(__xludf.DUMMYFUNCTION("""COMPUTED_VALUE"""),"Windows 10")</f>
        <v>Windows 10</v>
      </c>
      <c r="L102" s="2" t="str">
        <f ca="1">IFERROR(__xludf.DUMMYFUNCTION("""COMPUTED_VALUE"""),"1.21kg")</f>
        <v>1.21kg</v>
      </c>
      <c r="M102" s="2">
        <f ca="1">IFERROR(__xludf.DUMMYFUNCTION("""COMPUTED_VALUE"""),1949)</f>
        <v>1949</v>
      </c>
    </row>
    <row r="103" spans="1:13">
      <c r="A103" s="2">
        <f ca="1">IFERROR(__xludf.DUMMYFUNCTION("""COMPUTED_VALUE"""),212)</f>
        <v>212</v>
      </c>
      <c r="B103" s="2" t="str">
        <f ca="1">IFERROR(__xludf.DUMMYFUNCTION("""COMPUTED_VALUE"""),"Dell")</f>
        <v>Dell</v>
      </c>
      <c r="C103" s="2" t="str">
        <f ca="1">IFERROR(__xludf.DUMMYFUNCTION("""COMPUTED_VALUE"""),"XPS 13")</f>
        <v>XPS 13</v>
      </c>
      <c r="D103" s="2" t="str">
        <f ca="1">IFERROR(__xludf.DUMMYFUNCTION("""COMPUTED_VALUE"""),"Ultrabook")</f>
        <v>Ultrabook</v>
      </c>
      <c r="E103" s="2">
        <f ca="1">IFERROR(__xludf.DUMMYFUNCTION("""COMPUTED_VALUE"""),13.3)</f>
        <v>13.3</v>
      </c>
      <c r="F103" s="2" t="str">
        <f ca="1">IFERROR(__xludf.DUMMYFUNCTION("""COMPUTED_VALUE"""),"Full HD 1920x1080")</f>
        <v>Full HD 1920x1080</v>
      </c>
      <c r="G103" s="2" t="str">
        <f ca="1">IFERROR(__xludf.DUMMYFUNCTION("""COMPUTED_VALUE"""),"Intel Core i7 8550U 1.8GHz")</f>
        <v>Intel Core i7 8550U 1.8GHz</v>
      </c>
      <c r="H103" s="2" t="str">
        <f ca="1">IFERROR(__xludf.DUMMYFUNCTION("""COMPUTED_VALUE"""),"8GB")</f>
        <v>8GB</v>
      </c>
      <c r="I103" s="2" t="str">
        <f ca="1">IFERROR(__xludf.DUMMYFUNCTION("""COMPUTED_VALUE"""),"256GB SSD")</f>
        <v>256GB SSD</v>
      </c>
      <c r="J103" s="2" t="str">
        <f ca="1">IFERROR(__xludf.DUMMYFUNCTION("""COMPUTED_VALUE"""),"Intel UHD Graphics 620")</f>
        <v>Intel UHD Graphics 620</v>
      </c>
      <c r="K103" s="2" t="str">
        <f ca="1">IFERROR(__xludf.DUMMYFUNCTION("""COMPUTED_VALUE"""),"Windows 10")</f>
        <v>Windows 10</v>
      </c>
      <c r="L103" s="2" t="str">
        <f ca="1">IFERROR(__xludf.DUMMYFUNCTION("""COMPUTED_VALUE"""),"1.2kg")</f>
        <v>1.2kg</v>
      </c>
      <c r="M103" s="2">
        <f ca="1">IFERROR(__xludf.DUMMYFUNCTION("""COMPUTED_VALUE"""),1449)</f>
        <v>1449</v>
      </c>
    </row>
    <row r="104" spans="1:13">
      <c r="A104" s="2">
        <f ca="1">IFERROR(__xludf.DUMMYFUNCTION("""COMPUTED_VALUE"""),213)</f>
        <v>213</v>
      </c>
      <c r="B104" s="2" t="str">
        <f ca="1">IFERROR(__xludf.DUMMYFUNCTION("""COMPUTED_VALUE"""),"Lenovo")</f>
        <v>Lenovo</v>
      </c>
      <c r="C104" s="2" t="str">
        <f ca="1">IFERROR(__xludf.DUMMYFUNCTION("""COMPUTED_VALUE"""),"IdeaPad 320-15IKBN")</f>
        <v>IdeaPad 320-15IKBN</v>
      </c>
      <c r="D104" s="2" t="str">
        <f ca="1">IFERROR(__xludf.DUMMYFUNCTION("""COMPUTED_VALUE"""),"Notebook")</f>
        <v>Notebook</v>
      </c>
      <c r="E104" s="2">
        <f ca="1">IFERROR(__xludf.DUMMYFUNCTION("""COMPUTED_VALUE"""),15.6)</f>
        <v>15.6</v>
      </c>
      <c r="F104" s="2" t="str">
        <f ca="1">IFERROR(__xludf.DUMMYFUNCTION("""COMPUTED_VALUE"""),"1366x768")</f>
        <v>1366x768</v>
      </c>
      <c r="G104" s="2" t="str">
        <f ca="1">IFERROR(__xludf.DUMMYFUNCTION("""COMPUTED_VALUE"""),"Intel Core i5 7200U 2.5GHz")</f>
        <v>Intel Core i5 7200U 2.5GHz</v>
      </c>
      <c r="H104" s="2" t="str">
        <f ca="1">IFERROR(__xludf.DUMMYFUNCTION("""COMPUTED_VALUE"""),"8GB")</f>
        <v>8GB</v>
      </c>
      <c r="I104" s="2" t="str">
        <f ca="1">IFERROR(__xludf.DUMMYFUNCTION("""COMPUTED_VALUE"""),"256GB SSD")</f>
        <v>256GB SSD</v>
      </c>
      <c r="J104" s="2" t="str">
        <f ca="1">IFERROR(__xludf.DUMMYFUNCTION("""COMPUTED_VALUE"""),"Intel HD Graphics 620")</f>
        <v>Intel HD Graphics 620</v>
      </c>
      <c r="K104" s="2" t="str">
        <f ca="1">IFERROR(__xludf.DUMMYFUNCTION("""COMPUTED_VALUE"""),"Windows 10")</f>
        <v>Windows 10</v>
      </c>
      <c r="L104" s="2" t="str">
        <f ca="1">IFERROR(__xludf.DUMMYFUNCTION("""COMPUTED_VALUE"""),"2.2kg")</f>
        <v>2.2kg</v>
      </c>
      <c r="M104" s="2">
        <f ca="1">IFERROR(__xludf.DUMMYFUNCTION("""COMPUTED_VALUE"""),597)</f>
        <v>597</v>
      </c>
    </row>
    <row r="105" spans="1:13">
      <c r="A105" s="2">
        <f ca="1">IFERROR(__xludf.DUMMYFUNCTION("""COMPUTED_VALUE"""),215)</f>
        <v>215</v>
      </c>
      <c r="B105" s="2" t="str">
        <f ca="1">IFERROR(__xludf.DUMMYFUNCTION("""COMPUTED_VALUE"""),"Acer")</f>
        <v>Acer</v>
      </c>
      <c r="C105" s="2" t="str">
        <f ca="1">IFERROR(__xludf.DUMMYFUNCTION("""COMPUTED_VALUE"""),"Aspire 7")</f>
        <v>Aspire 7</v>
      </c>
      <c r="D105" s="2" t="str">
        <f ca="1">IFERROR(__xludf.DUMMYFUNCTION("""COMPUTED_VALUE"""),"Notebook")</f>
        <v>Notebook</v>
      </c>
      <c r="E105" s="2">
        <f ca="1">IFERROR(__xludf.DUMMYFUNCTION("""COMPUTED_VALUE"""),15.6)</f>
        <v>15.6</v>
      </c>
      <c r="F105" s="2" t="str">
        <f ca="1">IFERROR(__xludf.DUMMYFUNCTION("""COMPUTED_VALUE"""),"Full HD 1920x1080")</f>
        <v>Full HD 1920x1080</v>
      </c>
      <c r="G105" s="2" t="str">
        <f ca="1">IFERROR(__xludf.DUMMYFUNCTION("""COMPUTED_VALUE"""),"Intel Core i7 7700HQ 2.8GHz")</f>
        <v>Intel Core i7 7700HQ 2.8GHz</v>
      </c>
      <c r="H105" s="2" t="str">
        <f ca="1">IFERROR(__xludf.DUMMYFUNCTION("""COMPUTED_VALUE"""),"8GB")</f>
        <v>8GB</v>
      </c>
      <c r="I105" s="2" t="str">
        <f ca="1">IFERROR(__xludf.DUMMYFUNCTION("""COMPUTED_VALUE"""),"1TB HDD")</f>
        <v>1TB HDD</v>
      </c>
      <c r="J105" s="2" t="str">
        <f ca="1">IFERROR(__xludf.DUMMYFUNCTION("""COMPUTED_VALUE"""),"Nvidia GeForce GTX 1050")</f>
        <v>Nvidia GeForce GTX 1050</v>
      </c>
      <c r="K105" s="2" t="str">
        <f ca="1">IFERROR(__xludf.DUMMYFUNCTION("""COMPUTED_VALUE"""),"Linux")</f>
        <v>Linux</v>
      </c>
      <c r="L105" s="2" t="str">
        <f ca="1">IFERROR(__xludf.DUMMYFUNCTION("""COMPUTED_VALUE"""),"2.4kg")</f>
        <v>2.4kg</v>
      </c>
      <c r="M105" s="2">
        <f ca="1">IFERROR(__xludf.DUMMYFUNCTION("""COMPUTED_VALUE"""),779)</f>
        <v>779</v>
      </c>
    </row>
    <row r="106" spans="1:13">
      <c r="A106" s="2">
        <f ca="1">IFERROR(__xludf.DUMMYFUNCTION("""COMPUTED_VALUE"""),218)</f>
        <v>218</v>
      </c>
      <c r="B106" s="2" t="str">
        <f ca="1">IFERROR(__xludf.DUMMYFUNCTION("""COMPUTED_VALUE"""),"Lenovo")</f>
        <v>Lenovo</v>
      </c>
      <c r="C106" s="2" t="str">
        <f ca="1">IFERROR(__xludf.DUMMYFUNCTION("""COMPUTED_VALUE"""),"IdeaPad 320-15IKBN")</f>
        <v>IdeaPad 320-15IKBN</v>
      </c>
      <c r="D106" s="2" t="str">
        <f ca="1">IFERROR(__xludf.DUMMYFUNCTION("""COMPUTED_VALUE"""),"Notebook")</f>
        <v>Notebook</v>
      </c>
      <c r="E106" s="2">
        <f ca="1">IFERROR(__xludf.DUMMYFUNCTION("""COMPUTED_VALUE"""),15.6)</f>
        <v>15.6</v>
      </c>
      <c r="F106" s="2" t="str">
        <f ca="1">IFERROR(__xludf.DUMMYFUNCTION("""COMPUTED_VALUE"""),"Full HD 1920x1080")</f>
        <v>Full HD 1920x1080</v>
      </c>
      <c r="G106" s="2" t="str">
        <f ca="1">IFERROR(__xludf.DUMMYFUNCTION("""COMPUTED_VALUE"""),"Intel Core i5 7200U 2.5GHz")</f>
        <v>Intel Core i5 7200U 2.5GHz</v>
      </c>
      <c r="H106" s="2" t="str">
        <f ca="1">IFERROR(__xludf.DUMMYFUNCTION("""COMPUTED_VALUE"""),"8GB")</f>
        <v>8GB</v>
      </c>
      <c r="I106" s="2" t="str">
        <f ca="1">IFERROR(__xludf.DUMMYFUNCTION("""COMPUTED_VALUE"""),"256GB SSD")</f>
        <v>256GB SSD</v>
      </c>
      <c r="J106" s="2" t="str">
        <f ca="1">IFERROR(__xludf.DUMMYFUNCTION("""COMPUTED_VALUE"""),"Intel HD Graphics 620")</f>
        <v>Intel HD Graphics 620</v>
      </c>
      <c r="K106" s="2" t="str">
        <f ca="1">IFERROR(__xludf.DUMMYFUNCTION("""COMPUTED_VALUE"""),"No OS")</f>
        <v>No OS</v>
      </c>
      <c r="L106" s="2" t="str">
        <f ca="1">IFERROR(__xludf.DUMMYFUNCTION("""COMPUTED_VALUE"""),"2.2kg")</f>
        <v>2.2kg</v>
      </c>
      <c r="M106" s="2">
        <f ca="1">IFERROR(__xludf.DUMMYFUNCTION("""COMPUTED_VALUE"""),549)</f>
        <v>549</v>
      </c>
    </row>
    <row r="107" spans="1:13">
      <c r="A107" s="2">
        <f ca="1">IFERROR(__xludf.DUMMYFUNCTION("""COMPUTED_VALUE"""),219)</f>
        <v>219</v>
      </c>
      <c r="B107" s="2" t="str">
        <f ca="1">IFERROR(__xludf.DUMMYFUNCTION("""COMPUTED_VALUE"""),"Huawei")</f>
        <v>Huawei</v>
      </c>
      <c r="C107" s="2" t="str">
        <f ca="1">IFERROR(__xludf.DUMMYFUNCTION("""COMPUTED_VALUE"""),"MateBook X")</f>
        <v>MateBook X</v>
      </c>
      <c r="D107" s="2" t="str">
        <f ca="1">IFERROR(__xludf.DUMMYFUNCTION("""COMPUTED_VALUE"""),"Ultrabook")</f>
        <v>Ultrabook</v>
      </c>
      <c r="E107" s="2">
        <f ca="1">IFERROR(__xludf.DUMMYFUNCTION("""COMPUTED_VALUE"""),13)</f>
        <v>13</v>
      </c>
      <c r="F107" s="2" t="str">
        <f ca="1">IFERROR(__xludf.DUMMYFUNCTION("""COMPUTED_VALUE"""),"IPS Panel Full HD 2160x1440")</f>
        <v>IPS Panel Full HD 2160x1440</v>
      </c>
      <c r="G107" s="2" t="str">
        <f ca="1">IFERROR(__xludf.DUMMYFUNCTION("""COMPUTED_VALUE"""),"Intel Core i7 7500U 2.7GHz")</f>
        <v>Intel Core i7 7500U 2.7GHz</v>
      </c>
      <c r="H107" s="2" t="str">
        <f ca="1">IFERROR(__xludf.DUMMYFUNCTION("""COMPUTED_VALUE"""),"8GB")</f>
        <v>8GB</v>
      </c>
      <c r="I107" s="2" t="str">
        <f ca="1">IFERROR(__xludf.DUMMYFUNCTION("""COMPUTED_VALUE"""),"512GB SSD")</f>
        <v>512GB SSD</v>
      </c>
      <c r="J107" s="2" t="str">
        <f ca="1">IFERROR(__xludf.DUMMYFUNCTION("""COMPUTED_VALUE"""),"Intel HD Graphics 620")</f>
        <v>Intel HD Graphics 620</v>
      </c>
      <c r="K107" s="2" t="str">
        <f ca="1">IFERROR(__xludf.DUMMYFUNCTION("""COMPUTED_VALUE"""),"Windows 10")</f>
        <v>Windows 10</v>
      </c>
      <c r="L107" s="2" t="str">
        <f ca="1">IFERROR(__xludf.DUMMYFUNCTION("""COMPUTED_VALUE"""),"1.05kg")</f>
        <v>1.05kg</v>
      </c>
      <c r="M107" s="2">
        <f ca="1">IFERROR(__xludf.DUMMYFUNCTION("""COMPUTED_VALUE"""),1499)</f>
        <v>1499</v>
      </c>
    </row>
    <row r="108" spans="1:13">
      <c r="A108" s="2">
        <f ca="1">IFERROR(__xludf.DUMMYFUNCTION("""COMPUTED_VALUE"""),220)</f>
        <v>220</v>
      </c>
      <c r="B108" s="2" t="str">
        <f ca="1">IFERROR(__xludf.DUMMYFUNCTION("""COMPUTED_VALUE"""),"Dell")</f>
        <v>Dell</v>
      </c>
      <c r="C108" s="2" t="str">
        <f ca="1">IFERROR(__xludf.DUMMYFUNCTION("""COMPUTED_VALUE"""),"Inspiron 5370")</f>
        <v>Inspiron 5370</v>
      </c>
      <c r="D108" s="2" t="str">
        <f ca="1">IFERROR(__xludf.DUMMYFUNCTION("""COMPUTED_VALUE"""),"Ultrabook")</f>
        <v>Ultrabook</v>
      </c>
      <c r="E108" s="2">
        <f ca="1">IFERROR(__xludf.DUMMYFUNCTION("""COMPUTED_VALUE"""),13.3)</f>
        <v>13.3</v>
      </c>
      <c r="F108" s="2" t="str">
        <f ca="1">IFERROR(__xludf.DUMMYFUNCTION("""COMPUTED_VALUE"""),"IPS Panel Full HD 1920x1080")</f>
        <v>IPS Panel Full HD 1920x1080</v>
      </c>
      <c r="G108" s="2" t="str">
        <f ca="1">IFERROR(__xludf.DUMMYFUNCTION("""COMPUTED_VALUE"""),"Intel Core i7 8550U 1.8GHz")</f>
        <v>Intel Core i7 8550U 1.8GHz</v>
      </c>
      <c r="H108" s="2" t="str">
        <f ca="1">IFERROR(__xludf.DUMMYFUNCTION("""COMPUTED_VALUE"""),"8GB")</f>
        <v>8GB</v>
      </c>
      <c r="I108" s="2" t="str">
        <f ca="1">IFERROR(__xludf.DUMMYFUNCTION("""COMPUTED_VALUE"""),"256GB SSD")</f>
        <v>256GB SSD</v>
      </c>
      <c r="J108" s="2" t="str">
        <f ca="1">IFERROR(__xludf.DUMMYFUNCTION("""COMPUTED_VALUE"""),"AMD Radeon 530")</f>
        <v>AMD Radeon 530</v>
      </c>
      <c r="K108" s="2" t="str">
        <f ca="1">IFERROR(__xludf.DUMMYFUNCTION("""COMPUTED_VALUE"""),"Windows 10")</f>
        <v>Windows 10</v>
      </c>
      <c r="L108" s="2" t="str">
        <f ca="1">IFERROR(__xludf.DUMMYFUNCTION("""COMPUTED_VALUE"""),"1.4kg")</f>
        <v>1.4kg</v>
      </c>
      <c r="M108" s="2">
        <f ca="1">IFERROR(__xludf.DUMMYFUNCTION("""COMPUTED_VALUE"""),931.88)</f>
        <v>931.88</v>
      </c>
    </row>
    <row r="109" spans="1:13">
      <c r="A109" s="2">
        <f ca="1">IFERROR(__xludf.DUMMYFUNCTION("""COMPUTED_VALUE"""),221)</f>
        <v>221</v>
      </c>
      <c r="B109" s="2" t="str">
        <f ca="1">IFERROR(__xludf.DUMMYFUNCTION("""COMPUTED_VALUE"""),"Lenovo")</f>
        <v>Lenovo</v>
      </c>
      <c r="C109" s="2" t="str">
        <f ca="1">IFERROR(__xludf.DUMMYFUNCTION("""COMPUTED_VALUE"""),"IdeaPad 320-17IKB")</f>
        <v>IdeaPad 320-17IKB</v>
      </c>
      <c r="D109" s="2" t="str">
        <f ca="1">IFERROR(__xludf.DUMMYFUNCTION("""COMPUTED_VALUE"""),"Notebook")</f>
        <v>Notebook</v>
      </c>
      <c r="E109" s="2">
        <f ca="1">IFERROR(__xludf.DUMMYFUNCTION("""COMPUTED_VALUE"""),17.3)</f>
        <v>17.3</v>
      </c>
      <c r="F109" s="2" t="str">
        <f ca="1">IFERROR(__xludf.DUMMYFUNCTION("""COMPUTED_VALUE"""),"1600x900")</f>
        <v>1600x900</v>
      </c>
      <c r="G109" s="2" t="str">
        <f ca="1">IFERROR(__xludf.DUMMYFUNCTION("""COMPUTED_VALUE"""),"Intel Core i5 7200U 2.5GHz")</f>
        <v>Intel Core i5 7200U 2.5GHz</v>
      </c>
      <c r="H109" s="2" t="str">
        <f ca="1">IFERROR(__xludf.DUMMYFUNCTION("""COMPUTED_VALUE"""),"8GB")</f>
        <v>8GB</v>
      </c>
      <c r="I109" s="2" t="str">
        <f ca="1">IFERROR(__xludf.DUMMYFUNCTION("""COMPUTED_VALUE"""),"1TB HDD")</f>
        <v>1TB HDD</v>
      </c>
      <c r="J109" s="2" t="str">
        <f ca="1">IFERROR(__xludf.DUMMYFUNCTION("""COMPUTED_VALUE"""),"Nvidia GeForce GTX 940MX")</f>
        <v>Nvidia GeForce GTX 940MX</v>
      </c>
      <c r="K109" s="2" t="str">
        <f ca="1">IFERROR(__xludf.DUMMYFUNCTION("""COMPUTED_VALUE"""),"No OS")</f>
        <v>No OS</v>
      </c>
      <c r="L109" s="2" t="str">
        <f ca="1">IFERROR(__xludf.DUMMYFUNCTION("""COMPUTED_VALUE"""),"2.8kg")</f>
        <v>2.8kg</v>
      </c>
      <c r="M109" s="2">
        <f ca="1">IFERROR(__xludf.DUMMYFUNCTION("""COMPUTED_VALUE"""),589)</f>
        <v>589</v>
      </c>
    </row>
    <row r="110" spans="1:13">
      <c r="A110" s="2">
        <f ca="1">IFERROR(__xludf.DUMMYFUNCTION("""COMPUTED_VALUE"""),222)</f>
        <v>222</v>
      </c>
      <c r="B110" s="2" t="str">
        <f ca="1">IFERROR(__xludf.DUMMYFUNCTION("""COMPUTED_VALUE"""),"HP")</f>
        <v>HP</v>
      </c>
      <c r="C110" s="2" t="str">
        <f ca="1">IFERROR(__xludf.DUMMYFUNCTION("""COMPUTED_VALUE"""),"Probook 440")</f>
        <v>Probook 440</v>
      </c>
      <c r="D110" s="2" t="str">
        <f ca="1">IFERROR(__xludf.DUMMYFUNCTION("""COMPUTED_VALUE"""),"Notebook")</f>
        <v>Notebook</v>
      </c>
      <c r="E110" s="2">
        <f ca="1">IFERROR(__xludf.DUMMYFUNCTION("""COMPUTED_VALUE"""),14)</f>
        <v>14</v>
      </c>
      <c r="F110" s="2" t="str">
        <f ca="1">IFERROR(__xludf.DUMMYFUNCTION("""COMPUTED_VALUE"""),"Full HD 1920x1080")</f>
        <v>Full HD 1920x1080</v>
      </c>
      <c r="G110" s="2" t="str">
        <f ca="1">IFERROR(__xludf.DUMMYFUNCTION("""COMPUTED_VALUE"""),"Intel Core i7 8550U 1.8GHz")</f>
        <v>Intel Core i7 8550U 1.8GHz</v>
      </c>
      <c r="H110" s="2" t="str">
        <f ca="1">IFERROR(__xludf.DUMMYFUNCTION("""COMPUTED_VALUE"""),"8GB")</f>
        <v>8GB</v>
      </c>
      <c r="I110" s="2" t="str">
        <f ca="1">IFERROR(__xludf.DUMMYFUNCTION("""COMPUTED_VALUE"""),"256GB SSD")</f>
        <v>256GB SSD</v>
      </c>
      <c r="J110" s="2" t="str">
        <f ca="1">IFERROR(__xludf.DUMMYFUNCTION("""COMPUTED_VALUE"""),"Nvidia GeForce 930MX")</f>
        <v>Nvidia GeForce 930MX</v>
      </c>
      <c r="K110" s="2" t="str">
        <f ca="1">IFERROR(__xludf.DUMMYFUNCTION("""COMPUTED_VALUE"""),"Windows 10")</f>
        <v>Windows 10</v>
      </c>
      <c r="L110" s="2" t="str">
        <f ca="1">IFERROR(__xludf.DUMMYFUNCTION("""COMPUTED_VALUE"""),"1.63kg")</f>
        <v>1.63kg</v>
      </c>
      <c r="M110" s="2">
        <f ca="1">IFERROR(__xludf.DUMMYFUNCTION("""COMPUTED_VALUE"""),1031)</f>
        <v>1031</v>
      </c>
    </row>
    <row r="111" spans="1:13">
      <c r="A111" s="2">
        <f ca="1">IFERROR(__xludf.DUMMYFUNCTION("""COMPUTED_VALUE"""),223)</f>
        <v>223</v>
      </c>
      <c r="B111" s="2" t="str">
        <f ca="1">IFERROR(__xludf.DUMMYFUNCTION("""COMPUTED_VALUE"""),"Dell")</f>
        <v>Dell</v>
      </c>
      <c r="C111" s="2" t="str">
        <f ca="1">IFERROR(__xludf.DUMMYFUNCTION("""COMPUTED_VALUE"""),"Latitude 5490")</f>
        <v>Latitude 5490</v>
      </c>
      <c r="D111" s="2" t="str">
        <f ca="1">IFERROR(__xludf.DUMMYFUNCTION("""COMPUTED_VALUE"""),"Ultrabook")</f>
        <v>Ultrabook</v>
      </c>
      <c r="E111" s="2">
        <f ca="1">IFERROR(__xludf.DUMMYFUNCTION("""COMPUTED_VALUE"""),14)</f>
        <v>14</v>
      </c>
      <c r="F111" s="2" t="str">
        <f ca="1">IFERROR(__xludf.DUMMYFUNCTION("""COMPUTED_VALUE"""),"Full HD 1920x1080")</f>
        <v>Full HD 1920x1080</v>
      </c>
      <c r="G111" s="2" t="str">
        <f ca="1">IFERROR(__xludf.DUMMYFUNCTION("""COMPUTED_VALUE"""),"Intel Core i5 8250U 1.6GHz")</f>
        <v>Intel Core i5 8250U 1.6GHz</v>
      </c>
      <c r="H111" s="2" t="str">
        <f ca="1">IFERROR(__xludf.DUMMYFUNCTION("""COMPUTED_VALUE"""),"8GB")</f>
        <v>8GB</v>
      </c>
      <c r="I111" s="2" t="str">
        <f ca="1">IFERROR(__xludf.DUMMYFUNCTION("""COMPUTED_VALUE"""),"256GB SSD")</f>
        <v>256GB SSD</v>
      </c>
      <c r="J111" s="2" t="str">
        <f ca="1">IFERROR(__xludf.DUMMYFUNCTION("""COMPUTED_VALUE"""),"Intel UHD Graphics 620")</f>
        <v>Intel UHD Graphics 620</v>
      </c>
      <c r="K111" s="2" t="str">
        <f ca="1">IFERROR(__xludf.DUMMYFUNCTION("""COMPUTED_VALUE"""),"Windows 10")</f>
        <v>Windows 10</v>
      </c>
      <c r="L111" s="2" t="str">
        <f ca="1">IFERROR(__xludf.DUMMYFUNCTION("""COMPUTED_VALUE"""),"1.6kg")</f>
        <v>1.6kg</v>
      </c>
      <c r="M111" s="2">
        <f ca="1">IFERROR(__xludf.DUMMYFUNCTION("""COMPUTED_VALUE"""),1149)</f>
        <v>1149</v>
      </c>
    </row>
    <row r="112" spans="1:13">
      <c r="A112" s="2">
        <f ca="1">IFERROR(__xludf.DUMMYFUNCTION("""COMPUTED_VALUE"""),225)</f>
        <v>225</v>
      </c>
      <c r="B112" s="2" t="str">
        <f ca="1">IFERROR(__xludf.DUMMYFUNCTION("""COMPUTED_VALUE"""),"Dell")</f>
        <v>Dell</v>
      </c>
      <c r="C112" s="2" t="str">
        <f ca="1">IFERROR(__xludf.DUMMYFUNCTION("""COMPUTED_VALUE"""),"Inspiron 3576")</f>
        <v>Inspiron 3576</v>
      </c>
      <c r="D112" s="2" t="str">
        <f ca="1">IFERROR(__xludf.DUMMYFUNCTION("""COMPUTED_VALUE"""),"Notebook")</f>
        <v>Notebook</v>
      </c>
      <c r="E112" s="2">
        <f ca="1">IFERROR(__xludf.DUMMYFUNCTION("""COMPUTED_VALUE"""),15.6)</f>
        <v>15.6</v>
      </c>
      <c r="F112" s="2" t="str">
        <f ca="1">IFERROR(__xludf.DUMMYFUNCTION("""COMPUTED_VALUE"""),"Full HD 1920x1080")</f>
        <v>Full HD 1920x1080</v>
      </c>
      <c r="G112" s="2" t="str">
        <f ca="1">IFERROR(__xludf.DUMMYFUNCTION("""COMPUTED_VALUE"""),"Intel Core i5 8250U 1.6GHz")</f>
        <v>Intel Core i5 8250U 1.6GHz</v>
      </c>
      <c r="H112" s="2" t="str">
        <f ca="1">IFERROR(__xludf.DUMMYFUNCTION("""COMPUTED_VALUE"""),"8GB")</f>
        <v>8GB</v>
      </c>
      <c r="I112" s="2" t="str">
        <f ca="1">IFERROR(__xludf.DUMMYFUNCTION("""COMPUTED_VALUE"""),"256GB SSD")</f>
        <v>256GB SSD</v>
      </c>
      <c r="J112" s="2" t="str">
        <f ca="1">IFERROR(__xludf.DUMMYFUNCTION("""COMPUTED_VALUE"""),"AMD Radeon 520")</f>
        <v>AMD Radeon 520</v>
      </c>
      <c r="K112" s="2" t="str">
        <f ca="1">IFERROR(__xludf.DUMMYFUNCTION("""COMPUTED_VALUE"""),"Linux")</f>
        <v>Linux</v>
      </c>
      <c r="L112" s="2" t="str">
        <f ca="1">IFERROR(__xludf.DUMMYFUNCTION("""COMPUTED_VALUE"""),"2.2kg")</f>
        <v>2.2kg</v>
      </c>
      <c r="M112" s="2">
        <f ca="1">IFERROR(__xludf.DUMMYFUNCTION("""COMPUTED_VALUE"""),677.35)</f>
        <v>677.35</v>
      </c>
    </row>
    <row r="113" spans="1:13">
      <c r="A113" s="2">
        <f ca="1">IFERROR(__xludf.DUMMYFUNCTION("""COMPUTED_VALUE"""),226)</f>
        <v>226</v>
      </c>
      <c r="B113" s="2" t="str">
        <f ca="1">IFERROR(__xludf.DUMMYFUNCTION("""COMPUTED_VALUE"""),"Lenovo")</f>
        <v>Lenovo</v>
      </c>
      <c r="C113" s="2" t="str">
        <f ca="1">IFERROR(__xludf.DUMMYFUNCTION("""COMPUTED_VALUE"""),"Yoga 520-14IKB")</f>
        <v>Yoga 520-14IKB</v>
      </c>
      <c r="D113" s="2" t="str">
        <f ca="1">IFERROR(__xludf.DUMMYFUNCTION("""COMPUTED_VALUE"""),"2 in 1 Convertible")</f>
        <v>2 in 1 Convertible</v>
      </c>
      <c r="E113" s="2">
        <f ca="1">IFERROR(__xludf.DUMMYFUNCTION("""COMPUTED_VALUE"""),14)</f>
        <v>14</v>
      </c>
      <c r="F113" s="2" t="str">
        <f ca="1">IFERROR(__xludf.DUMMYFUNCTION("""COMPUTED_VALUE"""),"IPS Panel Full HD 1920x1080")</f>
        <v>IPS Panel Full HD 1920x1080</v>
      </c>
      <c r="G113" s="2" t="str">
        <f ca="1">IFERROR(__xludf.DUMMYFUNCTION("""COMPUTED_VALUE"""),"Intel Core i5 8250U 1.6GHz")</f>
        <v>Intel Core i5 8250U 1.6GHz</v>
      </c>
      <c r="H113" s="2" t="str">
        <f ca="1">IFERROR(__xludf.DUMMYFUNCTION("""COMPUTED_VALUE"""),"8GB")</f>
        <v>8GB</v>
      </c>
      <c r="I113" s="2" t="str">
        <f ca="1">IFERROR(__xludf.DUMMYFUNCTION("""COMPUTED_VALUE"""),"256GB SSD")</f>
        <v>256GB SSD</v>
      </c>
      <c r="J113" s="2" t="str">
        <f ca="1">IFERROR(__xludf.DUMMYFUNCTION("""COMPUTED_VALUE"""),"Intel UHD Graphics 620")</f>
        <v>Intel UHD Graphics 620</v>
      </c>
      <c r="K113" s="2" t="str">
        <f ca="1">IFERROR(__xludf.DUMMYFUNCTION("""COMPUTED_VALUE"""),"Windows 10")</f>
        <v>Windows 10</v>
      </c>
      <c r="L113" s="2" t="str">
        <f ca="1">IFERROR(__xludf.DUMMYFUNCTION("""COMPUTED_VALUE"""),"1.74kg")</f>
        <v>1.74kg</v>
      </c>
      <c r="M113" s="2">
        <f ca="1">IFERROR(__xludf.DUMMYFUNCTION("""COMPUTED_VALUE"""),899)</f>
        <v>899</v>
      </c>
    </row>
    <row r="114" spans="1:13">
      <c r="A114" s="2">
        <f ca="1">IFERROR(__xludf.DUMMYFUNCTION("""COMPUTED_VALUE"""),227)</f>
        <v>227</v>
      </c>
      <c r="B114" s="2" t="str">
        <f ca="1">IFERROR(__xludf.DUMMYFUNCTION("""COMPUTED_VALUE"""),"Toshiba")</f>
        <v>Toshiba</v>
      </c>
      <c r="C114" s="2" t="str">
        <f ca="1">IFERROR(__xludf.DUMMYFUNCTION("""COMPUTED_VALUE"""),"Portege Z30-C-16L")</f>
        <v>Portege Z30-C-16L</v>
      </c>
      <c r="D114" s="2" t="str">
        <f ca="1">IFERROR(__xludf.DUMMYFUNCTION("""COMPUTED_VALUE"""),"Ultrabook")</f>
        <v>Ultrabook</v>
      </c>
      <c r="E114" s="2">
        <f ca="1">IFERROR(__xludf.DUMMYFUNCTION("""COMPUTED_VALUE"""),13.3)</f>
        <v>13.3</v>
      </c>
      <c r="F114" s="2" t="str">
        <f ca="1">IFERROR(__xludf.DUMMYFUNCTION("""COMPUTED_VALUE"""),"Full HD 1920x1080")</f>
        <v>Full HD 1920x1080</v>
      </c>
      <c r="G114" s="2" t="str">
        <f ca="1">IFERROR(__xludf.DUMMYFUNCTION("""COMPUTED_VALUE"""),"Intel Core i7 6500U 2.5GHz")</f>
        <v>Intel Core i7 6500U 2.5GHz</v>
      </c>
      <c r="H114" s="2" t="str">
        <f ca="1">IFERROR(__xludf.DUMMYFUNCTION("""COMPUTED_VALUE"""),"8GB")</f>
        <v>8GB</v>
      </c>
      <c r="I114" s="2" t="str">
        <f ca="1">IFERROR(__xludf.DUMMYFUNCTION("""COMPUTED_VALUE"""),"256GB SSD")</f>
        <v>256GB SSD</v>
      </c>
      <c r="J114" s="2" t="str">
        <f ca="1">IFERROR(__xludf.DUMMYFUNCTION("""COMPUTED_VALUE"""),"Intel HD Graphics 520")</f>
        <v>Intel HD Graphics 520</v>
      </c>
      <c r="K114" s="2" t="str">
        <f ca="1">IFERROR(__xludf.DUMMYFUNCTION("""COMPUTED_VALUE"""),"Windows 10")</f>
        <v>Windows 10</v>
      </c>
      <c r="L114" s="2" t="str">
        <f ca="1">IFERROR(__xludf.DUMMYFUNCTION("""COMPUTED_VALUE"""),"1.2kg")</f>
        <v>1.2kg</v>
      </c>
      <c r="M114" s="2">
        <f ca="1">IFERROR(__xludf.DUMMYFUNCTION("""COMPUTED_VALUE"""),1363)</f>
        <v>1363</v>
      </c>
    </row>
    <row r="115" spans="1:13">
      <c r="A115" s="2">
        <f ca="1">IFERROR(__xludf.DUMMYFUNCTION("""COMPUTED_VALUE"""),228)</f>
        <v>228</v>
      </c>
      <c r="B115" s="2" t="str">
        <f ca="1">IFERROR(__xludf.DUMMYFUNCTION("""COMPUTED_VALUE"""),"HP")</f>
        <v>HP</v>
      </c>
      <c r="C115" s="2" t="str">
        <f ca="1">IFERROR(__xludf.DUMMYFUNCTION("""COMPUTED_VALUE"""),"ProBook 450")</f>
        <v>ProBook 450</v>
      </c>
      <c r="D115" s="2" t="str">
        <f ca="1">IFERROR(__xludf.DUMMYFUNCTION("""COMPUTED_VALUE"""),"Notebook")</f>
        <v>Notebook</v>
      </c>
      <c r="E115" s="2">
        <f ca="1">IFERROR(__xludf.DUMMYFUNCTION("""COMPUTED_VALUE"""),15.6)</f>
        <v>15.6</v>
      </c>
      <c r="F115" s="2" t="str">
        <f ca="1">IFERROR(__xludf.DUMMYFUNCTION("""COMPUTED_VALUE"""),"Full HD 1920x1080")</f>
        <v>Full HD 1920x1080</v>
      </c>
      <c r="G115" s="2" t="str">
        <f ca="1">IFERROR(__xludf.DUMMYFUNCTION("""COMPUTED_VALUE"""),"Intel Core i5 8250U 1.6GHz")</f>
        <v>Intel Core i5 8250U 1.6GHz</v>
      </c>
      <c r="H115" s="2" t="str">
        <f ca="1">IFERROR(__xludf.DUMMYFUNCTION("""COMPUTED_VALUE"""),"8GB")</f>
        <v>8GB</v>
      </c>
      <c r="I115" s="2" t="str">
        <f ca="1">IFERROR(__xludf.DUMMYFUNCTION("""COMPUTED_VALUE"""),"1TB HDD")</f>
        <v>1TB HDD</v>
      </c>
      <c r="J115" s="2" t="str">
        <f ca="1">IFERROR(__xludf.DUMMYFUNCTION("""COMPUTED_VALUE"""),"Intel UHD Graphics 620")</f>
        <v>Intel UHD Graphics 620</v>
      </c>
      <c r="K115" s="2" t="str">
        <f ca="1">IFERROR(__xludf.DUMMYFUNCTION("""COMPUTED_VALUE"""),"Windows 10")</f>
        <v>Windows 10</v>
      </c>
      <c r="L115" s="2" t="str">
        <f ca="1">IFERROR(__xludf.DUMMYFUNCTION("""COMPUTED_VALUE"""),"2.1kg")</f>
        <v>2.1kg</v>
      </c>
      <c r="M115" s="2">
        <f ca="1">IFERROR(__xludf.DUMMYFUNCTION("""COMPUTED_VALUE"""),794)</f>
        <v>794</v>
      </c>
    </row>
    <row r="116" spans="1:13">
      <c r="A116" s="2">
        <f ca="1">IFERROR(__xludf.DUMMYFUNCTION("""COMPUTED_VALUE"""),230)</f>
        <v>230</v>
      </c>
      <c r="B116" s="2" t="str">
        <f ca="1">IFERROR(__xludf.DUMMYFUNCTION("""COMPUTED_VALUE"""),"Acer")</f>
        <v>Acer</v>
      </c>
      <c r="C116" s="2" t="str">
        <f ca="1">IFERROR(__xludf.DUMMYFUNCTION("""COMPUTED_VALUE"""),"Aspire E5-576G")</f>
        <v>Aspire E5-576G</v>
      </c>
      <c r="D116" s="2" t="str">
        <f ca="1">IFERROR(__xludf.DUMMYFUNCTION("""COMPUTED_VALUE"""),"Notebook")</f>
        <v>Notebook</v>
      </c>
      <c r="E116" s="2">
        <f ca="1">IFERROR(__xludf.DUMMYFUNCTION("""COMPUTED_VALUE"""),15.6)</f>
        <v>15.6</v>
      </c>
      <c r="F116" s="2" t="str">
        <f ca="1">IFERROR(__xludf.DUMMYFUNCTION("""COMPUTED_VALUE"""),"Full HD 1920x1080")</f>
        <v>Full HD 1920x1080</v>
      </c>
      <c r="G116" s="2" t="str">
        <f ca="1">IFERROR(__xludf.DUMMYFUNCTION("""COMPUTED_VALUE"""),"Intel Core i7 7500U 2.7GHz")</f>
        <v>Intel Core i7 7500U 2.7GHz</v>
      </c>
      <c r="H116" s="2" t="str">
        <f ca="1">IFERROR(__xludf.DUMMYFUNCTION("""COMPUTED_VALUE"""),"8GB")</f>
        <v>8GB</v>
      </c>
      <c r="I116" s="2" t="str">
        <f ca="1">IFERROR(__xludf.DUMMYFUNCTION("""COMPUTED_VALUE"""),"256GB SSD")</f>
        <v>256GB SSD</v>
      </c>
      <c r="J116" s="2" t="str">
        <f ca="1">IFERROR(__xludf.DUMMYFUNCTION("""COMPUTED_VALUE"""),"Nvidia GeForce 940MX")</f>
        <v>Nvidia GeForce 940MX</v>
      </c>
      <c r="K116" s="2" t="str">
        <f ca="1">IFERROR(__xludf.DUMMYFUNCTION("""COMPUTED_VALUE"""),"Windows 10")</f>
        <v>Windows 10</v>
      </c>
      <c r="L116" s="2" t="str">
        <f ca="1">IFERROR(__xludf.DUMMYFUNCTION("""COMPUTED_VALUE"""),"2.2kg")</f>
        <v>2.2kg</v>
      </c>
      <c r="M116" s="2">
        <f ca="1">IFERROR(__xludf.DUMMYFUNCTION("""COMPUTED_VALUE"""),832)</f>
        <v>832</v>
      </c>
    </row>
    <row r="117" spans="1:13">
      <c r="A117" s="2">
        <f ca="1">IFERROR(__xludf.DUMMYFUNCTION("""COMPUTED_VALUE"""),232)</f>
        <v>232</v>
      </c>
      <c r="B117" s="2" t="str">
        <f ca="1">IFERROR(__xludf.DUMMYFUNCTION("""COMPUTED_VALUE"""),"Asus")</f>
        <v>Asus</v>
      </c>
      <c r="C117" s="2" t="str">
        <f ca="1">IFERROR(__xludf.DUMMYFUNCTION("""COMPUTED_VALUE"""),"Vivobook X541UV-DM1217T")</f>
        <v>Vivobook X541UV-DM1217T</v>
      </c>
      <c r="D117" s="2" t="str">
        <f ca="1">IFERROR(__xludf.DUMMYFUNCTION("""COMPUTED_VALUE"""),"Notebook")</f>
        <v>Notebook</v>
      </c>
      <c r="E117" s="2">
        <f ca="1">IFERROR(__xludf.DUMMYFUNCTION("""COMPUTED_VALUE"""),15.6)</f>
        <v>15.6</v>
      </c>
      <c r="F117" s="2" t="str">
        <f ca="1">IFERROR(__xludf.DUMMYFUNCTION("""COMPUTED_VALUE"""),"Full HD 1920x1080")</f>
        <v>Full HD 1920x1080</v>
      </c>
      <c r="G117" s="2" t="str">
        <f ca="1">IFERROR(__xludf.DUMMYFUNCTION("""COMPUTED_VALUE"""),"Intel Core i5 7200U 2.5GHz")</f>
        <v>Intel Core i5 7200U 2.5GHz</v>
      </c>
      <c r="H117" s="2" t="str">
        <f ca="1">IFERROR(__xludf.DUMMYFUNCTION("""COMPUTED_VALUE"""),"8GB")</f>
        <v>8GB</v>
      </c>
      <c r="I117" s="2" t="str">
        <f ca="1">IFERROR(__xludf.DUMMYFUNCTION("""COMPUTED_VALUE"""),"256GB SSD")</f>
        <v>256GB SSD</v>
      </c>
      <c r="J117" s="2" t="str">
        <f ca="1">IFERROR(__xludf.DUMMYFUNCTION("""COMPUTED_VALUE"""),"Nvidia GeForce 920MX ")</f>
        <v xml:space="preserve">Nvidia GeForce 920MX </v>
      </c>
      <c r="K117" s="2" t="str">
        <f ca="1">IFERROR(__xludf.DUMMYFUNCTION("""COMPUTED_VALUE"""),"Windows 10")</f>
        <v>Windows 10</v>
      </c>
      <c r="L117" s="2" t="str">
        <f ca="1">IFERROR(__xludf.DUMMYFUNCTION("""COMPUTED_VALUE"""),"2kg")</f>
        <v>2kg</v>
      </c>
      <c r="M117" s="2">
        <f ca="1">IFERROR(__xludf.DUMMYFUNCTION("""COMPUTED_VALUE"""),769)</f>
        <v>769</v>
      </c>
    </row>
    <row r="118" spans="1:13">
      <c r="A118" s="2">
        <f ca="1">IFERROR(__xludf.DUMMYFUNCTION("""COMPUTED_VALUE"""),233)</f>
        <v>233</v>
      </c>
      <c r="B118" s="2" t="str">
        <f ca="1">IFERROR(__xludf.DUMMYFUNCTION("""COMPUTED_VALUE"""),"Asus")</f>
        <v>Asus</v>
      </c>
      <c r="C118" s="2" t="str">
        <f ca="1">IFERROR(__xludf.DUMMYFUNCTION("""COMPUTED_VALUE"""),"K756UX-T4340T (i5-7200U/8GB/500GB")</f>
        <v>K756UX-T4340T (i5-7200U/8GB/500GB</v>
      </c>
      <c r="D118" s="2" t="str">
        <f ca="1">IFERROR(__xludf.DUMMYFUNCTION("""COMPUTED_VALUE"""),"Notebook")</f>
        <v>Notebook</v>
      </c>
      <c r="E118" s="2">
        <f ca="1">IFERROR(__xludf.DUMMYFUNCTION("""COMPUTED_VALUE"""),17.3)</f>
        <v>17.3</v>
      </c>
      <c r="F118" s="2" t="str">
        <f ca="1">IFERROR(__xludf.DUMMYFUNCTION("""COMPUTED_VALUE"""),"Full HD 1920x1080")</f>
        <v>Full HD 1920x1080</v>
      </c>
      <c r="G118" s="2" t="str">
        <f ca="1">IFERROR(__xludf.DUMMYFUNCTION("""COMPUTED_VALUE"""),"Intel Core i5 7200U 2.5GHz")</f>
        <v>Intel Core i5 7200U 2.5GHz</v>
      </c>
      <c r="H118" s="2" t="str">
        <f ca="1">IFERROR(__xludf.DUMMYFUNCTION("""COMPUTED_VALUE"""),"8GB")</f>
        <v>8GB</v>
      </c>
      <c r="I118" s="2" t="str">
        <f ca="1">IFERROR(__xludf.DUMMYFUNCTION("""COMPUTED_VALUE"""),"256GB SSD +  500GB HDD")</f>
        <v>256GB SSD +  500GB HDD</v>
      </c>
      <c r="J118" s="2" t="str">
        <f ca="1">IFERROR(__xludf.DUMMYFUNCTION("""COMPUTED_VALUE"""),"Nvidia GeForce GTX 950M")</f>
        <v>Nvidia GeForce GTX 950M</v>
      </c>
      <c r="K118" s="2" t="str">
        <f ca="1">IFERROR(__xludf.DUMMYFUNCTION("""COMPUTED_VALUE"""),"Windows 10")</f>
        <v>Windows 10</v>
      </c>
      <c r="L118" s="2" t="str">
        <f ca="1">IFERROR(__xludf.DUMMYFUNCTION("""COMPUTED_VALUE"""),"2.69kg")</f>
        <v>2.69kg</v>
      </c>
      <c r="M118" s="2">
        <f ca="1">IFERROR(__xludf.DUMMYFUNCTION("""COMPUTED_VALUE"""),891)</f>
        <v>891</v>
      </c>
    </row>
    <row r="119" spans="1:13">
      <c r="A119" s="2">
        <f ca="1">IFERROR(__xludf.DUMMYFUNCTION("""COMPUTED_VALUE"""),234)</f>
        <v>234</v>
      </c>
      <c r="B119" s="2" t="str">
        <f ca="1">IFERROR(__xludf.DUMMYFUNCTION("""COMPUTED_VALUE"""),"HP")</f>
        <v>HP</v>
      </c>
      <c r="C119" s="2" t="str">
        <f ca="1">IFERROR(__xludf.DUMMYFUNCTION("""COMPUTED_VALUE"""),"ZBook 15u")</f>
        <v>ZBook 15u</v>
      </c>
      <c r="D119" s="2" t="str">
        <f ca="1">IFERROR(__xludf.DUMMYFUNCTION("""COMPUTED_VALUE"""),"Notebook")</f>
        <v>Notebook</v>
      </c>
      <c r="E119" s="2">
        <f ca="1">IFERROR(__xludf.DUMMYFUNCTION("""COMPUTED_VALUE"""),15.6)</f>
        <v>15.6</v>
      </c>
      <c r="F119" s="2" t="str">
        <f ca="1">IFERROR(__xludf.DUMMYFUNCTION("""COMPUTED_VALUE"""),"Full HD 1920x1080")</f>
        <v>Full HD 1920x1080</v>
      </c>
      <c r="G119" s="2" t="str">
        <f ca="1">IFERROR(__xludf.DUMMYFUNCTION("""COMPUTED_VALUE"""),"Intel Core i7 7500U 2.7GHz")</f>
        <v>Intel Core i7 7500U 2.7GHz</v>
      </c>
      <c r="H119" s="2" t="str">
        <f ca="1">IFERROR(__xludf.DUMMYFUNCTION("""COMPUTED_VALUE"""),"8GB")</f>
        <v>8GB</v>
      </c>
      <c r="I119" s="2" t="str">
        <f ca="1">IFERROR(__xludf.DUMMYFUNCTION("""COMPUTED_VALUE"""),"1TB HDD")</f>
        <v>1TB HDD</v>
      </c>
      <c r="J119" s="2" t="str">
        <f ca="1">IFERROR(__xludf.DUMMYFUNCTION("""COMPUTED_VALUE"""),"AMD FirePro W4190M ")</f>
        <v xml:space="preserve">AMD FirePro W4190M </v>
      </c>
      <c r="K119" s="2" t="str">
        <f ca="1">IFERROR(__xludf.DUMMYFUNCTION("""COMPUTED_VALUE"""),"Windows 10")</f>
        <v>Windows 10</v>
      </c>
      <c r="L119" s="2" t="str">
        <f ca="1">IFERROR(__xludf.DUMMYFUNCTION("""COMPUTED_VALUE"""),"1.9kg")</f>
        <v>1.9kg</v>
      </c>
      <c r="M119" s="2">
        <f ca="1">IFERROR(__xludf.DUMMYFUNCTION("""COMPUTED_VALUE"""),1269)</f>
        <v>1269</v>
      </c>
    </row>
    <row r="120" spans="1:13">
      <c r="A120" s="2">
        <f ca="1">IFERROR(__xludf.DUMMYFUNCTION("""COMPUTED_VALUE"""),238)</f>
        <v>238</v>
      </c>
      <c r="B120" s="2" t="str">
        <f ca="1">IFERROR(__xludf.DUMMYFUNCTION("""COMPUTED_VALUE"""),"Dell")</f>
        <v>Dell</v>
      </c>
      <c r="C120" s="2" t="str">
        <f ca="1">IFERROR(__xludf.DUMMYFUNCTION("""COMPUTED_VALUE"""),"Vostro 5468")</f>
        <v>Vostro 5468</v>
      </c>
      <c r="D120" s="2" t="str">
        <f ca="1">IFERROR(__xludf.DUMMYFUNCTION("""COMPUTED_VALUE"""),"Notebook")</f>
        <v>Notebook</v>
      </c>
      <c r="E120" s="2">
        <f ca="1">IFERROR(__xludf.DUMMYFUNCTION("""COMPUTED_VALUE"""),14)</f>
        <v>14</v>
      </c>
      <c r="F120" s="2" t="str">
        <f ca="1">IFERROR(__xludf.DUMMYFUNCTION("""COMPUTED_VALUE"""),"Full HD 1920x1080")</f>
        <v>Full HD 1920x1080</v>
      </c>
      <c r="G120" s="2" t="str">
        <f ca="1">IFERROR(__xludf.DUMMYFUNCTION("""COMPUTED_VALUE"""),"Intel Core i5 7200U 2.5GHz")</f>
        <v>Intel Core i5 7200U 2.5GHz</v>
      </c>
      <c r="H120" s="2" t="str">
        <f ca="1">IFERROR(__xludf.DUMMYFUNCTION("""COMPUTED_VALUE"""),"8GB")</f>
        <v>8GB</v>
      </c>
      <c r="I120" s="2" t="str">
        <f ca="1">IFERROR(__xludf.DUMMYFUNCTION("""COMPUTED_VALUE"""),"256GB SSD")</f>
        <v>256GB SSD</v>
      </c>
      <c r="J120" s="2" t="str">
        <f ca="1">IFERROR(__xludf.DUMMYFUNCTION("""COMPUTED_VALUE"""),"Intel HD Graphics 620")</f>
        <v>Intel HD Graphics 620</v>
      </c>
      <c r="K120" s="2" t="str">
        <f ca="1">IFERROR(__xludf.DUMMYFUNCTION("""COMPUTED_VALUE"""),"Windows 10")</f>
        <v>Windows 10</v>
      </c>
      <c r="L120" s="2" t="str">
        <f ca="1">IFERROR(__xludf.DUMMYFUNCTION("""COMPUTED_VALUE"""),"1.6kg")</f>
        <v>1.6kg</v>
      </c>
      <c r="M120" s="2">
        <f ca="1">IFERROR(__xludf.DUMMYFUNCTION("""COMPUTED_VALUE"""),859)</f>
        <v>859</v>
      </c>
    </row>
    <row r="121" spans="1:13">
      <c r="A121" s="2">
        <f ca="1">IFERROR(__xludf.DUMMYFUNCTION("""COMPUTED_VALUE"""),239)</f>
        <v>239</v>
      </c>
      <c r="B121" s="2" t="str">
        <f ca="1">IFERROR(__xludf.DUMMYFUNCTION("""COMPUTED_VALUE"""),"Acer")</f>
        <v>Acer</v>
      </c>
      <c r="C121" s="2" t="str">
        <f ca="1">IFERROR(__xludf.DUMMYFUNCTION("""COMPUTED_VALUE"""),"Aspire R7")</f>
        <v>Aspire R7</v>
      </c>
      <c r="D121" s="2" t="str">
        <f ca="1">IFERROR(__xludf.DUMMYFUNCTION("""COMPUTED_VALUE"""),"2 in 1 Convertible")</f>
        <v>2 in 1 Convertible</v>
      </c>
      <c r="E121" s="2">
        <f ca="1">IFERROR(__xludf.DUMMYFUNCTION("""COMPUTED_VALUE"""),13.3)</f>
        <v>13.3</v>
      </c>
      <c r="F121" s="2" t="str">
        <f ca="1">IFERROR(__xludf.DUMMYFUNCTION("""COMPUTED_VALUE"""),"IPS Panel Full HD / Touchscreen 1920x1080")</f>
        <v>IPS Panel Full HD / Touchscreen 1920x1080</v>
      </c>
      <c r="G121" s="2" t="str">
        <f ca="1">IFERROR(__xludf.DUMMYFUNCTION("""COMPUTED_VALUE"""),"Intel Core i5 6200U 2.3GHz")</f>
        <v>Intel Core i5 6200U 2.3GHz</v>
      </c>
      <c r="H121" s="2" t="str">
        <f ca="1">IFERROR(__xludf.DUMMYFUNCTION("""COMPUTED_VALUE"""),"8GB")</f>
        <v>8GB</v>
      </c>
      <c r="I121" s="2" t="str">
        <f ca="1">IFERROR(__xludf.DUMMYFUNCTION("""COMPUTED_VALUE"""),"256GB SSD")</f>
        <v>256GB SSD</v>
      </c>
      <c r="J121" s="2" t="str">
        <f ca="1">IFERROR(__xludf.DUMMYFUNCTION("""COMPUTED_VALUE"""),"Intel HD Graphics 520")</f>
        <v>Intel HD Graphics 520</v>
      </c>
      <c r="K121" s="2" t="str">
        <f ca="1">IFERROR(__xludf.DUMMYFUNCTION("""COMPUTED_VALUE"""),"Windows 10")</f>
        <v>Windows 10</v>
      </c>
      <c r="L121" s="2" t="str">
        <f ca="1">IFERROR(__xludf.DUMMYFUNCTION("""COMPUTED_VALUE"""),"1.6kg")</f>
        <v>1.6kg</v>
      </c>
      <c r="M121" s="2">
        <f ca="1">IFERROR(__xludf.DUMMYFUNCTION("""COMPUTED_VALUE"""),689)</f>
        <v>689</v>
      </c>
    </row>
    <row r="122" spans="1:13">
      <c r="A122" s="2">
        <f ca="1">IFERROR(__xludf.DUMMYFUNCTION("""COMPUTED_VALUE"""),244)</f>
        <v>244</v>
      </c>
      <c r="B122" s="2" t="str">
        <f ca="1">IFERROR(__xludf.DUMMYFUNCTION("""COMPUTED_VALUE"""),"Acer")</f>
        <v>Acer</v>
      </c>
      <c r="C122" s="2" t="str">
        <f ca="1">IFERROR(__xludf.DUMMYFUNCTION("""COMPUTED_VALUE"""),"Nitro AN515-51")</f>
        <v>Nitro AN515-51</v>
      </c>
      <c r="D122" s="2" t="str">
        <f ca="1">IFERROR(__xludf.DUMMYFUNCTION("""COMPUTED_VALUE"""),"Gaming")</f>
        <v>Gaming</v>
      </c>
      <c r="E122" s="2">
        <f ca="1">IFERROR(__xludf.DUMMYFUNCTION("""COMPUTED_VALUE"""),15.6)</f>
        <v>15.6</v>
      </c>
      <c r="F122" s="2" t="str">
        <f ca="1">IFERROR(__xludf.DUMMYFUNCTION("""COMPUTED_VALUE"""),"IPS Panel Full HD 1920x1080")</f>
        <v>IPS Panel Full HD 1920x1080</v>
      </c>
      <c r="G122" s="2" t="str">
        <f ca="1">IFERROR(__xludf.DUMMYFUNCTION("""COMPUTED_VALUE"""),"Intel Core i5 7300HQ 2.5GHz")</f>
        <v>Intel Core i5 7300HQ 2.5GHz</v>
      </c>
      <c r="H122" s="2" t="str">
        <f ca="1">IFERROR(__xludf.DUMMYFUNCTION("""COMPUTED_VALUE"""),"8GB")</f>
        <v>8GB</v>
      </c>
      <c r="I122" s="2" t="str">
        <f ca="1">IFERROR(__xludf.DUMMYFUNCTION("""COMPUTED_VALUE"""),"256GB SSD")</f>
        <v>256GB SSD</v>
      </c>
      <c r="J122" s="2" t="str">
        <f ca="1">IFERROR(__xludf.DUMMYFUNCTION("""COMPUTED_VALUE"""),"Nvidia GeForce GTX 1050")</f>
        <v>Nvidia GeForce GTX 1050</v>
      </c>
      <c r="K122" s="2" t="str">
        <f ca="1">IFERROR(__xludf.DUMMYFUNCTION("""COMPUTED_VALUE"""),"Windows 10")</f>
        <v>Windows 10</v>
      </c>
      <c r="L122" s="2" t="str">
        <f ca="1">IFERROR(__xludf.DUMMYFUNCTION("""COMPUTED_VALUE"""),"2.5kg")</f>
        <v>2.5kg</v>
      </c>
      <c r="M122" s="2">
        <f ca="1">IFERROR(__xludf.DUMMYFUNCTION("""COMPUTED_VALUE"""),846)</f>
        <v>846</v>
      </c>
    </row>
    <row r="123" spans="1:13">
      <c r="A123" s="2">
        <f ca="1">IFERROR(__xludf.DUMMYFUNCTION("""COMPUTED_VALUE"""),245)</f>
        <v>245</v>
      </c>
      <c r="B123" s="2" t="str">
        <f ca="1">IFERROR(__xludf.DUMMYFUNCTION("""COMPUTED_VALUE"""),"Lenovo")</f>
        <v>Lenovo</v>
      </c>
      <c r="C123" s="2" t="str">
        <f ca="1">IFERROR(__xludf.DUMMYFUNCTION("""COMPUTED_VALUE"""),"IdeaPad 320-15ISK")</f>
        <v>IdeaPad 320-15ISK</v>
      </c>
      <c r="D123" s="2" t="str">
        <f ca="1">IFERROR(__xludf.DUMMYFUNCTION("""COMPUTED_VALUE"""),"Notebook")</f>
        <v>Notebook</v>
      </c>
      <c r="E123" s="2">
        <f ca="1">IFERROR(__xludf.DUMMYFUNCTION("""COMPUTED_VALUE"""),15.6)</f>
        <v>15.6</v>
      </c>
      <c r="F123" s="2" t="str">
        <f ca="1">IFERROR(__xludf.DUMMYFUNCTION("""COMPUTED_VALUE"""),"1366x768")</f>
        <v>1366x768</v>
      </c>
      <c r="G123" s="2" t="str">
        <f ca="1">IFERROR(__xludf.DUMMYFUNCTION("""COMPUTED_VALUE"""),"Intel Core i3 6006U 2GHz")</f>
        <v>Intel Core i3 6006U 2GHz</v>
      </c>
      <c r="H123" s="2" t="str">
        <f ca="1">IFERROR(__xludf.DUMMYFUNCTION("""COMPUTED_VALUE"""),"8GB")</f>
        <v>8GB</v>
      </c>
      <c r="I123" s="2" t="str">
        <f ca="1">IFERROR(__xludf.DUMMYFUNCTION("""COMPUTED_VALUE"""),"128GB SSD")</f>
        <v>128GB SSD</v>
      </c>
      <c r="J123" s="2" t="str">
        <f ca="1">IFERROR(__xludf.DUMMYFUNCTION("""COMPUTED_VALUE"""),"Intel HD Graphics 520")</f>
        <v>Intel HD Graphics 520</v>
      </c>
      <c r="K123" s="2" t="str">
        <f ca="1">IFERROR(__xludf.DUMMYFUNCTION("""COMPUTED_VALUE"""),"Windows 10")</f>
        <v>Windows 10</v>
      </c>
      <c r="L123" s="2" t="str">
        <f ca="1">IFERROR(__xludf.DUMMYFUNCTION("""COMPUTED_VALUE"""),"2.2kg")</f>
        <v>2.2kg</v>
      </c>
      <c r="M123" s="2">
        <f ca="1">IFERROR(__xludf.DUMMYFUNCTION("""COMPUTED_VALUE"""),589)</f>
        <v>589</v>
      </c>
    </row>
    <row r="124" spans="1:13">
      <c r="A124" s="2">
        <f ca="1">IFERROR(__xludf.DUMMYFUNCTION("""COMPUTED_VALUE"""),246)</f>
        <v>246</v>
      </c>
      <c r="B124" s="2" t="str">
        <f ca="1">IFERROR(__xludf.DUMMYFUNCTION("""COMPUTED_VALUE"""),"Asus")</f>
        <v>Asus</v>
      </c>
      <c r="C124" s="2" t="str">
        <f ca="1">IFERROR(__xludf.DUMMYFUNCTION("""COMPUTED_VALUE"""),"VivoBook Pro")</f>
        <v>VivoBook Pro</v>
      </c>
      <c r="D124" s="2" t="str">
        <f ca="1">IFERROR(__xludf.DUMMYFUNCTION("""COMPUTED_VALUE"""),"Notebook")</f>
        <v>Notebook</v>
      </c>
      <c r="E124" s="2">
        <f ca="1">IFERROR(__xludf.DUMMYFUNCTION("""COMPUTED_VALUE"""),17.3)</f>
        <v>17.3</v>
      </c>
      <c r="F124" s="2" t="str">
        <f ca="1">IFERROR(__xludf.DUMMYFUNCTION("""COMPUTED_VALUE"""),"Full HD 1920x1080")</f>
        <v>Full HD 1920x1080</v>
      </c>
      <c r="G124" s="2" t="str">
        <f ca="1">IFERROR(__xludf.DUMMYFUNCTION("""COMPUTED_VALUE"""),"Intel Core i7 8550U 1.8GHz")</f>
        <v>Intel Core i7 8550U 1.8GHz</v>
      </c>
      <c r="H124" s="2" t="str">
        <f ca="1">IFERROR(__xludf.DUMMYFUNCTION("""COMPUTED_VALUE"""),"8GB")</f>
        <v>8GB</v>
      </c>
      <c r="I124" s="2" t="str">
        <f ca="1">IFERROR(__xludf.DUMMYFUNCTION("""COMPUTED_VALUE"""),"128GB SSD +  1TB HDD")</f>
        <v>128GB SSD +  1TB HDD</v>
      </c>
      <c r="J124" s="2" t="str">
        <f ca="1">IFERROR(__xludf.DUMMYFUNCTION("""COMPUTED_VALUE"""),"Nvidia GeForce 150MX")</f>
        <v>Nvidia GeForce 150MX</v>
      </c>
      <c r="K124" s="2" t="str">
        <f ca="1">IFERROR(__xludf.DUMMYFUNCTION("""COMPUTED_VALUE"""),"Windows 10")</f>
        <v>Windows 10</v>
      </c>
      <c r="L124" s="2" t="str">
        <f ca="1">IFERROR(__xludf.DUMMYFUNCTION("""COMPUTED_VALUE"""),"2.1kg")</f>
        <v>2.1kg</v>
      </c>
      <c r="M124" s="2">
        <f ca="1">IFERROR(__xludf.DUMMYFUNCTION("""COMPUTED_VALUE"""),1145)</f>
        <v>1145</v>
      </c>
    </row>
    <row r="125" spans="1:13">
      <c r="A125" s="2">
        <f ca="1">IFERROR(__xludf.DUMMYFUNCTION("""COMPUTED_VALUE"""),247)</f>
        <v>247</v>
      </c>
      <c r="B125" s="2" t="str">
        <f ca="1">IFERROR(__xludf.DUMMYFUNCTION("""COMPUTED_VALUE"""),"Asus")</f>
        <v>Asus</v>
      </c>
      <c r="C125" s="2" t="str">
        <f ca="1">IFERROR(__xludf.DUMMYFUNCTION("""COMPUTED_VALUE"""),"F756UX-T4201D (i7-7500U/8GB/128GB")</f>
        <v>F756UX-T4201D (i7-7500U/8GB/128GB</v>
      </c>
      <c r="D125" s="2" t="str">
        <f ca="1">IFERROR(__xludf.DUMMYFUNCTION("""COMPUTED_VALUE"""),"Notebook")</f>
        <v>Notebook</v>
      </c>
      <c r="E125" s="2">
        <f ca="1">IFERROR(__xludf.DUMMYFUNCTION("""COMPUTED_VALUE"""),17.3)</f>
        <v>17.3</v>
      </c>
      <c r="F125" s="2" t="str">
        <f ca="1">IFERROR(__xludf.DUMMYFUNCTION("""COMPUTED_VALUE"""),"Full HD 1920x1080")</f>
        <v>Full HD 1920x1080</v>
      </c>
      <c r="G125" s="2" t="str">
        <f ca="1">IFERROR(__xludf.DUMMYFUNCTION("""COMPUTED_VALUE"""),"Intel Core i7 7500U 2.7GHz")</f>
        <v>Intel Core i7 7500U 2.7GHz</v>
      </c>
      <c r="H125" s="2" t="str">
        <f ca="1">IFERROR(__xludf.DUMMYFUNCTION("""COMPUTED_VALUE"""),"8GB")</f>
        <v>8GB</v>
      </c>
      <c r="I125" s="2" t="str">
        <f ca="1">IFERROR(__xludf.DUMMYFUNCTION("""COMPUTED_VALUE"""),"128GB SSD +  1TB HDD")</f>
        <v>128GB SSD +  1TB HDD</v>
      </c>
      <c r="J125" s="2" t="str">
        <f ca="1">IFERROR(__xludf.DUMMYFUNCTION("""COMPUTED_VALUE"""),"Nvidia GeForce GTX 950M")</f>
        <v>Nvidia GeForce GTX 950M</v>
      </c>
      <c r="K125" s="2" t="str">
        <f ca="1">IFERROR(__xludf.DUMMYFUNCTION("""COMPUTED_VALUE"""),"No OS")</f>
        <v>No OS</v>
      </c>
      <c r="L125" s="2" t="str">
        <f ca="1">IFERROR(__xludf.DUMMYFUNCTION("""COMPUTED_VALUE"""),"2.69kg")</f>
        <v>2.69kg</v>
      </c>
      <c r="M125" s="2">
        <f ca="1">IFERROR(__xludf.DUMMYFUNCTION("""COMPUTED_VALUE"""),889)</f>
        <v>889</v>
      </c>
    </row>
    <row r="126" spans="1:13">
      <c r="A126" s="2">
        <f ca="1">IFERROR(__xludf.DUMMYFUNCTION("""COMPUTED_VALUE"""),248)</f>
        <v>248</v>
      </c>
      <c r="B126" s="2" t="str">
        <f ca="1">IFERROR(__xludf.DUMMYFUNCTION("""COMPUTED_VALUE"""),"Dell")</f>
        <v>Dell</v>
      </c>
      <c r="C126" s="2" t="str">
        <f ca="1">IFERROR(__xludf.DUMMYFUNCTION("""COMPUTED_VALUE"""),"Inspiron 5577")</f>
        <v>Inspiron 5577</v>
      </c>
      <c r="D126" s="2" t="str">
        <f ca="1">IFERROR(__xludf.DUMMYFUNCTION("""COMPUTED_VALUE"""),"Gaming")</f>
        <v>Gaming</v>
      </c>
      <c r="E126" s="2">
        <f ca="1">IFERROR(__xludf.DUMMYFUNCTION("""COMPUTED_VALUE"""),15.6)</f>
        <v>15.6</v>
      </c>
      <c r="F126" s="2" t="str">
        <f ca="1">IFERROR(__xludf.DUMMYFUNCTION("""COMPUTED_VALUE"""),"Full HD 1920x1080")</f>
        <v>Full HD 1920x1080</v>
      </c>
      <c r="G126" s="2" t="str">
        <f ca="1">IFERROR(__xludf.DUMMYFUNCTION("""COMPUTED_VALUE"""),"Intel Core i5 7300HQ 2.5GHz")</f>
        <v>Intel Core i5 7300HQ 2.5GHz</v>
      </c>
      <c r="H126" s="2" t="str">
        <f ca="1">IFERROR(__xludf.DUMMYFUNCTION("""COMPUTED_VALUE"""),"8GB")</f>
        <v>8GB</v>
      </c>
      <c r="I126" s="2" t="str">
        <f ca="1">IFERROR(__xludf.DUMMYFUNCTION("""COMPUTED_VALUE"""),"256GB SSD")</f>
        <v>256GB SSD</v>
      </c>
      <c r="J126" s="2" t="str">
        <f ca="1">IFERROR(__xludf.DUMMYFUNCTION("""COMPUTED_VALUE"""),"Nvidia GeForce GTX 1050")</f>
        <v>Nvidia GeForce GTX 1050</v>
      </c>
      <c r="K126" s="2" t="str">
        <f ca="1">IFERROR(__xludf.DUMMYFUNCTION("""COMPUTED_VALUE"""),"Windows 10")</f>
        <v>Windows 10</v>
      </c>
      <c r="L126" s="2" t="str">
        <f ca="1">IFERROR(__xludf.DUMMYFUNCTION("""COMPUTED_VALUE"""),"2.56kg")</f>
        <v>2.56kg</v>
      </c>
      <c r="M126" s="2">
        <f ca="1">IFERROR(__xludf.DUMMYFUNCTION("""COMPUTED_VALUE"""),879)</f>
        <v>879</v>
      </c>
    </row>
    <row r="127" spans="1:13">
      <c r="A127" s="2">
        <f ca="1">IFERROR(__xludf.DUMMYFUNCTION("""COMPUTED_VALUE"""),249)</f>
        <v>249</v>
      </c>
      <c r="B127" s="2" t="str">
        <f ca="1">IFERROR(__xludf.DUMMYFUNCTION("""COMPUTED_VALUE"""),"Lenovo")</f>
        <v>Lenovo</v>
      </c>
      <c r="C127" s="2" t="str">
        <f ca="1">IFERROR(__xludf.DUMMYFUNCTION("""COMPUTED_VALUE"""),"Yoga 910-13IKB")</f>
        <v>Yoga 910-13IKB</v>
      </c>
      <c r="D127" s="2" t="str">
        <f ca="1">IFERROR(__xludf.DUMMYFUNCTION("""COMPUTED_VALUE"""),"2 in 1 Convertible")</f>
        <v>2 in 1 Convertible</v>
      </c>
      <c r="E127" s="2">
        <f ca="1">IFERROR(__xludf.DUMMYFUNCTION("""COMPUTED_VALUE"""),13.9)</f>
        <v>13.9</v>
      </c>
      <c r="F127" s="2" t="str">
        <f ca="1">IFERROR(__xludf.DUMMYFUNCTION("""COMPUTED_VALUE"""),"IPS Panel Full HD / Touchscreen 1920x1080")</f>
        <v>IPS Panel Full HD / Touchscreen 1920x1080</v>
      </c>
      <c r="G127" s="2" t="str">
        <f ca="1">IFERROR(__xludf.DUMMYFUNCTION("""COMPUTED_VALUE"""),"Intel Core i7 7500U 2.7GHz")</f>
        <v>Intel Core i7 7500U 2.7GHz</v>
      </c>
      <c r="H127" s="2" t="str">
        <f ca="1">IFERROR(__xludf.DUMMYFUNCTION("""COMPUTED_VALUE"""),"8GB")</f>
        <v>8GB</v>
      </c>
      <c r="I127" s="2" t="str">
        <f ca="1">IFERROR(__xludf.DUMMYFUNCTION("""COMPUTED_VALUE"""),"256GB SSD")</f>
        <v>256GB SSD</v>
      </c>
      <c r="J127" s="2" t="str">
        <f ca="1">IFERROR(__xludf.DUMMYFUNCTION("""COMPUTED_VALUE"""),"Intel HD Graphics 620")</f>
        <v>Intel HD Graphics 620</v>
      </c>
      <c r="K127" s="2" t="str">
        <f ca="1">IFERROR(__xludf.DUMMYFUNCTION("""COMPUTED_VALUE"""),"Windows 10")</f>
        <v>Windows 10</v>
      </c>
      <c r="L127" s="2" t="str">
        <f ca="1">IFERROR(__xludf.DUMMYFUNCTION("""COMPUTED_VALUE"""),"1.38kg")</f>
        <v>1.38kg</v>
      </c>
      <c r="M127" s="2">
        <f ca="1">IFERROR(__xludf.DUMMYFUNCTION("""COMPUTED_VALUE"""),1079)</f>
        <v>1079</v>
      </c>
    </row>
    <row r="128" spans="1:13">
      <c r="A128" s="2">
        <f ca="1">IFERROR(__xludf.DUMMYFUNCTION("""COMPUTED_VALUE"""),250)</f>
        <v>250</v>
      </c>
      <c r="B128" s="2" t="str">
        <f ca="1">IFERROR(__xludf.DUMMYFUNCTION("""COMPUTED_VALUE"""),"Dell")</f>
        <v>Dell</v>
      </c>
      <c r="C128" s="2" t="str">
        <f ca="1">IFERROR(__xludf.DUMMYFUNCTION("""COMPUTED_VALUE"""),"Inspiron 5570")</f>
        <v>Inspiron 5570</v>
      </c>
      <c r="D128" s="2" t="str">
        <f ca="1">IFERROR(__xludf.DUMMYFUNCTION("""COMPUTED_VALUE"""),"Notebook")</f>
        <v>Notebook</v>
      </c>
      <c r="E128" s="2">
        <f ca="1">IFERROR(__xludf.DUMMYFUNCTION("""COMPUTED_VALUE"""),15.6)</f>
        <v>15.6</v>
      </c>
      <c r="F128" s="2" t="str">
        <f ca="1">IFERROR(__xludf.DUMMYFUNCTION("""COMPUTED_VALUE"""),"Full HD 1920x1080")</f>
        <v>Full HD 1920x1080</v>
      </c>
      <c r="G128" s="2" t="str">
        <f ca="1">IFERROR(__xludf.DUMMYFUNCTION("""COMPUTED_VALUE"""),"Intel Core i7 8550U 1.8GHz")</f>
        <v>Intel Core i7 8550U 1.8GHz</v>
      </c>
      <c r="H128" s="2" t="str">
        <f ca="1">IFERROR(__xludf.DUMMYFUNCTION("""COMPUTED_VALUE"""),"8GB")</f>
        <v>8GB</v>
      </c>
      <c r="I128" s="2" t="str">
        <f ca="1">IFERROR(__xludf.DUMMYFUNCTION("""COMPUTED_VALUE"""),"128GB SSD +  2TB HDD")</f>
        <v>128GB SSD +  2TB HDD</v>
      </c>
      <c r="J128" s="2" t="str">
        <f ca="1">IFERROR(__xludf.DUMMYFUNCTION("""COMPUTED_VALUE"""),"AMD Radeon 530")</f>
        <v>AMD Radeon 530</v>
      </c>
      <c r="K128" s="2" t="str">
        <f ca="1">IFERROR(__xludf.DUMMYFUNCTION("""COMPUTED_VALUE"""),"Windows 10")</f>
        <v>Windows 10</v>
      </c>
      <c r="L128" s="2" t="str">
        <f ca="1">IFERROR(__xludf.DUMMYFUNCTION("""COMPUTED_VALUE"""),"2.2kg")</f>
        <v>2.2kg</v>
      </c>
      <c r="M128" s="2">
        <f ca="1">IFERROR(__xludf.DUMMYFUNCTION("""COMPUTED_VALUE"""),985)</f>
        <v>985</v>
      </c>
    </row>
    <row r="129" spans="1:13">
      <c r="A129" s="2">
        <f ca="1">IFERROR(__xludf.DUMMYFUNCTION("""COMPUTED_VALUE"""),251)</f>
        <v>251</v>
      </c>
      <c r="B129" s="2" t="str">
        <f ca="1">IFERROR(__xludf.DUMMYFUNCTION("""COMPUTED_VALUE"""),"HP")</f>
        <v>HP</v>
      </c>
      <c r="C129" s="2" t="str">
        <f ca="1">IFERROR(__xludf.DUMMYFUNCTION("""COMPUTED_VALUE"""),"15-bs015dx (i5-7200U/8GB/1TB/W10)")</f>
        <v>15-bs015dx (i5-7200U/8GB/1TB/W10)</v>
      </c>
      <c r="D129" s="2" t="str">
        <f ca="1">IFERROR(__xludf.DUMMYFUNCTION("""COMPUTED_VALUE"""),"Notebook")</f>
        <v>Notebook</v>
      </c>
      <c r="E129" s="2">
        <f ca="1">IFERROR(__xludf.DUMMYFUNCTION("""COMPUTED_VALUE"""),15.6)</f>
        <v>15.6</v>
      </c>
      <c r="F129" s="2" t="str">
        <f ca="1">IFERROR(__xludf.DUMMYFUNCTION("""COMPUTED_VALUE"""),"Touchscreen 1366x768")</f>
        <v>Touchscreen 1366x768</v>
      </c>
      <c r="G129" s="2" t="str">
        <f ca="1">IFERROR(__xludf.DUMMYFUNCTION("""COMPUTED_VALUE"""),"Intel Core i5 7200U 2.5GHz")</f>
        <v>Intel Core i5 7200U 2.5GHz</v>
      </c>
      <c r="H129" s="2" t="str">
        <f ca="1">IFERROR(__xludf.DUMMYFUNCTION("""COMPUTED_VALUE"""),"8GB")</f>
        <v>8GB</v>
      </c>
      <c r="I129" s="2" t="str">
        <f ca="1">IFERROR(__xludf.DUMMYFUNCTION("""COMPUTED_VALUE"""),"1TB HDD")</f>
        <v>1TB HDD</v>
      </c>
      <c r="J129" s="2" t="str">
        <f ca="1">IFERROR(__xludf.DUMMYFUNCTION("""COMPUTED_VALUE"""),"Intel HD Graphics 620")</f>
        <v>Intel HD Graphics 620</v>
      </c>
      <c r="K129" s="2" t="str">
        <f ca="1">IFERROR(__xludf.DUMMYFUNCTION("""COMPUTED_VALUE"""),"Windows 10")</f>
        <v>Windows 10</v>
      </c>
      <c r="L129" s="2" t="str">
        <f ca="1">IFERROR(__xludf.DUMMYFUNCTION("""COMPUTED_VALUE"""),"2.04kg")</f>
        <v>2.04kg</v>
      </c>
      <c r="M129" s="2">
        <f ca="1">IFERROR(__xludf.DUMMYFUNCTION("""COMPUTED_VALUE"""),559)</f>
        <v>559</v>
      </c>
    </row>
    <row r="130" spans="1:13">
      <c r="A130" s="2">
        <f ca="1">IFERROR(__xludf.DUMMYFUNCTION("""COMPUTED_VALUE"""),254)</f>
        <v>254</v>
      </c>
      <c r="B130" s="2" t="str">
        <f ca="1">IFERROR(__xludf.DUMMYFUNCTION("""COMPUTED_VALUE"""),"Apple")</f>
        <v>Apple</v>
      </c>
      <c r="C130" s="2" t="str">
        <f ca="1">IFERROR(__xludf.DUMMYFUNCTION("""COMPUTED_VALUE"""),"MacBook Pro")</f>
        <v>MacBook Pro</v>
      </c>
      <c r="D130" s="2" t="str">
        <f ca="1">IFERROR(__xludf.DUMMYFUNCTION("""COMPUTED_VALUE"""),"Ultrabook")</f>
        <v>Ultrabook</v>
      </c>
      <c r="E130" s="2">
        <f ca="1">IFERROR(__xludf.DUMMYFUNCTION("""COMPUTED_VALUE"""),13.3)</f>
        <v>13.3</v>
      </c>
      <c r="F130" s="2" t="str">
        <f ca="1">IFERROR(__xludf.DUMMYFUNCTION("""COMPUTED_VALUE"""),"IPS Panel Retina Display 2560x1600")</f>
        <v>IPS Panel Retina Display 2560x1600</v>
      </c>
      <c r="G130" s="2" t="str">
        <f ca="1">IFERROR(__xludf.DUMMYFUNCTION("""COMPUTED_VALUE"""),"Intel Core i5 3.1GHz")</f>
        <v>Intel Core i5 3.1GHz</v>
      </c>
      <c r="H130" s="2" t="str">
        <f ca="1">IFERROR(__xludf.DUMMYFUNCTION("""COMPUTED_VALUE"""),"8GB")</f>
        <v>8GB</v>
      </c>
      <c r="I130" s="2" t="str">
        <f ca="1">IFERROR(__xludf.DUMMYFUNCTION("""COMPUTED_VALUE"""),"512GB SSD")</f>
        <v>512GB SSD</v>
      </c>
      <c r="J130" s="2" t="str">
        <f ca="1">IFERROR(__xludf.DUMMYFUNCTION("""COMPUTED_VALUE"""),"Intel Iris Plus Graphics 650")</f>
        <v>Intel Iris Plus Graphics 650</v>
      </c>
      <c r="K130" s="2" t="str">
        <f ca="1">IFERROR(__xludf.DUMMYFUNCTION("""COMPUTED_VALUE"""),"macOS")</f>
        <v>macOS</v>
      </c>
      <c r="L130" s="2" t="str">
        <f ca="1">IFERROR(__xludf.DUMMYFUNCTION("""COMPUTED_VALUE"""),"1.37kg")</f>
        <v>1.37kg</v>
      </c>
      <c r="M130" s="2">
        <f ca="1">IFERROR(__xludf.DUMMYFUNCTION("""COMPUTED_VALUE"""),2040)</f>
        <v>2040</v>
      </c>
    </row>
    <row r="131" spans="1:13">
      <c r="A131" s="2">
        <f ca="1">IFERROR(__xludf.DUMMYFUNCTION("""COMPUTED_VALUE"""),255)</f>
        <v>255</v>
      </c>
      <c r="B131" s="2" t="str">
        <f ca="1">IFERROR(__xludf.DUMMYFUNCTION("""COMPUTED_VALUE"""),"Dell")</f>
        <v>Dell</v>
      </c>
      <c r="C131" s="2" t="str">
        <f ca="1">IFERROR(__xludf.DUMMYFUNCTION("""COMPUTED_VALUE"""),"Inspiron 5579")</f>
        <v>Inspiron 5579</v>
      </c>
      <c r="D131" s="2" t="str">
        <f ca="1">IFERROR(__xludf.DUMMYFUNCTION("""COMPUTED_VALUE"""),"2 in 1 Convertible")</f>
        <v>2 in 1 Convertible</v>
      </c>
      <c r="E131" s="2">
        <f ca="1">IFERROR(__xludf.DUMMYFUNCTION("""COMPUTED_VALUE"""),15.6)</f>
        <v>15.6</v>
      </c>
      <c r="F131" s="2" t="str">
        <f ca="1">IFERROR(__xludf.DUMMYFUNCTION("""COMPUTED_VALUE"""),"IPS Panel Full HD / Touchscreen 1920x1080")</f>
        <v>IPS Panel Full HD / Touchscreen 1920x1080</v>
      </c>
      <c r="G131" s="2" t="str">
        <f ca="1">IFERROR(__xludf.DUMMYFUNCTION("""COMPUTED_VALUE"""),"Intel Core i7 8550U 1.8GHz")</f>
        <v>Intel Core i7 8550U 1.8GHz</v>
      </c>
      <c r="H131" s="2" t="str">
        <f ca="1">IFERROR(__xludf.DUMMYFUNCTION("""COMPUTED_VALUE"""),"8GB")</f>
        <v>8GB</v>
      </c>
      <c r="I131" s="2" t="str">
        <f ca="1">IFERROR(__xludf.DUMMYFUNCTION("""COMPUTED_VALUE"""),"1TB HDD")</f>
        <v>1TB HDD</v>
      </c>
      <c r="J131" s="2" t="str">
        <f ca="1">IFERROR(__xludf.DUMMYFUNCTION("""COMPUTED_VALUE"""),"Intel UHD Graphics 620")</f>
        <v>Intel UHD Graphics 620</v>
      </c>
      <c r="K131" s="2" t="str">
        <f ca="1">IFERROR(__xludf.DUMMYFUNCTION("""COMPUTED_VALUE"""),"Windows 10")</f>
        <v>Windows 10</v>
      </c>
      <c r="L131" s="2" t="str">
        <f ca="1">IFERROR(__xludf.DUMMYFUNCTION("""COMPUTED_VALUE"""),"2.08kg")</f>
        <v>2.08kg</v>
      </c>
      <c r="M131" s="2">
        <f ca="1">IFERROR(__xludf.DUMMYFUNCTION("""COMPUTED_VALUE"""),819)</f>
        <v>819</v>
      </c>
    </row>
    <row r="132" spans="1:13">
      <c r="A132" s="2">
        <f ca="1">IFERROR(__xludf.DUMMYFUNCTION("""COMPUTED_VALUE"""),258)</f>
        <v>258</v>
      </c>
      <c r="B132" s="2" t="str">
        <f ca="1">IFERROR(__xludf.DUMMYFUNCTION("""COMPUTED_VALUE"""),"Lenovo")</f>
        <v>Lenovo</v>
      </c>
      <c r="C132" s="2" t="str">
        <f ca="1">IFERROR(__xludf.DUMMYFUNCTION("""COMPUTED_VALUE"""),"Yoga 920-13IKB")</f>
        <v>Yoga 920-13IKB</v>
      </c>
      <c r="D132" s="2" t="str">
        <f ca="1">IFERROR(__xludf.DUMMYFUNCTION("""COMPUTED_VALUE"""),"2 in 1 Convertible")</f>
        <v>2 in 1 Convertible</v>
      </c>
      <c r="E132" s="2">
        <f ca="1">IFERROR(__xludf.DUMMYFUNCTION("""COMPUTED_VALUE"""),13.9)</f>
        <v>13.9</v>
      </c>
      <c r="F132" s="2" t="str">
        <f ca="1">IFERROR(__xludf.DUMMYFUNCTION("""COMPUTED_VALUE"""),"IPS Panel Full HD / Touchscreen 1920x1080")</f>
        <v>IPS Panel Full HD / Touchscreen 1920x1080</v>
      </c>
      <c r="G132" s="2" t="str">
        <f ca="1">IFERROR(__xludf.DUMMYFUNCTION("""COMPUTED_VALUE"""),"Intel Core i7 8550U 1.8GHz")</f>
        <v>Intel Core i7 8550U 1.8GHz</v>
      </c>
      <c r="H132" s="2" t="str">
        <f ca="1">IFERROR(__xludf.DUMMYFUNCTION("""COMPUTED_VALUE"""),"8GB")</f>
        <v>8GB</v>
      </c>
      <c r="I132" s="2" t="str">
        <f ca="1">IFERROR(__xludf.DUMMYFUNCTION("""COMPUTED_VALUE"""),"512GB SSD")</f>
        <v>512GB SSD</v>
      </c>
      <c r="J132" s="2" t="str">
        <f ca="1">IFERROR(__xludf.DUMMYFUNCTION("""COMPUTED_VALUE"""),"Intel UHD Graphics 620")</f>
        <v>Intel UHD Graphics 620</v>
      </c>
      <c r="K132" s="2" t="str">
        <f ca="1">IFERROR(__xludf.DUMMYFUNCTION("""COMPUTED_VALUE"""),"Windows 10")</f>
        <v>Windows 10</v>
      </c>
      <c r="L132" s="2" t="str">
        <f ca="1">IFERROR(__xludf.DUMMYFUNCTION("""COMPUTED_VALUE"""),"1.37kg")</f>
        <v>1.37kg</v>
      </c>
      <c r="M132" s="2">
        <f ca="1">IFERROR(__xludf.DUMMYFUNCTION("""COMPUTED_VALUE"""),1849)</f>
        <v>1849</v>
      </c>
    </row>
    <row r="133" spans="1:13">
      <c r="A133" s="2">
        <f ca="1">IFERROR(__xludf.DUMMYFUNCTION("""COMPUTED_VALUE"""),260)</f>
        <v>260</v>
      </c>
      <c r="B133" s="2" t="str">
        <f ca="1">IFERROR(__xludf.DUMMYFUNCTION("""COMPUTED_VALUE"""),"Dell")</f>
        <v>Dell</v>
      </c>
      <c r="C133" s="2" t="str">
        <f ca="1">IFERROR(__xludf.DUMMYFUNCTION("""COMPUTED_VALUE"""),"Vostro 5370")</f>
        <v>Vostro 5370</v>
      </c>
      <c r="D133" s="2" t="str">
        <f ca="1">IFERROR(__xludf.DUMMYFUNCTION("""COMPUTED_VALUE"""),"Ultrabook")</f>
        <v>Ultrabook</v>
      </c>
      <c r="E133" s="2">
        <f ca="1">IFERROR(__xludf.DUMMYFUNCTION("""COMPUTED_VALUE"""),13.3)</f>
        <v>13.3</v>
      </c>
      <c r="F133" s="2" t="str">
        <f ca="1">IFERROR(__xludf.DUMMYFUNCTION("""COMPUTED_VALUE"""),"Full HD 1920x1080")</f>
        <v>Full HD 1920x1080</v>
      </c>
      <c r="G133" s="2" t="str">
        <f ca="1">IFERROR(__xludf.DUMMYFUNCTION("""COMPUTED_VALUE"""),"Intel Core i5 8250U 1.6GHz")</f>
        <v>Intel Core i5 8250U 1.6GHz</v>
      </c>
      <c r="H133" s="2" t="str">
        <f ca="1">IFERROR(__xludf.DUMMYFUNCTION("""COMPUTED_VALUE"""),"8GB")</f>
        <v>8GB</v>
      </c>
      <c r="I133" s="2" t="str">
        <f ca="1">IFERROR(__xludf.DUMMYFUNCTION("""COMPUTED_VALUE"""),"256GB SSD")</f>
        <v>256GB SSD</v>
      </c>
      <c r="J133" s="2" t="str">
        <f ca="1">IFERROR(__xludf.DUMMYFUNCTION("""COMPUTED_VALUE"""),"Intel UHD Graphics 620")</f>
        <v>Intel UHD Graphics 620</v>
      </c>
      <c r="K133" s="2" t="str">
        <f ca="1">IFERROR(__xludf.DUMMYFUNCTION("""COMPUTED_VALUE"""),"Windows 10")</f>
        <v>Windows 10</v>
      </c>
      <c r="L133" s="2" t="str">
        <f ca="1">IFERROR(__xludf.DUMMYFUNCTION("""COMPUTED_VALUE"""),"1.41kg")</f>
        <v>1.41kg</v>
      </c>
      <c r="M133" s="2">
        <f ca="1">IFERROR(__xludf.DUMMYFUNCTION("""COMPUTED_VALUE"""),949)</f>
        <v>949</v>
      </c>
    </row>
    <row r="134" spans="1:13">
      <c r="A134" s="2">
        <f ca="1">IFERROR(__xludf.DUMMYFUNCTION("""COMPUTED_VALUE"""),261)</f>
        <v>261</v>
      </c>
      <c r="B134" s="2" t="str">
        <f ca="1">IFERROR(__xludf.DUMMYFUNCTION("""COMPUTED_VALUE"""),"HP")</f>
        <v>HP</v>
      </c>
      <c r="C134" s="2" t="str">
        <f ca="1">IFERROR(__xludf.DUMMYFUNCTION("""COMPUTED_VALUE"""),"15-BW094nd (A6-9220/8GB/128GB/W10)")</f>
        <v>15-BW094nd (A6-9220/8GB/128GB/W10)</v>
      </c>
      <c r="D134" s="2" t="str">
        <f ca="1">IFERROR(__xludf.DUMMYFUNCTION("""COMPUTED_VALUE"""),"Notebook")</f>
        <v>Notebook</v>
      </c>
      <c r="E134" s="2">
        <f ca="1">IFERROR(__xludf.DUMMYFUNCTION("""COMPUTED_VALUE"""),15.6)</f>
        <v>15.6</v>
      </c>
      <c r="F134" s="2" t="str">
        <f ca="1">IFERROR(__xludf.DUMMYFUNCTION("""COMPUTED_VALUE"""),"1366x768")</f>
        <v>1366x768</v>
      </c>
      <c r="G134" s="2" t="str">
        <f ca="1">IFERROR(__xludf.DUMMYFUNCTION("""COMPUTED_VALUE"""),"AMD A6-Series A6-9220 2.5GHz")</f>
        <v>AMD A6-Series A6-9220 2.5GHz</v>
      </c>
      <c r="H134" s="2" t="str">
        <f ca="1">IFERROR(__xludf.DUMMYFUNCTION("""COMPUTED_VALUE"""),"8GB")</f>
        <v>8GB</v>
      </c>
      <c r="I134" s="2" t="str">
        <f ca="1">IFERROR(__xludf.DUMMYFUNCTION("""COMPUTED_VALUE"""),"128GB SSD")</f>
        <v>128GB SSD</v>
      </c>
      <c r="J134" s="2" t="str">
        <f ca="1">IFERROR(__xludf.DUMMYFUNCTION("""COMPUTED_VALUE"""),"AMD Radeon R4 Graphics")</f>
        <v>AMD Radeon R4 Graphics</v>
      </c>
      <c r="K134" s="2" t="str">
        <f ca="1">IFERROR(__xludf.DUMMYFUNCTION("""COMPUTED_VALUE"""),"Windows 10")</f>
        <v>Windows 10</v>
      </c>
      <c r="L134" s="2" t="str">
        <f ca="1">IFERROR(__xludf.DUMMYFUNCTION("""COMPUTED_VALUE"""),"1.91kg")</f>
        <v>1.91kg</v>
      </c>
      <c r="M134" s="2">
        <f ca="1">IFERROR(__xludf.DUMMYFUNCTION("""COMPUTED_VALUE"""),445.9)</f>
        <v>445.9</v>
      </c>
    </row>
    <row r="135" spans="1:13">
      <c r="A135" s="2">
        <f ca="1">IFERROR(__xludf.DUMMYFUNCTION("""COMPUTED_VALUE"""),264)</f>
        <v>264</v>
      </c>
      <c r="B135" s="2" t="str">
        <f ca="1">IFERROR(__xludf.DUMMYFUNCTION("""COMPUTED_VALUE"""),"Lenovo")</f>
        <v>Lenovo</v>
      </c>
      <c r="C135" s="2" t="str">
        <f ca="1">IFERROR(__xludf.DUMMYFUNCTION("""COMPUTED_VALUE"""),"Yoga 720-15IKB")</f>
        <v>Yoga 720-15IKB</v>
      </c>
      <c r="D135" s="2" t="str">
        <f ca="1">IFERROR(__xludf.DUMMYFUNCTION("""COMPUTED_VALUE"""),"2 in 1 Convertible")</f>
        <v>2 in 1 Convertible</v>
      </c>
      <c r="E135" s="2">
        <f ca="1">IFERROR(__xludf.DUMMYFUNCTION("""COMPUTED_VALUE"""),15.6)</f>
        <v>15.6</v>
      </c>
      <c r="F135" s="2" t="str">
        <f ca="1">IFERROR(__xludf.DUMMYFUNCTION("""COMPUTED_VALUE"""),"IPS Panel Full HD / Touchscreen 1920x1080")</f>
        <v>IPS Panel Full HD / Touchscreen 1920x1080</v>
      </c>
      <c r="G135" s="2" t="str">
        <f ca="1">IFERROR(__xludf.DUMMYFUNCTION("""COMPUTED_VALUE"""),"Intel Core i7 7700HQ 2.8GHz")</f>
        <v>Intel Core i7 7700HQ 2.8GHz</v>
      </c>
      <c r="H135" s="2" t="str">
        <f ca="1">IFERROR(__xludf.DUMMYFUNCTION("""COMPUTED_VALUE"""),"8GB")</f>
        <v>8GB</v>
      </c>
      <c r="I135" s="2" t="str">
        <f ca="1">IFERROR(__xludf.DUMMYFUNCTION("""COMPUTED_VALUE"""),"512GB SSD")</f>
        <v>512GB SSD</v>
      </c>
      <c r="J135" s="2" t="str">
        <f ca="1">IFERROR(__xludf.DUMMYFUNCTION("""COMPUTED_VALUE"""),"Nvidia GeForce GTX 1050M")</f>
        <v>Nvidia GeForce GTX 1050M</v>
      </c>
      <c r="K135" s="2" t="str">
        <f ca="1">IFERROR(__xludf.DUMMYFUNCTION("""COMPUTED_VALUE"""),"Windows 10")</f>
        <v>Windows 10</v>
      </c>
      <c r="L135" s="2" t="str">
        <f ca="1">IFERROR(__xludf.DUMMYFUNCTION("""COMPUTED_VALUE"""),"2kg")</f>
        <v>2kg</v>
      </c>
      <c r="M135" s="2">
        <f ca="1">IFERROR(__xludf.DUMMYFUNCTION("""COMPUTED_VALUE"""),1699)</f>
        <v>1699</v>
      </c>
    </row>
    <row r="136" spans="1:13">
      <c r="A136" s="2">
        <f ca="1">IFERROR(__xludf.DUMMYFUNCTION("""COMPUTED_VALUE"""),265)</f>
        <v>265</v>
      </c>
      <c r="B136" s="2" t="str">
        <f ca="1">IFERROR(__xludf.DUMMYFUNCTION("""COMPUTED_VALUE"""),"Dell")</f>
        <v>Dell</v>
      </c>
      <c r="C136" s="2" t="str">
        <f ca="1">IFERROR(__xludf.DUMMYFUNCTION("""COMPUTED_VALUE"""),"Inspiron 5770")</f>
        <v>Inspiron 5770</v>
      </c>
      <c r="D136" s="2" t="str">
        <f ca="1">IFERROR(__xludf.DUMMYFUNCTION("""COMPUTED_VALUE"""),"Notebook")</f>
        <v>Notebook</v>
      </c>
      <c r="E136" s="2">
        <f ca="1">IFERROR(__xludf.DUMMYFUNCTION("""COMPUTED_VALUE"""),17.3)</f>
        <v>17.3</v>
      </c>
      <c r="F136" s="2" t="str">
        <f ca="1">IFERROR(__xludf.DUMMYFUNCTION("""COMPUTED_VALUE"""),"Full HD 1920x1080")</f>
        <v>Full HD 1920x1080</v>
      </c>
      <c r="G136" s="2" t="str">
        <f ca="1">IFERROR(__xludf.DUMMYFUNCTION("""COMPUTED_VALUE"""),"Intel Core i7 8550U 1.8GHz")</f>
        <v>Intel Core i7 8550U 1.8GHz</v>
      </c>
      <c r="H136" s="2" t="str">
        <f ca="1">IFERROR(__xludf.DUMMYFUNCTION("""COMPUTED_VALUE"""),"8GB")</f>
        <v>8GB</v>
      </c>
      <c r="I136" s="2" t="str">
        <f ca="1">IFERROR(__xludf.DUMMYFUNCTION("""COMPUTED_VALUE"""),"128GB SSD +  1TB HDD")</f>
        <v>128GB SSD +  1TB HDD</v>
      </c>
      <c r="J136" s="2" t="str">
        <f ca="1">IFERROR(__xludf.DUMMYFUNCTION("""COMPUTED_VALUE"""),"AMD Radeon 530")</f>
        <v>AMD Radeon 530</v>
      </c>
      <c r="K136" s="2" t="str">
        <f ca="1">IFERROR(__xludf.DUMMYFUNCTION("""COMPUTED_VALUE"""),"Windows 10")</f>
        <v>Windows 10</v>
      </c>
      <c r="L136" s="2" t="str">
        <f ca="1">IFERROR(__xludf.DUMMYFUNCTION("""COMPUTED_VALUE"""),"2.8kg")</f>
        <v>2.8kg</v>
      </c>
      <c r="M136" s="2">
        <f ca="1">IFERROR(__xludf.DUMMYFUNCTION("""COMPUTED_VALUE"""),1142)</f>
        <v>1142</v>
      </c>
    </row>
    <row r="137" spans="1:13">
      <c r="A137" s="2">
        <f ca="1">IFERROR(__xludf.DUMMYFUNCTION("""COMPUTED_VALUE"""),269)</f>
        <v>269</v>
      </c>
      <c r="B137" s="2" t="str">
        <f ca="1">IFERROR(__xludf.DUMMYFUNCTION("""COMPUTED_VALUE"""),"Dell")</f>
        <v>Dell</v>
      </c>
      <c r="C137" s="2" t="str">
        <f ca="1">IFERROR(__xludf.DUMMYFUNCTION("""COMPUTED_VALUE"""),"Inspiron 3567")</f>
        <v>Inspiron 3567</v>
      </c>
      <c r="D137" s="2" t="str">
        <f ca="1">IFERROR(__xludf.DUMMYFUNCTION("""COMPUTED_VALUE"""),"Notebook")</f>
        <v>Notebook</v>
      </c>
      <c r="E137" s="2">
        <f ca="1">IFERROR(__xludf.DUMMYFUNCTION("""COMPUTED_VALUE"""),15.6)</f>
        <v>15.6</v>
      </c>
      <c r="F137" s="2" t="str">
        <f ca="1">IFERROR(__xludf.DUMMYFUNCTION("""COMPUTED_VALUE"""),"Full HD 1920x1080")</f>
        <v>Full HD 1920x1080</v>
      </c>
      <c r="G137" s="2" t="str">
        <f ca="1">IFERROR(__xludf.DUMMYFUNCTION("""COMPUTED_VALUE"""),"Intel Core i5 7200U 2.5GHz")</f>
        <v>Intel Core i5 7200U 2.5GHz</v>
      </c>
      <c r="H137" s="2" t="str">
        <f ca="1">IFERROR(__xludf.DUMMYFUNCTION("""COMPUTED_VALUE"""),"8GB")</f>
        <v>8GB</v>
      </c>
      <c r="I137" s="2" t="str">
        <f ca="1">IFERROR(__xludf.DUMMYFUNCTION("""COMPUTED_VALUE"""),"1TB HDD")</f>
        <v>1TB HDD</v>
      </c>
      <c r="J137" s="2" t="str">
        <f ca="1">IFERROR(__xludf.DUMMYFUNCTION("""COMPUTED_VALUE"""),"AMD Radeon R5 M430")</f>
        <v>AMD Radeon R5 M430</v>
      </c>
      <c r="K137" s="2" t="str">
        <f ca="1">IFERROR(__xludf.DUMMYFUNCTION("""COMPUTED_VALUE"""),"Windows 10")</f>
        <v>Windows 10</v>
      </c>
      <c r="L137" s="2" t="str">
        <f ca="1">IFERROR(__xludf.DUMMYFUNCTION("""COMPUTED_VALUE"""),"2.24kg")</f>
        <v>2.24kg</v>
      </c>
      <c r="M137" s="2">
        <f ca="1">IFERROR(__xludf.DUMMYFUNCTION("""COMPUTED_VALUE"""),565)</f>
        <v>565</v>
      </c>
    </row>
    <row r="138" spans="1:13">
      <c r="A138" s="2">
        <f ca="1">IFERROR(__xludf.DUMMYFUNCTION("""COMPUTED_VALUE"""),270)</f>
        <v>270</v>
      </c>
      <c r="B138" s="2" t="str">
        <f ca="1">IFERROR(__xludf.DUMMYFUNCTION("""COMPUTED_VALUE"""),"Dell")</f>
        <v>Dell</v>
      </c>
      <c r="C138" s="2" t="str">
        <f ca="1">IFERROR(__xludf.DUMMYFUNCTION("""COMPUTED_VALUE"""),"Inspiron 5579")</f>
        <v>Inspiron 5579</v>
      </c>
      <c r="D138" s="2" t="str">
        <f ca="1">IFERROR(__xludf.DUMMYFUNCTION("""COMPUTED_VALUE"""),"2 in 1 Convertible")</f>
        <v>2 in 1 Convertible</v>
      </c>
      <c r="E138" s="2">
        <f ca="1">IFERROR(__xludf.DUMMYFUNCTION("""COMPUTED_VALUE"""),15.6)</f>
        <v>15.6</v>
      </c>
      <c r="F138" s="2" t="str">
        <f ca="1">IFERROR(__xludf.DUMMYFUNCTION("""COMPUTED_VALUE"""),"Full HD / Touchscreen 1920x1080")</f>
        <v>Full HD / Touchscreen 1920x1080</v>
      </c>
      <c r="G138" s="2" t="str">
        <f ca="1">IFERROR(__xludf.DUMMYFUNCTION("""COMPUTED_VALUE"""),"Intel Core i5 8250U 1.6GHz")</f>
        <v>Intel Core i5 8250U 1.6GHz</v>
      </c>
      <c r="H138" s="2" t="str">
        <f ca="1">IFERROR(__xludf.DUMMYFUNCTION("""COMPUTED_VALUE"""),"8GB")</f>
        <v>8GB</v>
      </c>
      <c r="I138" s="2" t="str">
        <f ca="1">IFERROR(__xludf.DUMMYFUNCTION("""COMPUTED_VALUE"""),"256GB SSD")</f>
        <v>256GB SSD</v>
      </c>
      <c r="J138" s="2" t="str">
        <f ca="1">IFERROR(__xludf.DUMMYFUNCTION("""COMPUTED_VALUE"""),"Intel UHD Graphics 620")</f>
        <v>Intel UHD Graphics 620</v>
      </c>
      <c r="K138" s="2" t="str">
        <f ca="1">IFERROR(__xludf.DUMMYFUNCTION("""COMPUTED_VALUE"""),"Windows 10")</f>
        <v>Windows 10</v>
      </c>
      <c r="L138" s="2" t="str">
        <f ca="1">IFERROR(__xludf.DUMMYFUNCTION("""COMPUTED_VALUE"""),"2.67kg")</f>
        <v>2.67kg</v>
      </c>
      <c r="M138" s="2">
        <f ca="1">IFERROR(__xludf.DUMMYFUNCTION("""COMPUTED_VALUE"""),799)</f>
        <v>799</v>
      </c>
    </row>
    <row r="139" spans="1:13">
      <c r="A139" s="2">
        <f ca="1">IFERROR(__xludf.DUMMYFUNCTION("""COMPUTED_VALUE"""),271)</f>
        <v>271</v>
      </c>
      <c r="B139" s="2" t="str">
        <f ca="1">IFERROR(__xludf.DUMMYFUNCTION("""COMPUTED_VALUE"""),"Asus")</f>
        <v>Asus</v>
      </c>
      <c r="C139" s="2" t="str">
        <f ca="1">IFERROR(__xludf.DUMMYFUNCTION("""COMPUTED_VALUE"""),"ZenBook Flip")</f>
        <v>ZenBook Flip</v>
      </c>
      <c r="D139" s="2" t="str">
        <f ca="1">IFERROR(__xludf.DUMMYFUNCTION("""COMPUTED_VALUE"""),"2 in 1 Convertible")</f>
        <v>2 in 1 Convertible</v>
      </c>
      <c r="E139" s="2">
        <f ca="1">IFERROR(__xludf.DUMMYFUNCTION("""COMPUTED_VALUE"""),13.3)</f>
        <v>13.3</v>
      </c>
      <c r="F139" s="2" t="str">
        <f ca="1">IFERROR(__xludf.DUMMYFUNCTION("""COMPUTED_VALUE"""),"Full HD / Touchscreen 1920x1080")</f>
        <v>Full HD / Touchscreen 1920x1080</v>
      </c>
      <c r="G139" s="2" t="str">
        <f ca="1">IFERROR(__xludf.DUMMYFUNCTION("""COMPUTED_VALUE"""),"Intel Core i7 8550U 1.8GHz")</f>
        <v>Intel Core i7 8550U 1.8GHz</v>
      </c>
      <c r="H139" s="2" t="str">
        <f ca="1">IFERROR(__xludf.DUMMYFUNCTION("""COMPUTED_VALUE"""),"8GB")</f>
        <v>8GB</v>
      </c>
      <c r="I139" s="2" t="str">
        <f ca="1">IFERROR(__xludf.DUMMYFUNCTION("""COMPUTED_VALUE"""),"512GB SSD +  512GB SSD")</f>
        <v>512GB SSD +  512GB SSD</v>
      </c>
      <c r="J139" s="2" t="str">
        <f ca="1">IFERROR(__xludf.DUMMYFUNCTION("""COMPUTED_VALUE"""),"Intel UHD Graphics 620")</f>
        <v>Intel UHD Graphics 620</v>
      </c>
      <c r="K139" s="2" t="str">
        <f ca="1">IFERROR(__xludf.DUMMYFUNCTION("""COMPUTED_VALUE"""),"Windows 10")</f>
        <v>Windows 10</v>
      </c>
      <c r="L139" s="2" t="str">
        <f ca="1">IFERROR(__xludf.DUMMYFUNCTION("""COMPUTED_VALUE"""),"1.1kg")</f>
        <v>1.1kg</v>
      </c>
      <c r="M139" s="2">
        <f ca="1">IFERROR(__xludf.DUMMYFUNCTION("""COMPUTED_VALUE"""),1499)</f>
        <v>1499</v>
      </c>
    </row>
    <row r="140" spans="1:13">
      <c r="A140" s="2">
        <f ca="1">IFERROR(__xludf.DUMMYFUNCTION("""COMPUTED_VALUE"""),273)</f>
        <v>273</v>
      </c>
      <c r="B140" s="2" t="str">
        <f ca="1">IFERROR(__xludf.DUMMYFUNCTION("""COMPUTED_VALUE"""),"HP")</f>
        <v>HP</v>
      </c>
      <c r="C140" s="2" t="str">
        <f ca="1">IFERROR(__xludf.DUMMYFUNCTION("""COMPUTED_VALUE"""),"Probook 470")</f>
        <v>Probook 470</v>
      </c>
      <c r="D140" s="2" t="str">
        <f ca="1">IFERROR(__xludf.DUMMYFUNCTION("""COMPUTED_VALUE"""),"Notebook")</f>
        <v>Notebook</v>
      </c>
      <c r="E140" s="2">
        <f ca="1">IFERROR(__xludf.DUMMYFUNCTION("""COMPUTED_VALUE"""),17.3)</f>
        <v>17.3</v>
      </c>
      <c r="F140" s="2" t="str">
        <f ca="1">IFERROR(__xludf.DUMMYFUNCTION("""COMPUTED_VALUE"""),"Full HD 1920x1080")</f>
        <v>Full HD 1920x1080</v>
      </c>
      <c r="G140" s="2" t="str">
        <f ca="1">IFERROR(__xludf.DUMMYFUNCTION("""COMPUTED_VALUE"""),"Intel Core i7 8550U 1.8GHz")</f>
        <v>Intel Core i7 8550U 1.8GHz</v>
      </c>
      <c r="H140" s="2" t="str">
        <f ca="1">IFERROR(__xludf.DUMMYFUNCTION("""COMPUTED_VALUE"""),"8GB")</f>
        <v>8GB</v>
      </c>
      <c r="I140" s="2" t="str">
        <f ca="1">IFERROR(__xludf.DUMMYFUNCTION("""COMPUTED_VALUE"""),"1TB HDD")</f>
        <v>1TB HDD</v>
      </c>
      <c r="J140" s="2" t="str">
        <f ca="1">IFERROR(__xludf.DUMMYFUNCTION("""COMPUTED_VALUE"""),"Nvidia GeForce 930MX ")</f>
        <v xml:space="preserve">Nvidia GeForce 930MX </v>
      </c>
      <c r="K140" s="2" t="str">
        <f ca="1">IFERROR(__xludf.DUMMYFUNCTION("""COMPUTED_VALUE"""),"Windows 10")</f>
        <v>Windows 10</v>
      </c>
      <c r="L140" s="2" t="str">
        <f ca="1">IFERROR(__xludf.DUMMYFUNCTION("""COMPUTED_VALUE"""),"2.5kg")</f>
        <v>2.5kg</v>
      </c>
      <c r="M140" s="2">
        <f ca="1">IFERROR(__xludf.DUMMYFUNCTION("""COMPUTED_VALUE"""),1018)</f>
        <v>1018</v>
      </c>
    </row>
    <row r="141" spans="1:13">
      <c r="A141" s="2">
        <f ca="1">IFERROR(__xludf.DUMMYFUNCTION("""COMPUTED_VALUE"""),274)</f>
        <v>274</v>
      </c>
      <c r="B141" s="2" t="str">
        <f ca="1">IFERROR(__xludf.DUMMYFUNCTION("""COMPUTED_VALUE"""),"Lenovo")</f>
        <v>Lenovo</v>
      </c>
      <c r="C141" s="2" t="str">
        <f ca="1">IFERROR(__xludf.DUMMYFUNCTION("""COMPUTED_VALUE"""),"V330-15IKB (i7-8550U/8GB/256GB/FHD/W10)")</f>
        <v>V330-15IKB (i7-8550U/8GB/256GB/FHD/W10)</v>
      </c>
      <c r="D141" s="2" t="str">
        <f ca="1">IFERROR(__xludf.DUMMYFUNCTION("""COMPUTED_VALUE"""),"Notebook")</f>
        <v>Notebook</v>
      </c>
      <c r="E141" s="2">
        <f ca="1">IFERROR(__xludf.DUMMYFUNCTION("""COMPUTED_VALUE"""),15.6)</f>
        <v>15.6</v>
      </c>
      <c r="F141" s="2" t="str">
        <f ca="1">IFERROR(__xludf.DUMMYFUNCTION("""COMPUTED_VALUE"""),"Full HD 1920x1080")</f>
        <v>Full HD 1920x1080</v>
      </c>
      <c r="G141" s="2" t="str">
        <f ca="1">IFERROR(__xludf.DUMMYFUNCTION("""COMPUTED_VALUE"""),"Intel Core i7 8550U 1.8GHz")</f>
        <v>Intel Core i7 8550U 1.8GHz</v>
      </c>
      <c r="H141" s="2" t="str">
        <f ca="1">IFERROR(__xludf.DUMMYFUNCTION("""COMPUTED_VALUE"""),"8GB")</f>
        <v>8GB</v>
      </c>
      <c r="I141" s="2" t="str">
        <f ca="1">IFERROR(__xludf.DUMMYFUNCTION("""COMPUTED_VALUE"""),"256GB SSD")</f>
        <v>256GB SSD</v>
      </c>
      <c r="J141" s="2" t="str">
        <f ca="1">IFERROR(__xludf.DUMMYFUNCTION("""COMPUTED_VALUE"""),"Intel UHD Graphics 620")</f>
        <v>Intel UHD Graphics 620</v>
      </c>
      <c r="K141" s="2" t="str">
        <f ca="1">IFERROR(__xludf.DUMMYFUNCTION("""COMPUTED_VALUE"""),"Windows 10")</f>
        <v>Windows 10</v>
      </c>
      <c r="L141" s="2" t="str">
        <f ca="1">IFERROR(__xludf.DUMMYFUNCTION("""COMPUTED_VALUE"""),"2.05kg")</f>
        <v>2.05kg</v>
      </c>
      <c r="M141" s="2">
        <f ca="1">IFERROR(__xludf.DUMMYFUNCTION("""COMPUTED_VALUE"""),880)</f>
        <v>880</v>
      </c>
    </row>
    <row r="142" spans="1:13">
      <c r="A142" s="2">
        <f ca="1">IFERROR(__xludf.DUMMYFUNCTION("""COMPUTED_VALUE"""),275)</f>
        <v>275</v>
      </c>
      <c r="B142" s="2" t="str">
        <f ca="1">IFERROR(__xludf.DUMMYFUNCTION("""COMPUTED_VALUE"""),"Apple")</f>
        <v>Apple</v>
      </c>
      <c r="C142" s="2" t="str">
        <f ca="1">IFERROR(__xludf.DUMMYFUNCTION("""COMPUTED_VALUE"""),"MacBook Pro")</f>
        <v>MacBook Pro</v>
      </c>
      <c r="D142" s="2" t="str">
        <f ca="1">IFERROR(__xludf.DUMMYFUNCTION("""COMPUTED_VALUE"""),"Ultrabook")</f>
        <v>Ultrabook</v>
      </c>
      <c r="E142" s="2">
        <f ca="1">IFERROR(__xludf.DUMMYFUNCTION("""COMPUTED_VALUE"""),13.3)</f>
        <v>13.3</v>
      </c>
      <c r="F142" s="2" t="str">
        <f ca="1">IFERROR(__xludf.DUMMYFUNCTION("""COMPUTED_VALUE"""),"IPS Panel Retina Display 2560x1600")</f>
        <v>IPS Panel Retina Display 2560x1600</v>
      </c>
      <c r="G142" s="2" t="str">
        <f ca="1">IFERROR(__xludf.DUMMYFUNCTION("""COMPUTED_VALUE"""),"Intel Core i5 2.9GHz")</f>
        <v>Intel Core i5 2.9GHz</v>
      </c>
      <c r="H142" s="2" t="str">
        <f ca="1">IFERROR(__xludf.DUMMYFUNCTION("""COMPUTED_VALUE"""),"8GB")</f>
        <v>8GB</v>
      </c>
      <c r="I142" s="2" t="str">
        <f ca="1">IFERROR(__xludf.DUMMYFUNCTION("""COMPUTED_VALUE"""),"512GB SSD")</f>
        <v>512GB SSD</v>
      </c>
      <c r="J142" s="2" t="str">
        <f ca="1">IFERROR(__xludf.DUMMYFUNCTION("""COMPUTED_VALUE"""),"Intel Iris Graphics 550")</f>
        <v>Intel Iris Graphics 550</v>
      </c>
      <c r="K142" s="2" t="str">
        <f ca="1">IFERROR(__xludf.DUMMYFUNCTION("""COMPUTED_VALUE"""),"macOS")</f>
        <v>macOS</v>
      </c>
      <c r="L142" s="2" t="str">
        <f ca="1">IFERROR(__xludf.DUMMYFUNCTION("""COMPUTED_VALUE"""),"1.37kg")</f>
        <v>1.37kg</v>
      </c>
      <c r="M142" s="2">
        <f ca="1">IFERROR(__xludf.DUMMYFUNCTION("""COMPUTED_VALUE"""),1958.9)</f>
        <v>1958.9</v>
      </c>
    </row>
    <row r="143" spans="1:13">
      <c r="A143" s="2">
        <f ca="1">IFERROR(__xludf.DUMMYFUNCTION("""COMPUTED_VALUE"""),277)</f>
        <v>277</v>
      </c>
      <c r="B143" s="2" t="str">
        <f ca="1">IFERROR(__xludf.DUMMYFUNCTION("""COMPUTED_VALUE"""),"Dell")</f>
        <v>Dell</v>
      </c>
      <c r="C143" s="2" t="str">
        <f ca="1">IFERROR(__xludf.DUMMYFUNCTION("""COMPUTED_VALUE"""),"Inspiron 3576")</f>
        <v>Inspiron 3576</v>
      </c>
      <c r="D143" s="2" t="str">
        <f ca="1">IFERROR(__xludf.DUMMYFUNCTION("""COMPUTED_VALUE"""),"Notebook")</f>
        <v>Notebook</v>
      </c>
      <c r="E143" s="2">
        <f ca="1">IFERROR(__xludf.DUMMYFUNCTION("""COMPUTED_VALUE"""),15.6)</f>
        <v>15.6</v>
      </c>
      <c r="F143" s="2" t="str">
        <f ca="1">IFERROR(__xludf.DUMMYFUNCTION("""COMPUTED_VALUE"""),"Full HD 1920x1080")</f>
        <v>Full HD 1920x1080</v>
      </c>
      <c r="G143" s="2" t="str">
        <f ca="1">IFERROR(__xludf.DUMMYFUNCTION("""COMPUTED_VALUE"""),"Intel Core i7 8550U 1.8GHz")</f>
        <v>Intel Core i7 8550U 1.8GHz</v>
      </c>
      <c r="H143" s="2" t="str">
        <f ca="1">IFERROR(__xludf.DUMMYFUNCTION("""COMPUTED_VALUE"""),"8GB")</f>
        <v>8GB</v>
      </c>
      <c r="I143" s="2" t="str">
        <f ca="1">IFERROR(__xludf.DUMMYFUNCTION("""COMPUTED_VALUE"""),"256GB SSD")</f>
        <v>256GB SSD</v>
      </c>
      <c r="J143" s="2" t="str">
        <f ca="1">IFERROR(__xludf.DUMMYFUNCTION("""COMPUTED_VALUE"""),"AMD Radeon 520")</f>
        <v>AMD Radeon 520</v>
      </c>
      <c r="K143" s="2" t="str">
        <f ca="1">IFERROR(__xludf.DUMMYFUNCTION("""COMPUTED_VALUE"""),"Linux")</f>
        <v>Linux</v>
      </c>
      <c r="L143" s="2" t="str">
        <f ca="1">IFERROR(__xludf.DUMMYFUNCTION("""COMPUTED_VALUE"""),"2.14kg")</f>
        <v>2.14kg</v>
      </c>
      <c r="M143" s="2">
        <f ca="1">IFERROR(__xludf.DUMMYFUNCTION("""COMPUTED_VALUE"""),735.07)</f>
        <v>735.07</v>
      </c>
    </row>
    <row r="144" spans="1:13">
      <c r="A144" s="2">
        <f ca="1">IFERROR(__xludf.DUMMYFUNCTION("""COMPUTED_VALUE"""),279)</f>
        <v>279</v>
      </c>
      <c r="B144" s="2" t="str">
        <f ca="1">IFERROR(__xludf.DUMMYFUNCTION("""COMPUTED_VALUE"""),"Toshiba")</f>
        <v>Toshiba</v>
      </c>
      <c r="C144" s="2" t="str">
        <f ca="1">IFERROR(__xludf.DUMMYFUNCTION("""COMPUTED_VALUE"""),"Satellite Pro")</f>
        <v>Satellite Pro</v>
      </c>
      <c r="D144" s="2" t="str">
        <f ca="1">IFERROR(__xludf.DUMMYFUNCTION("""COMPUTED_VALUE"""),"Notebook")</f>
        <v>Notebook</v>
      </c>
      <c r="E144" s="2">
        <f ca="1">IFERROR(__xludf.DUMMYFUNCTION("""COMPUTED_VALUE"""),15.6)</f>
        <v>15.6</v>
      </c>
      <c r="F144" s="2" t="str">
        <f ca="1">IFERROR(__xludf.DUMMYFUNCTION("""COMPUTED_VALUE"""),"1366x768")</f>
        <v>1366x768</v>
      </c>
      <c r="G144" s="2" t="str">
        <f ca="1">IFERROR(__xludf.DUMMYFUNCTION("""COMPUTED_VALUE"""),"Intel Core i7 6500U 2.5GHz")</f>
        <v>Intel Core i7 6500U 2.5GHz</v>
      </c>
      <c r="H144" s="2" t="str">
        <f ca="1">IFERROR(__xludf.DUMMYFUNCTION("""COMPUTED_VALUE"""),"8GB")</f>
        <v>8GB</v>
      </c>
      <c r="I144" s="2" t="str">
        <f ca="1">IFERROR(__xludf.DUMMYFUNCTION("""COMPUTED_VALUE"""),"500GB HDD")</f>
        <v>500GB HDD</v>
      </c>
      <c r="J144" s="2" t="str">
        <f ca="1">IFERROR(__xludf.DUMMYFUNCTION("""COMPUTED_VALUE"""),"Nvidia GeForce 930M")</f>
        <v>Nvidia GeForce 930M</v>
      </c>
      <c r="K144" s="2" t="str">
        <f ca="1">IFERROR(__xludf.DUMMYFUNCTION("""COMPUTED_VALUE"""),"Windows 10")</f>
        <v>Windows 10</v>
      </c>
      <c r="L144" s="2" t="str">
        <f ca="1">IFERROR(__xludf.DUMMYFUNCTION("""COMPUTED_VALUE"""),"2.2kg")</f>
        <v>2.2kg</v>
      </c>
      <c r="M144" s="2">
        <f ca="1">IFERROR(__xludf.DUMMYFUNCTION("""COMPUTED_VALUE"""),812)</f>
        <v>812</v>
      </c>
    </row>
    <row r="145" spans="1:13">
      <c r="A145" s="2">
        <f ca="1">IFERROR(__xludf.DUMMYFUNCTION("""COMPUTED_VALUE"""),281)</f>
        <v>281</v>
      </c>
      <c r="B145" s="2" t="str">
        <f ca="1">IFERROR(__xludf.DUMMYFUNCTION("""COMPUTED_VALUE"""),"Dell")</f>
        <v>Dell</v>
      </c>
      <c r="C145" s="2" t="str">
        <f ca="1">IFERROR(__xludf.DUMMYFUNCTION("""COMPUTED_VALUE"""),"Inspiron 5770")</f>
        <v>Inspiron 5770</v>
      </c>
      <c r="D145" s="2" t="str">
        <f ca="1">IFERROR(__xludf.DUMMYFUNCTION("""COMPUTED_VALUE"""),"Notebook")</f>
        <v>Notebook</v>
      </c>
      <c r="E145" s="2">
        <f ca="1">IFERROR(__xludf.DUMMYFUNCTION("""COMPUTED_VALUE"""),17.3)</f>
        <v>17.3</v>
      </c>
      <c r="F145" s="2" t="str">
        <f ca="1">IFERROR(__xludf.DUMMYFUNCTION("""COMPUTED_VALUE"""),"Full HD 1920x1080")</f>
        <v>Full HD 1920x1080</v>
      </c>
      <c r="G145" s="2" t="str">
        <f ca="1">IFERROR(__xludf.DUMMYFUNCTION("""COMPUTED_VALUE"""),"Intel Core i7 8550U 1.8GHz")</f>
        <v>Intel Core i7 8550U 1.8GHz</v>
      </c>
      <c r="H145" s="2" t="str">
        <f ca="1">IFERROR(__xludf.DUMMYFUNCTION("""COMPUTED_VALUE"""),"8GB")</f>
        <v>8GB</v>
      </c>
      <c r="I145" s="2" t="str">
        <f ca="1">IFERROR(__xludf.DUMMYFUNCTION("""COMPUTED_VALUE"""),"128GB SSD +  1TB HDD")</f>
        <v>128GB SSD +  1TB HDD</v>
      </c>
      <c r="J145" s="2" t="str">
        <f ca="1">IFERROR(__xludf.DUMMYFUNCTION("""COMPUTED_VALUE"""),"AMD Radeon 530")</f>
        <v>AMD Radeon 530</v>
      </c>
      <c r="K145" s="2" t="str">
        <f ca="1">IFERROR(__xludf.DUMMYFUNCTION("""COMPUTED_VALUE"""),"Linux")</f>
        <v>Linux</v>
      </c>
      <c r="L145" s="2" t="str">
        <f ca="1">IFERROR(__xludf.DUMMYFUNCTION("""COMPUTED_VALUE"""),"2.8kg")</f>
        <v>2.8kg</v>
      </c>
      <c r="M145" s="2">
        <f ca="1">IFERROR(__xludf.DUMMYFUNCTION("""COMPUTED_VALUE"""),1099)</f>
        <v>1099</v>
      </c>
    </row>
    <row r="146" spans="1:13">
      <c r="A146" s="2">
        <f ca="1">IFERROR(__xludf.DUMMYFUNCTION("""COMPUTED_VALUE"""),282)</f>
        <v>282</v>
      </c>
      <c r="B146" s="2" t="str">
        <f ca="1">IFERROR(__xludf.DUMMYFUNCTION("""COMPUTED_VALUE"""),"Acer")</f>
        <v>Acer</v>
      </c>
      <c r="C146" s="2" t="str">
        <f ca="1">IFERROR(__xludf.DUMMYFUNCTION("""COMPUTED_VALUE"""),"Aspire A515-51G")</f>
        <v>Aspire A515-51G</v>
      </c>
      <c r="D146" s="2" t="str">
        <f ca="1">IFERROR(__xludf.DUMMYFUNCTION("""COMPUTED_VALUE"""),"Notebook")</f>
        <v>Notebook</v>
      </c>
      <c r="E146" s="2">
        <f ca="1">IFERROR(__xludf.DUMMYFUNCTION("""COMPUTED_VALUE"""),15.6)</f>
        <v>15.6</v>
      </c>
      <c r="F146" s="2" t="str">
        <f ca="1">IFERROR(__xludf.DUMMYFUNCTION("""COMPUTED_VALUE"""),"IPS Panel Full HD 1920x1080")</f>
        <v>IPS Panel Full HD 1920x1080</v>
      </c>
      <c r="G146" s="2" t="str">
        <f ca="1">IFERROR(__xludf.DUMMYFUNCTION("""COMPUTED_VALUE"""),"Intel Core i7 8550U 1.8GHz")</f>
        <v>Intel Core i7 8550U 1.8GHz</v>
      </c>
      <c r="H146" s="2" t="str">
        <f ca="1">IFERROR(__xludf.DUMMYFUNCTION("""COMPUTED_VALUE"""),"8GB")</f>
        <v>8GB</v>
      </c>
      <c r="I146" s="2" t="str">
        <f ca="1">IFERROR(__xludf.DUMMYFUNCTION("""COMPUTED_VALUE"""),"1TB HDD")</f>
        <v>1TB HDD</v>
      </c>
      <c r="J146" s="2" t="str">
        <f ca="1">IFERROR(__xludf.DUMMYFUNCTION("""COMPUTED_VALUE"""),"Nvidia GeForce MX130")</f>
        <v>Nvidia GeForce MX130</v>
      </c>
      <c r="K146" s="2" t="str">
        <f ca="1">IFERROR(__xludf.DUMMYFUNCTION("""COMPUTED_VALUE"""),"Windows 10")</f>
        <v>Windows 10</v>
      </c>
      <c r="L146" s="2" t="str">
        <f ca="1">IFERROR(__xludf.DUMMYFUNCTION("""COMPUTED_VALUE"""),"2.2kg")</f>
        <v>2.2kg</v>
      </c>
      <c r="M146" s="2">
        <f ca="1">IFERROR(__xludf.DUMMYFUNCTION("""COMPUTED_VALUE"""),745)</f>
        <v>745</v>
      </c>
    </row>
    <row r="147" spans="1:13">
      <c r="A147" s="2">
        <f ca="1">IFERROR(__xludf.DUMMYFUNCTION("""COMPUTED_VALUE"""),284)</f>
        <v>284</v>
      </c>
      <c r="B147" s="2" t="str">
        <f ca="1">IFERROR(__xludf.DUMMYFUNCTION("""COMPUTED_VALUE"""),"Lenovo")</f>
        <v>Lenovo</v>
      </c>
      <c r="C147" s="2" t="str">
        <f ca="1">IFERROR(__xludf.DUMMYFUNCTION("""COMPUTED_VALUE"""),"IdeaPad 320-17IKBR")</f>
        <v>IdeaPad 320-17IKBR</v>
      </c>
      <c r="D147" s="2" t="str">
        <f ca="1">IFERROR(__xludf.DUMMYFUNCTION("""COMPUTED_VALUE"""),"Notebook")</f>
        <v>Notebook</v>
      </c>
      <c r="E147" s="2">
        <f ca="1">IFERROR(__xludf.DUMMYFUNCTION("""COMPUTED_VALUE"""),17.3)</f>
        <v>17.3</v>
      </c>
      <c r="F147" s="2" t="str">
        <f ca="1">IFERROR(__xludf.DUMMYFUNCTION("""COMPUTED_VALUE"""),"Full HD 1920x1080")</f>
        <v>Full HD 1920x1080</v>
      </c>
      <c r="G147" s="2" t="str">
        <f ca="1">IFERROR(__xludf.DUMMYFUNCTION("""COMPUTED_VALUE"""),"Intel Core i7 8550U 1.8GHz")</f>
        <v>Intel Core i7 8550U 1.8GHz</v>
      </c>
      <c r="H147" s="2" t="str">
        <f ca="1">IFERROR(__xludf.DUMMYFUNCTION("""COMPUTED_VALUE"""),"8GB")</f>
        <v>8GB</v>
      </c>
      <c r="I147" s="2" t="str">
        <f ca="1">IFERROR(__xludf.DUMMYFUNCTION("""COMPUTED_VALUE"""),"2TB HDD")</f>
        <v>2TB HDD</v>
      </c>
      <c r="J147" s="2" t="str">
        <f ca="1">IFERROR(__xludf.DUMMYFUNCTION("""COMPUTED_VALUE"""),"Nvidia GeForce MX150")</f>
        <v>Nvidia GeForce MX150</v>
      </c>
      <c r="K147" s="2" t="str">
        <f ca="1">IFERROR(__xludf.DUMMYFUNCTION("""COMPUTED_VALUE"""),"No OS")</f>
        <v>No OS</v>
      </c>
      <c r="L147" s="2" t="str">
        <f ca="1">IFERROR(__xludf.DUMMYFUNCTION("""COMPUTED_VALUE"""),"2.8kg")</f>
        <v>2.8kg</v>
      </c>
      <c r="M147" s="2">
        <f ca="1">IFERROR(__xludf.DUMMYFUNCTION("""COMPUTED_VALUE"""),849)</f>
        <v>849</v>
      </c>
    </row>
    <row r="148" spans="1:13">
      <c r="A148" s="2">
        <f ca="1">IFERROR(__xludf.DUMMYFUNCTION("""COMPUTED_VALUE"""),287)</f>
        <v>287</v>
      </c>
      <c r="B148" s="2" t="str">
        <f ca="1">IFERROR(__xludf.DUMMYFUNCTION("""COMPUTED_VALUE"""),"Lenovo")</f>
        <v>Lenovo</v>
      </c>
      <c r="C148" s="2" t="str">
        <f ca="1">IFERROR(__xludf.DUMMYFUNCTION("""COMPUTED_VALUE"""),"Legion Y520-15IKBN")</f>
        <v>Legion Y520-15IKBN</v>
      </c>
      <c r="D148" s="2" t="str">
        <f ca="1">IFERROR(__xludf.DUMMYFUNCTION("""COMPUTED_VALUE"""),"Gaming")</f>
        <v>Gaming</v>
      </c>
      <c r="E148" s="2">
        <f ca="1">IFERROR(__xludf.DUMMYFUNCTION("""COMPUTED_VALUE"""),15.6)</f>
        <v>15.6</v>
      </c>
      <c r="F148" s="2" t="str">
        <f ca="1">IFERROR(__xludf.DUMMYFUNCTION("""COMPUTED_VALUE"""),"IPS Panel Full HD 1920x1080")</f>
        <v>IPS Panel Full HD 1920x1080</v>
      </c>
      <c r="G148" s="2" t="str">
        <f ca="1">IFERROR(__xludf.DUMMYFUNCTION("""COMPUTED_VALUE"""),"Intel Core i5 7300HQ 2.5GHz")</f>
        <v>Intel Core i5 7300HQ 2.5GHz</v>
      </c>
      <c r="H148" s="2" t="str">
        <f ca="1">IFERROR(__xludf.DUMMYFUNCTION("""COMPUTED_VALUE"""),"8GB")</f>
        <v>8GB</v>
      </c>
      <c r="I148" s="2" t="str">
        <f ca="1">IFERROR(__xludf.DUMMYFUNCTION("""COMPUTED_VALUE"""),"256GB SSD")</f>
        <v>256GB SSD</v>
      </c>
      <c r="J148" s="2" t="str">
        <f ca="1">IFERROR(__xludf.DUMMYFUNCTION("""COMPUTED_VALUE"""),"Nvidia GeForce GTX 1050")</f>
        <v>Nvidia GeForce GTX 1050</v>
      </c>
      <c r="K148" s="2" t="str">
        <f ca="1">IFERROR(__xludf.DUMMYFUNCTION("""COMPUTED_VALUE"""),"Windows 10")</f>
        <v>Windows 10</v>
      </c>
      <c r="L148" s="2" t="str">
        <f ca="1">IFERROR(__xludf.DUMMYFUNCTION("""COMPUTED_VALUE"""),"2.5kg")</f>
        <v>2.5kg</v>
      </c>
      <c r="M148" s="2">
        <f ca="1">IFERROR(__xludf.DUMMYFUNCTION("""COMPUTED_VALUE"""),829)</f>
        <v>829</v>
      </c>
    </row>
    <row r="149" spans="1:13">
      <c r="A149" s="2">
        <f ca="1">IFERROR(__xludf.DUMMYFUNCTION("""COMPUTED_VALUE"""),289)</f>
        <v>289</v>
      </c>
      <c r="B149" s="2" t="str">
        <f ca="1">IFERROR(__xludf.DUMMYFUNCTION("""COMPUTED_VALUE"""),"Acer")</f>
        <v>Acer</v>
      </c>
      <c r="C149" s="2" t="str">
        <f ca="1">IFERROR(__xludf.DUMMYFUNCTION("""COMPUTED_VALUE"""),"Aspire A517-51G")</f>
        <v>Aspire A517-51G</v>
      </c>
      <c r="D149" s="2" t="str">
        <f ca="1">IFERROR(__xludf.DUMMYFUNCTION("""COMPUTED_VALUE"""),"Notebook")</f>
        <v>Notebook</v>
      </c>
      <c r="E149" s="2">
        <f ca="1">IFERROR(__xludf.DUMMYFUNCTION("""COMPUTED_VALUE"""),15.6)</f>
        <v>15.6</v>
      </c>
      <c r="F149" s="2" t="str">
        <f ca="1">IFERROR(__xludf.DUMMYFUNCTION("""COMPUTED_VALUE"""),"IPS Panel Full HD 1920x1080")</f>
        <v>IPS Panel Full HD 1920x1080</v>
      </c>
      <c r="G149" s="2" t="str">
        <f ca="1">IFERROR(__xludf.DUMMYFUNCTION("""COMPUTED_VALUE"""),"Intel Core i7 8550U 1.8GHz")</f>
        <v>Intel Core i7 8550U 1.8GHz</v>
      </c>
      <c r="H149" s="2" t="str">
        <f ca="1">IFERROR(__xludf.DUMMYFUNCTION("""COMPUTED_VALUE"""),"8GB")</f>
        <v>8GB</v>
      </c>
      <c r="I149" s="2" t="str">
        <f ca="1">IFERROR(__xludf.DUMMYFUNCTION("""COMPUTED_VALUE"""),"256GB SSD")</f>
        <v>256GB SSD</v>
      </c>
      <c r="J149" s="2" t="str">
        <f ca="1">IFERROR(__xludf.DUMMYFUNCTION("""COMPUTED_VALUE"""),"Nvidia GeForce MX150")</f>
        <v>Nvidia GeForce MX150</v>
      </c>
      <c r="K149" s="2" t="str">
        <f ca="1">IFERROR(__xludf.DUMMYFUNCTION("""COMPUTED_VALUE"""),"Windows 10")</f>
        <v>Windows 10</v>
      </c>
      <c r="L149" s="2" t="str">
        <f ca="1">IFERROR(__xludf.DUMMYFUNCTION("""COMPUTED_VALUE"""),"3kg")</f>
        <v>3kg</v>
      </c>
      <c r="M149" s="2">
        <f ca="1">IFERROR(__xludf.DUMMYFUNCTION("""COMPUTED_VALUE"""),951)</f>
        <v>951</v>
      </c>
    </row>
    <row r="150" spans="1:13">
      <c r="A150" s="2">
        <f ca="1">IFERROR(__xludf.DUMMYFUNCTION("""COMPUTED_VALUE"""),291)</f>
        <v>291</v>
      </c>
      <c r="B150" s="2" t="str">
        <f ca="1">IFERROR(__xludf.DUMMYFUNCTION("""COMPUTED_VALUE"""),"Lenovo")</f>
        <v>Lenovo</v>
      </c>
      <c r="C150" s="2" t="str">
        <f ca="1">IFERROR(__xludf.DUMMYFUNCTION("""COMPUTED_VALUE"""),"Thinkpad T570")</f>
        <v>Thinkpad T570</v>
      </c>
      <c r="D150" s="2" t="str">
        <f ca="1">IFERROR(__xludf.DUMMYFUNCTION("""COMPUTED_VALUE"""),"Notebook")</f>
        <v>Notebook</v>
      </c>
      <c r="E150" s="2">
        <f ca="1">IFERROR(__xludf.DUMMYFUNCTION("""COMPUTED_VALUE"""),15.6)</f>
        <v>15.6</v>
      </c>
      <c r="F150" s="2" t="str">
        <f ca="1">IFERROR(__xludf.DUMMYFUNCTION("""COMPUTED_VALUE"""),"IPS Panel Full HD 1920x1080")</f>
        <v>IPS Panel Full HD 1920x1080</v>
      </c>
      <c r="G150" s="2" t="str">
        <f ca="1">IFERROR(__xludf.DUMMYFUNCTION("""COMPUTED_VALUE"""),"Intel Core i7 7500U 2.7GHz")</f>
        <v>Intel Core i7 7500U 2.7GHz</v>
      </c>
      <c r="H150" s="2" t="str">
        <f ca="1">IFERROR(__xludf.DUMMYFUNCTION("""COMPUTED_VALUE"""),"8GB")</f>
        <v>8GB</v>
      </c>
      <c r="I150" s="2" t="str">
        <f ca="1">IFERROR(__xludf.DUMMYFUNCTION("""COMPUTED_VALUE"""),"256GB SSD")</f>
        <v>256GB SSD</v>
      </c>
      <c r="J150" s="2" t="str">
        <f ca="1">IFERROR(__xludf.DUMMYFUNCTION("""COMPUTED_VALUE"""),"Intel HD Graphics 630")</f>
        <v>Intel HD Graphics 630</v>
      </c>
      <c r="K150" s="2" t="str">
        <f ca="1">IFERROR(__xludf.DUMMYFUNCTION("""COMPUTED_VALUE"""),"Windows 10")</f>
        <v>Windows 10</v>
      </c>
      <c r="L150" s="2" t="str">
        <f ca="1">IFERROR(__xludf.DUMMYFUNCTION("""COMPUTED_VALUE"""),"1.95kg")</f>
        <v>1.95kg</v>
      </c>
      <c r="M150" s="2">
        <f ca="1">IFERROR(__xludf.DUMMYFUNCTION("""COMPUTED_VALUE"""),1097)</f>
        <v>1097</v>
      </c>
    </row>
    <row r="151" spans="1:13">
      <c r="A151" s="2">
        <f ca="1">IFERROR(__xludf.DUMMYFUNCTION("""COMPUTED_VALUE"""),292)</f>
        <v>292</v>
      </c>
      <c r="B151" s="2" t="str">
        <f ca="1">IFERROR(__xludf.DUMMYFUNCTION("""COMPUTED_VALUE"""),"Asus")</f>
        <v>Asus</v>
      </c>
      <c r="C151" s="2" t="str">
        <f ca="1">IFERROR(__xludf.DUMMYFUNCTION("""COMPUTED_VALUE"""),"VivoBook S15")</f>
        <v>VivoBook S15</v>
      </c>
      <c r="D151" s="2" t="str">
        <f ca="1">IFERROR(__xludf.DUMMYFUNCTION("""COMPUTED_VALUE"""),"Ultrabook")</f>
        <v>Ultrabook</v>
      </c>
      <c r="E151" s="2">
        <f ca="1">IFERROR(__xludf.DUMMYFUNCTION("""COMPUTED_VALUE"""),15.6)</f>
        <v>15.6</v>
      </c>
      <c r="F151" s="2" t="str">
        <f ca="1">IFERROR(__xludf.DUMMYFUNCTION("""COMPUTED_VALUE"""),"Full HD 1920x1080")</f>
        <v>Full HD 1920x1080</v>
      </c>
      <c r="G151" s="2" t="str">
        <f ca="1">IFERROR(__xludf.DUMMYFUNCTION("""COMPUTED_VALUE"""),"Intel Core i5 7200U 2.5GHz")</f>
        <v>Intel Core i5 7200U 2.5GHz</v>
      </c>
      <c r="H151" s="2" t="str">
        <f ca="1">IFERROR(__xludf.DUMMYFUNCTION("""COMPUTED_VALUE"""),"8GB")</f>
        <v>8GB</v>
      </c>
      <c r="I151" s="2" t="str">
        <f ca="1">IFERROR(__xludf.DUMMYFUNCTION("""COMPUTED_VALUE"""),"256GB SSD")</f>
        <v>256GB SSD</v>
      </c>
      <c r="J151" s="2" t="str">
        <f ca="1">IFERROR(__xludf.DUMMYFUNCTION("""COMPUTED_VALUE"""),"Nvidia GeForce 940MX")</f>
        <v>Nvidia GeForce 940MX</v>
      </c>
      <c r="K151" s="2" t="str">
        <f ca="1">IFERROR(__xludf.DUMMYFUNCTION("""COMPUTED_VALUE"""),"Windows 10")</f>
        <v>Windows 10</v>
      </c>
      <c r="L151" s="2" t="str">
        <f ca="1">IFERROR(__xludf.DUMMYFUNCTION("""COMPUTED_VALUE"""),"1.7kg")</f>
        <v>1.7kg</v>
      </c>
      <c r="M151" s="2">
        <f ca="1">IFERROR(__xludf.DUMMYFUNCTION("""COMPUTED_VALUE"""),977)</f>
        <v>977</v>
      </c>
    </row>
    <row r="152" spans="1:13">
      <c r="A152" s="2">
        <f ca="1">IFERROR(__xludf.DUMMYFUNCTION("""COMPUTED_VALUE"""),294)</f>
        <v>294</v>
      </c>
      <c r="B152" s="2" t="str">
        <f ca="1">IFERROR(__xludf.DUMMYFUNCTION("""COMPUTED_VALUE"""),"Lenovo")</f>
        <v>Lenovo</v>
      </c>
      <c r="C152" s="2" t="str">
        <f ca="1">IFERROR(__xludf.DUMMYFUNCTION("""COMPUTED_VALUE"""),"IdeaPad 320-15IKB")</f>
        <v>IdeaPad 320-15IKB</v>
      </c>
      <c r="D152" s="2" t="str">
        <f ca="1">IFERROR(__xludf.DUMMYFUNCTION("""COMPUTED_VALUE"""),"Notebook")</f>
        <v>Notebook</v>
      </c>
      <c r="E152" s="2">
        <f ca="1">IFERROR(__xludf.DUMMYFUNCTION("""COMPUTED_VALUE"""),15.6)</f>
        <v>15.6</v>
      </c>
      <c r="F152" s="2" t="str">
        <f ca="1">IFERROR(__xludf.DUMMYFUNCTION("""COMPUTED_VALUE"""),"Full HD 1920x1080")</f>
        <v>Full HD 1920x1080</v>
      </c>
      <c r="G152" s="2" t="str">
        <f ca="1">IFERROR(__xludf.DUMMYFUNCTION("""COMPUTED_VALUE"""),"Intel Core i7 7500U 2.7GHz")</f>
        <v>Intel Core i7 7500U 2.7GHz</v>
      </c>
      <c r="H152" s="2" t="str">
        <f ca="1">IFERROR(__xludf.DUMMYFUNCTION("""COMPUTED_VALUE"""),"8GB")</f>
        <v>8GB</v>
      </c>
      <c r="I152" s="2" t="str">
        <f ca="1">IFERROR(__xludf.DUMMYFUNCTION("""COMPUTED_VALUE"""),"1TB HDD")</f>
        <v>1TB HDD</v>
      </c>
      <c r="J152" s="2" t="str">
        <f ca="1">IFERROR(__xludf.DUMMYFUNCTION("""COMPUTED_VALUE"""),"Nvidia GeForce 940MX")</f>
        <v>Nvidia GeForce 940MX</v>
      </c>
      <c r="K152" s="2" t="str">
        <f ca="1">IFERROR(__xludf.DUMMYFUNCTION("""COMPUTED_VALUE"""),"No OS")</f>
        <v>No OS</v>
      </c>
      <c r="L152" s="2" t="str">
        <f ca="1">IFERROR(__xludf.DUMMYFUNCTION("""COMPUTED_VALUE"""),"2.2kg")</f>
        <v>2.2kg</v>
      </c>
      <c r="M152" s="2">
        <f ca="1">IFERROR(__xludf.DUMMYFUNCTION("""COMPUTED_VALUE"""),659.01)</f>
        <v>659.01</v>
      </c>
    </row>
    <row r="153" spans="1:13">
      <c r="A153" s="2">
        <f ca="1">IFERROR(__xludf.DUMMYFUNCTION("""COMPUTED_VALUE"""),296)</f>
        <v>296</v>
      </c>
      <c r="B153" s="2" t="str">
        <f ca="1">IFERROR(__xludf.DUMMYFUNCTION("""COMPUTED_VALUE"""),"Asus")</f>
        <v>Asus</v>
      </c>
      <c r="C153" s="2" t="str">
        <f ca="1">IFERROR(__xludf.DUMMYFUNCTION("""COMPUTED_VALUE"""),"FX753VD-GC071T (i7-7700HQ/8GB/1TB/GeForce")</f>
        <v>FX753VD-GC071T (i7-7700HQ/8GB/1TB/GeForce</v>
      </c>
      <c r="D153" s="2" t="str">
        <f ca="1">IFERROR(__xludf.DUMMYFUNCTION("""COMPUTED_VALUE"""),"Gaming")</f>
        <v>Gaming</v>
      </c>
      <c r="E153" s="2">
        <f ca="1">IFERROR(__xludf.DUMMYFUNCTION("""COMPUTED_VALUE"""),17.3)</f>
        <v>17.3</v>
      </c>
      <c r="F153" s="2" t="str">
        <f ca="1">IFERROR(__xludf.DUMMYFUNCTION("""COMPUTED_VALUE"""),"Full HD 1920x1080")</f>
        <v>Full HD 1920x1080</v>
      </c>
      <c r="G153" s="2" t="str">
        <f ca="1">IFERROR(__xludf.DUMMYFUNCTION("""COMPUTED_VALUE"""),"Intel Core i7 7700HQ 2.8GHz")</f>
        <v>Intel Core i7 7700HQ 2.8GHz</v>
      </c>
      <c r="H153" s="2" t="str">
        <f ca="1">IFERROR(__xludf.DUMMYFUNCTION("""COMPUTED_VALUE"""),"8GB")</f>
        <v>8GB</v>
      </c>
      <c r="I153" s="2" t="str">
        <f ca="1">IFERROR(__xludf.DUMMYFUNCTION("""COMPUTED_VALUE"""),"1TB HDD")</f>
        <v>1TB HDD</v>
      </c>
      <c r="J153" s="2" t="str">
        <f ca="1">IFERROR(__xludf.DUMMYFUNCTION("""COMPUTED_VALUE"""),"Nvidia GeForce GTX 1050")</f>
        <v>Nvidia GeForce GTX 1050</v>
      </c>
      <c r="K153" s="2" t="str">
        <f ca="1">IFERROR(__xludf.DUMMYFUNCTION("""COMPUTED_VALUE"""),"Windows 10")</f>
        <v>Windows 10</v>
      </c>
      <c r="L153" s="2" t="str">
        <f ca="1">IFERROR(__xludf.DUMMYFUNCTION("""COMPUTED_VALUE"""),"3kg")</f>
        <v>3kg</v>
      </c>
      <c r="M153" s="2">
        <f ca="1">IFERROR(__xludf.DUMMYFUNCTION("""COMPUTED_VALUE"""),1187)</f>
        <v>1187</v>
      </c>
    </row>
    <row r="154" spans="1:13">
      <c r="A154" s="2">
        <f ca="1">IFERROR(__xludf.DUMMYFUNCTION("""COMPUTED_VALUE"""),297)</f>
        <v>297</v>
      </c>
      <c r="B154" s="2" t="str">
        <f ca="1">IFERROR(__xludf.DUMMYFUNCTION("""COMPUTED_VALUE"""),"HP")</f>
        <v>HP</v>
      </c>
      <c r="C154" s="2" t="str">
        <f ca="1">IFERROR(__xludf.DUMMYFUNCTION("""COMPUTED_VALUE"""),"17-BS037cl (i3-6006U/8GB/1TB/W10)")</f>
        <v>17-BS037cl (i3-6006U/8GB/1TB/W10)</v>
      </c>
      <c r="D154" s="2" t="str">
        <f ca="1">IFERROR(__xludf.DUMMYFUNCTION("""COMPUTED_VALUE"""),"Notebook")</f>
        <v>Notebook</v>
      </c>
      <c r="E154" s="2">
        <f ca="1">IFERROR(__xludf.DUMMYFUNCTION("""COMPUTED_VALUE"""),17.3)</f>
        <v>17.3</v>
      </c>
      <c r="F154" s="2" t="str">
        <f ca="1">IFERROR(__xludf.DUMMYFUNCTION("""COMPUTED_VALUE"""),"1600x900")</f>
        <v>1600x900</v>
      </c>
      <c r="G154" s="2" t="str">
        <f ca="1">IFERROR(__xludf.DUMMYFUNCTION("""COMPUTED_VALUE"""),"Intel Core i3 6006U 2GHz")</f>
        <v>Intel Core i3 6006U 2GHz</v>
      </c>
      <c r="H154" s="2" t="str">
        <f ca="1">IFERROR(__xludf.DUMMYFUNCTION("""COMPUTED_VALUE"""),"8GB")</f>
        <v>8GB</v>
      </c>
      <c r="I154" s="2" t="str">
        <f ca="1">IFERROR(__xludf.DUMMYFUNCTION("""COMPUTED_VALUE"""),"1TB HDD")</f>
        <v>1TB HDD</v>
      </c>
      <c r="J154" s="2" t="str">
        <f ca="1">IFERROR(__xludf.DUMMYFUNCTION("""COMPUTED_VALUE"""),"Intel HD Graphics 520")</f>
        <v>Intel HD Graphics 520</v>
      </c>
      <c r="K154" s="2" t="str">
        <f ca="1">IFERROR(__xludf.DUMMYFUNCTION("""COMPUTED_VALUE"""),"Windows 10")</f>
        <v>Windows 10</v>
      </c>
      <c r="L154" s="2" t="str">
        <f ca="1">IFERROR(__xludf.DUMMYFUNCTION("""COMPUTED_VALUE"""),"2.54kg")</f>
        <v>2.54kg</v>
      </c>
      <c r="M154" s="2">
        <f ca="1">IFERROR(__xludf.DUMMYFUNCTION("""COMPUTED_VALUE"""),489)</f>
        <v>489</v>
      </c>
    </row>
    <row r="155" spans="1:13">
      <c r="A155" s="2">
        <f ca="1">IFERROR(__xludf.DUMMYFUNCTION("""COMPUTED_VALUE"""),298)</f>
        <v>298</v>
      </c>
      <c r="B155" s="2" t="str">
        <f ca="1">IFERROR(__xludf.DUMMYFUNCTION("""COMPUTED_VALUE"""),"Dell")</f>
        <v>Dell</v>
      </c>
      <c r="C155" s="2" t="str">
        <f ca="1">IFERROR(__xludf.DUMMYFUNCTION("""COMPUTED_VALUE"""),"XPS 15")</f>
        <v>XPS 15</v>
      </c>
      <c r="D155" s="2" t="str">
        <f ca="1">IFERROR(__xludf.DUMMYFUNCTION("""COMPUTED_VALUE"""),"Notebook")</f>
        <v>Notebook</v>
      </c>
      <c r="E155" s="2">
        <f ca="1">IFERROR(__xludf.DUMMYFUNCTION("""COMPUTED_VALUE"""),15.6)</f>
        <v>15.6</v>
      </c>
      <c r="F155" s="2" t="str">
        <f ca="1">IFERROR(__xludf.DUMMYFUNCTION("""COMPUTED_VALUE"""),"Full HD 1920x1080")</f>
        <v>Full HD 1920x1080</v>
      </c>
      <c r="G155" s="2" t="str">
        <f ca="1">IFERROR(__xludf.DUMMYFUNCTION("""COMPUTED_VALUE"""),"Intel Core i7 7700HQ 2.8GHz")</f>
        <v>Intel Core i7 7700HQ 2.8GHz</v>
      </c>
      <c r="H155" s="2" t="str">
        <f ca="1">IFERROR(__xludf.DUMMYFUNCTION("""COMPUTED_VALUE"""),"8GB")</f>
        <v>8GB</v>
      </c>
      <c r="I155" s="2" t="str">
        <f ca="1">IFERROR(__xludf.DUMMYFUNCTION("""COMPUTED_VALUE"""),"256GB SSD")</f>
        <v>256GB SSD</v>
      </c>
      <c r="J155" s="2" t="str">
        <f ca="1">IFERROR(__xludf.DUMMYFUNCTION("""COMPUTED_VALUE"""),"Nvidia GeForce GTX 1050")</f>
        <v>Nvidia GeForce GTX 1050</v>
      </c>
      <c r="K155" s="2" t="str">
        <f ca="1">IFERROR(__xludf.DUMMYFUNCTION("""COMPUTED_VALUE"""),"Windows 10")</f>
        <v>Windows 10</v>
      </c>
      <c r="L155" s="2" t="str">
        <f ca="1">IFERROR(__xludf.DUMMYFUNCTION("""COMPUTED_VALUE"""),"2kg")</f>
        <v>2kg</v>
      </c>
      <c r="M155" s="2">
        <f ca="1">IFERROR(__xludf.DUMMYFUNCTION("""COMPUTED_VALUE"""),1829)</f>
        <v>1829</v>
      </c>
    </row>
    <row r="156" spans="1:13">
      <c r="A156" s="2">
        <f ca="1">IFERROR(__xludf.DUMMYFUNCTION("""COMPUTED_VALUE"""),299)</f>
        <v>299</v>
      </c>
      <c r="B156" s="2" t="str">
        <f ca="1">IFERROR(__xludf.DUMMYFUNCTION("""COMPUTED_VALUE"""),"Lenovo")</f>
        <v>Lenovo</v>
      </c>
      <c r="C156" s="2" t="str">
        <f ca="1">IFERROR(__xludf.DUMMYFUNCTION("""COMPUTED_VALUE"""),"V330-15IKB (i5-8250U/8GB/256GB/FHD/W10)")</f>
        <v>V330-15IKB (i5-8250U/8GB/256GB/FHD/W10)</v>
      </c>
      <c r="D156" s="2" t="str">
        <f ca="1">IFERROR(__xludf.DUMMYFUNCTION("""COMPUTED_VALUE"""),"Notebook")</f>
        <v>Notebook</v>
      </c>
      <c r="E156" s="2">
        <f ca="1">IFERROR(__xludf.DUMMYFUNCTION("""COMPUTED_VALUE"""),15.6)</f>
        <v>15.6</v>
      </c>
      <c r="F156" s="2" t="str">
        <f ca="1">IFERROR(__xludf.DUMMYFUNCTION("""COMPUTED_VALUE"""),"Full HD 1920x1080")</f>
        <v>Full HD 1920x1080</v>
      </c>
      <c r="G156" s="2" t="str">
        <f ca="1">IFERROR(__xludf.DUMMYFUNCTION("""COMPUTED_VALUE"""),"Intel Core i5 8250U 1.6GHz")</f>
        <v>Intel Core i5 8250U 1.6GHz</v>
      </c>
      <c r="H156" s="2" t="str">
        <f ca="1">IFERROR(__xludf.DUMMYFUNCTION("""COMPUTED_VALUE"""),"8GB")</f>
        <v>8GB</v>
      </c>
      <c r="I156" s="2" t="str">
        <f ca="1">IFERROR(__xludf.DUMMYFUNCTION("""COMPUTED_VALUE"""),"256GB SSD")</f>
        <v>256GB SSD</v>
      </c>
      <c r="J156" s="2" t="str">
        <f ca="1">IFERROR(__xludf.DUMMYFUNCTION("""COMPUTED_VALUE"""),"Intel UHD Graphics 620")</f>
        <v>Intel UHD Graphics 620</v>
      </c>
      <c r="K156" s="2" t="str">
        <f ca="1">IFERROR(__xludf.DUMMYFUNCTION("""COMPUTED_VALUE"""),"Windows 10")</f>
        <v>Windows 10</v>
      </c>
      <c r="L156" s="2" t="str">
        <f ca="1">IFERROR(__xludf.DUMMYFUNCTION("""COMPUTED_VALUE"""),"2.05kg")</f>
        <v>2.05kg</v>
      </c>
      <c r="M156" s="2">
        <f ca="1">IFERROR(__xludf.DUMMYFUNCTION("""COMPUTED_VALUE"""),739)</f>
        <v>739</v>
      </c>
    </row>
    <row r="157" spans="1:13">
      <c r="A157" s="2">
        <f ca="1">IFERROR(__xludf.DUMMYFUNCTION("""COMPUTED_VALUE"""),300)</f>
        <v>300</v>
      </c>
      <c r="B157" s="2" t="str">
        <f ca="1">IFERROR(__xludf.DUMMYFUNCTION("""COMPUTED_VALUE"""),"Lenovo")</f>
        <v>Lenovo</v>
      </c>
      <c r="C157" s="2" t="str">
        <f ca="1">IFERROR(__xludf.DUMMYFUNCTION("""COMPUTED_VALUE"""),"Legion Y720-15IKB")</f>
        <v>Legion Y720-15IKB</v>
      </c>
      <c r="D157" s="2" t="str">
        <f ca="1">IFERROR(__xludf.DUMMYFUNCTION("""COMPUTED_VALUE"""),"Gaming")</f>
        <v>Gaming</v>
      </c>
      <c r="E157" s="2">
        <f ca="1">IFERROR(__xludf.DUMMYFUNCTION("""COMPUTED_VALUE"""),15.6)</f>
        <v>15.6</v>
      </c>
      <c r="F157" s="2" t="str">
        <f ca="1">IFERROR(__xludf.DUMMYFUNCTION("""COMPUTED_VALUE"""),"IPS Panel Full HD 1920x1080")</f>
        <v>IPS Panel Full HD 1920x1080</v>
      </c>
      <c r="G157" s="2" t="str">
        <f ca="1">IFERROR(__xludf.DUMMYFUNCTION("""COMPUTED_VALUE"""),"Intel Core i7 7700HQ 2.8GHz")</f>
        <v>Intel Core i7 7700HQ 2.8GHz</v>
      </c>
      <c r="H157" s="2" t="str">
        <f ca="1">IFERROR(__xludf.DUMMYFUNCTION("""COMPUTED_VALUE"""),"8GB")</f>
        <v>8GB</v>
      </c>
      <c r="I157" s="2" t="str">
        <f ca="1">IFERROR(__xludf.DUMMYFUNCTION("""COMPUTED_VALUE"""),"1TB HDD")</f>
        <v>1TB HDD</v>
      </c>
      <c r="J157" s="2" t="str">
        <f ca="1">IFERROR(__xludf.DUMMYFUNCTION("""COMPUTED_VALUE"""),"Nvidia GeForce GTX 1060")</f>
        <v>Nvidia GeForce GTX 1060</v>
      </c>
      <c r="K157" s="2" t="str">
        <f ca="1">IFERROR(__xludf.DUMMYFUNCTION("""COMPUTED_VALUE"""),"Windows 10")</f>
        <v>Windows 10</v>
      </c>
      <c r="L157" s="2" t="str">
        <f ca="1">IFERROR(__xludf.DUMMYFUNCTION("""COMPUTED_VALUE"""),"3.2kg")</f>
        <v>3.2kg</v>
      </c>
      <c r="M157" s="2">
        <f ca="1">IFERROR(__xludf.DUMMYFUNCTION("""COMPUTED_VALUE"""),1299)</f>
        <v>1299</v>
      </c>
    </row>
    <row r="158" spans="1:13">
      <c r="A158" s="2">
        <f ca="1">IFERROR(__xludf.DUMMYFUNCTION("""COMPUTED_VALUE"""),301)</f>
        <v>301</v>
      </c>
      <c r="B158" s="2" t="str">
        <f ca="1">IFERROR(__xludf.DUMMYFUNCTION("""COMPUTED_VALUE"""),"Acer")</f>
        <v>Acer</v>
      </c>
      <c r="C158" s="2" t="str">
        <f ca="1">IFERROR(__xludf.DUMMYFUNCTION("""COMPUTED_VALUE"""),"Aspire A715-71G")</f>
        <v>Aspire A715-71G</v>
      </c>
      <c r="D158" s="2" t="str">
        <f ca="1">IFERROR(__xludf.DUMMYFUNCTION("""COMPUTED_VALUE"""),"Notebook")</f>
        <v>Notebook</v>
      </c>
      <c r="E158" s="2">
        <f ca="1">IFERROR(__xludf.DUMMYFUNCTION("""COMPUTED_VALUE"""),15.6)</f>
        <v>15.6</v>
      </c>
      <c r="F158" s="2" t="str">
        <f ca="1">IFERROR(__xludf.DUMMYFUNCTION("""COMPUTED_VALUE"""),"Full HD 1920x1080")</f>
        <v>Full HD 1920x1080</v>
      </c>
      <c r="G158" s="2" t="str">
        <f ca="1">IFERROR(__xludf.DUMMYFUNCTION("""COMPUTED_VALUE"""),"Intel Core i7 7700HQ 2.8GHz")</f>
        <v>Intel Core i7 7700HQ 2.8GHz</v>
      </c>
      <c r="H158" s="2" t="str">
        <f ca="1">IFERROR(__xludf.DUMMYFUNCTION("""COMPUTED_VALUE"""),"8GB")</f>
        <v>8GB</v>
      </c>
      <c r="I158" s="2" t="str">
        <f ca="1">IFERROR(__xludf.DUMMYFUNCTION("""COMPUTED_VALUE"""),"256GB SSD")</f>
        <v>256GB SSD</v>
      </c>
      <c r="J158" s="2" t="str">
        <f ca="1">IFERROR(__xludf.DUMMYFUNCTION("""COMPUTED_VALUE"""),"Nvidia GeForce GTX 1050 Ti")</f>
        <v>Nvidia GeForce GTX 1050 Ti</v>
      </c>
      <c r="K158" s="2" t="str">
        <f ca="1">IFERROR(__xludf.DUMMYFUNCTION("""COMPUTED_VALUE"""),"Linux")</f>
        <v>Linux</v>
      </c>
      <c r="L158" s="2" t="str">
        <f ca="1">IFERROR(__xludf.DUMMYFUNCTION("""COMPUTED_VALUE"""),"2.5kg")</f>
        <v>2.5kg</v>
      </c>
      <c r="M158" s="2">
        <f ca="1">IFERROR(__xludf.DUMMYFUNCTION("""COMPUTED_VALUE"""),979)</f>
        <v>979</v>
      </c>
    </row>
    <row r="159" spans="1:13">
      <c r="A159" s="2">
        <f ca="1">IFERROR(__xludf.DUMMYFUNCTION("""COMPUTED_VALUE"""),308)</f>
        <v>308</v>
      </c>
      <c r="B159" s="2" t="str">
        <f ca="1">IFERROR(__xludf.DUMMYFUNCTION("""COMPUTED_VALUE"""),"Lenovo")</f>
        <v>Lenovo</v>
      </c>
      <c r="C159" s="2" t="str">
        <f ca="1">IFERROR(__xludf.DUMMYFUNCTION("""COMPUTED_VALUE"""),"IdeaPad 320-15IKBN")</f>
        <v>IdeaPad 320-15IKBN</v>
      </c>
      <c r="D159" s="2" t="str">
        <f ca="1">IFERROR(__xludf.DUMMYFUNCTION("""COMPUTED_VALUE"""),"Notebook")</f>
        <v>Notebook</v>
      </c>
      <c r="E159" s="2">
        <f ca="1">IFERROR(__xludf.DUMMYFUNCTION("""COMPUTED_VALUE"""),15.6)</f>
        <v>15.6</v>
      </c>
      <c r="F159" s="2" t="str">
        <f ca="1">IFERROR(__xludf.DUMMYFUNCTION("""COMPUTED_VALUE"""),"1366x768")</f>
        <v>1366x768</v>
      </c>
      <c r="G159" s="2" t="str">
        <f ca="1">IFERROR(__xludf.DUMMYFUNCTION("""COMPUTED_VALUE"""),"Intel Core i5 7200U 2.5GHz")</f>
        <v>Intel Core i5 7200U 2.5GHz</v>
      </c>
      <c r="H159" s="2" t="str">
        <f ca="1">IFERROR(__xludf.DUMMYFUNCTION("""COMPUTED_VALUE"""),"8GB")</f>
        <v>8GB</v>
      </c>
      <c r="I159" s="2" t="str">
        <f ca="1">IFERROR(__xludf.DUMMYFUNCTION("""COMPUTED_VALUE"""),"2TB HDD")</f>
        <v>2TB HDD</v>
      </c>
      <c r="J159" s="2" t="str">
        <f ca="1">IFERROR(__xludf.DUMMYFUNCTION("""COMPUTED_VALUE"""),"Nvidia GeForce 940MX")</f>
        <v>Nvidia GeForce 940MX</v>
      </c>
      <c r="K159" s="2" t="str">
        <f ca="1">IFERROR(__xludf.DUMMYFUNCTION("""COMPUTED_VALUE"""),"No OS")</f>
        <v>No OS</v>
      </c>
      <c r="L159" s="2" t="str">
        <f ca="1">IFERROR(__xludf.DUMMYFUNCTION("""COMPUTED_VALUE"""),"2.2kg")</f>
        <v>2.2kg</v>
      </c>
      <c r="M159" s="2">
        <f ca="1">IFERROR(__xludf.DUMMYFUNCTION("""COMPUTED_VALUE"""),549)</f>
        <v>549</v>
      </c>
    </row>
    <row r="160" spans="1:13">
      <c r="A160" s="2">
        <f ca="1">IFERROR(__xludf.DUMMYFUNCTION("""COMPUTED_VALUE"""),309)</f>
        <v>309</v>
      </c>
      <c r="B160" s="2" t="str">
        <f ca="1">IFERROR(__xludf.DUMMYFUNCTION("""COMPUTED_VALUE"""),"Asus")</f>
        <v>Asus</v>
      </c>
      <c r="C160" s="2" t="str">
        <f ca="1">IFERROR(__xludf.DUMMYFUNCTION("""COMPUTED_VALUE"""),"GL553VE-FY082T (i7-7700HQ/8GB/1TB")</f>
        <v>GL553VE-FY082T (i7-7700HQ/8GB/1TB</v>
      </c>
      <c r="D160" s="2" t="str">
        <f ca="1">IFERROR(__xludf.DUMMYFUNCTION("""COMPUTED_VALUE"""),"Gaming")</f>
        <v>Gaming</v>
      </c>
      <c r="E160" s="2">
        <f ca="1">IFERROR(__xludf.DUMMYFUNCTION("""COMPUTED_VALUE"""),15.6)</f>
        <v>15.6</v>
      </c>
      <c r="F160" s="2" t="str">
        <f ca="1">IFERROR(__xludf.DUMMYFUNCTION("""COMPUTED_VALUE"""),"Full HD 1920x1080")</f>
        <v>Full HD 1920x1080</v>
      </c>
      <c r="G160" s="2" t="str">
        <f ca="1">IFERROR(__xludf.DUMMYFUNCTION("""COMPUTED_VALUE"""),"Intel Core i7 7700HQ 2.8GHz")</f>
        <v>Intel Core i7 7700HQ 2.8GHz</v>
      </c>
      <c r="H160" s="2" t="str">
        <f ca="1">IFERROR(__xludf.DUMMYFUNCTION("""COMPUTED_VALUE"""),"8GB")</f>
        <v>8GB</v>
      </c>
      <c r="I160" s="2" t="str">
        <f ca="1">IFERROR(__xludf.DUMMYFUNCTION("""COMPUTED_VALUE"""),"128GB SSD +  1TB HDD")</f>
        <v>128GB SSD +  1TB HDD</v>
      </c>
      <c r="J160" s="2" t="str">
        <f ca="1">IFERROR(__xludf.DUMMYFUNCTION("""COMPUTED_VALUE"""),"Nvidia GeForce GTX 1050 Ti")</f>
        <v>Nvidia GeForce GTX 1050 Ti</v>
      </c>
      <c r="K160" s="2" t="str">
        <f ca="1">IFERROR(__xludf.DUMMYFUNCTION("""COMPUTED_VALUE"""),"Windows 10")</f>
        <v>Windows 10</v>
      </c>
      <c r="L160" s="2" t="str">
        <f ca="1">IFERROR(__xludf.DUMMYFUNCTION("""COMPUTED_VALUE"""),"2.5kg")</f>
        <v>2.5kg</v>
      </c>
      <c r="M160" s="2">
        <f ca="1">IFERROR(__xludf.DUMMYFUNCTION("""COMPUTED_VALUE"""),1265)</f>
        <v>1265</v>
      </c>
    </row>
    <row r="161" spans="1:13">
      <c r="A161" s="2">
        <f ca="1">IFERROR(__xludf.DUMMYFUNCTION("""COMPUTED_VALUE"""),312)</f>
        <v>312</v>
      </c>
      <c r="B161" s="2" t="str">
        <f ca="1">IFERROR(__xludf.DUMMYFUNCTION("""COMPUTED_VALUE"""),"Toshiba")</f>
        <v>Toshiba</v>
      </c>
      <c r="C161" s="2" t="str">
        <f ca="1">IFERROR(__xludf.DUMMYFUNCTION("""COMPUTED_VALUE"""),"Satellite Pro")</f>
        <v>Satellite Pro</v>
      </c>
      <c r="D161" s="2" t="str">
        <f ca="1">IFERROR(__xludf.DUMMYFUNCTION("""COMPUTED_VALUE"""),"Notebook")</f>
        <v>Notebook</v>
      </c>
      <c r="E161" s="2">
        <f ca="1">IFERROR(__xludf.DUMMYFUNCTION("""COMPUTED_VALUE"""),15.6)</f>
        <v>15.6</v>
      </c>
      <c r="F161" s="2" t="str">
        <f ca="1">IFERROR(__xludf.DUMMYFUNCTION("""COMPUTED_VALUE"""),"IPS Panel Full HD 1920x1080")</f>
        <v>IPS Panel Full HD 1920x1080</v>
      </c>
      <c r="G161" s="2" t="str">
        <f ca="1">IFERROR(__xludf.DUMMYFUNCTION("""COMPUTED_VALUE"""),"Intel Core i7 6500U 2.5GHz")</f>
        <v>Intel Core i7 6500U 2.5GHz</v>
      </c>
      <c r="H161" s="2" t="str">
        <f ca="1">IFERROR(__xludf.DUMMYFUNCTION("""COMPUTED_VALUE"""),"8GB")</f>
        <v>8GB</v>
      </c>
      <c r="I161" s="2" t="str">
        <f ca="1">IFERROR(__xludf.DUMMYFUNCTION("""COMPUTED_VALUE"""),"256GB SSD")</f>
        <v>256GB SSD</v>
      </c>
      <c r="J161" s="2" t="str">
        <f ca="1">IFERROR(__xludf.DUMMYFUNCTION("""COMPUTED_VALUE"""),"Nvidia GeForce 930M")</f>
        <v>Nvidia GeForce 930M</v>
      </c>
      <c r="K161" s="2" t="str">
        <f ca="1">IFERROR(__xludf.DUMMYFUNCTION("""COMPUTED_VALUE"""),"Windows 10")</f>
        <v>Windows 10</v>
      </c>
      <c r="L161" s="2" t="str">
        <f ca="1">IFERROR(__xludf.DUMMYFUNCTION("""COMPUTED_VALUE"""),"2.2kg")</f>
        <v>2.2kg</v>
      </c>
      <c r="M161" s="2">
        <f ca="1">IFERROR(__xludf.DUMMYFUNCTION("""COMPUTED_VALUE"""),1043)</f>
        <v>1043</v>
      </c>
    </row>
    <row r="162" spans="1:13">
      <c r="A162" s="2">
        <f ca="1">IFERROR(__xludf.DUMMYFUNCTION("""COMPUTED_VALUE"""),313)</f>
        <v>313</v>
      </c>
      <c r="B162" s="2" t="str">
        <f ca="1">IFERROR(__xludf.DUMMYFUNCTION("""COMPUTED_VALUE"""),"Lenovo")</f>
        <v>Lenovo</v>
      </c>
      <c r="C162" s="2" t="str">
        <f ca="1">IFERROR(__xludf.DUMMYFUNCTION("""COMPUTED_VALUE"""),"IdeaPad 320-15IKB")</f>
        <v>IdeaPad 320-15IKB</v>
      </c>
      <c r="D162" s="2" t="str">
        <f ca="1">IFERROR(__xludf.DUMMYFUNCTION("""COMPUTED_VALUE"""),"Notebook")</f>
        <v>Notebook</v>
      </c>
      <c r="E162" s="2">
        <f ca="1">IFERROR(__xludf.DUMMYFUNCTION("""COMPUTED_VALUE"""),15.6)</f>
        <v>15.6</v>
      </c>
      <c r="F162" s="2" t="str">
        <f ca="1">IFERROR(__xludf.DUMMYFUNCTION("""COMPUTED_VALUE"""),"Full HD 1920x1080")</f>
        <v>Full HD 1920x1080</v>
      </c>
      <c r="G162" s="2" t="str">
        <f ca="1">IFERROR(__xludf.DUMMYFUNCTION("""COMPUTED_VALUE"""),"Intel Core i5 7200U 2.5GHz")</f>
        <v>Intel Core i5 7200U 2.5GHz</v>
      </c>
      <c r="H162" s="2" t="str">
        <f ca="1">IFERROR(__xludf.DUMMYFUNCTION("""COMPUTED_VALUE"""),"8GB")</f>
        <v>8GB</v>
      </c>
      <c r="I162" s="2" t="str">
        <f ca="1">IFERROR(__xludf.DUMMYFUNCTION("""COMPUTED_VALUE"""),"128GB SSD +  1TB HDD")</f>
        <v>128GB SSD +  1TB HDD</v>
      </c>
      <c r="J162" s="2" t="str">
        <f ca="1">IFERROR(__xludf.DUMMYFUNCTION("""COMPUTED_VALUE"""),"Nvidia GeForce 940MX")</f>
        <v>Nvidia GeForce 940MX</v>
      </c>
      <c r="K162" s="2" t="str">
        <f ca="1">IFERROR(__xludf.DUMMYFUNCTION("""COMPUTED_VALUE"""),"Windows 10")</f>
        <v>Windows 10</v>
      </c>
      <c r="L162" s="2" t="str">
        <f ca="1">IFERROR(__xludf.DUMMYFUNCTION("""COMPUTED_VALUE"""),"2.3kg")</f>
        <v>2.3kg</v>
      </c>
      <c r="M162" s="2">
        <f ca="1">IFERROR(__xludf.DUMMYFUNCTION("""COMPUTED_VALUE"""),819)</f>
        <v>819</v>
      </c>
    </row>
    <row r="163" spans="1:13">
      <c r="A163" s="2">
        <f ca="1">IFERROR(__xludf.DUMMYFUNCTION("""COMPUTED_VALUE"""),315)</f>
        <v>315</v>
      </c>
      <c r="B163" s="2" t="str">
        <f ca="1">IFERROR(__xludf.DUMMYFUNCTION("""COMPUTED_VALUE"""),"Lenovo")</f>
        <v>Lenovo</v>
      </c>
      <c r="C163" s="2" t="str">
        <f ca="1">IFERROR(__xludf.DUMMYFUNCTION("""COMPUTED_VALUE"""),"IdeaPad 720S-13IKB")</f>
        <v>IdeaPad 720S-13IKB</v>
      </c>
      <c r="D163" s="2" t="str">
        <f ca="1">IFERROR(__xludf.DUMMYFUNCTION("""COMPUTED_VALUE"""),"Notebook")</f>
        <v>Notebook</v>
      </c>
      <c r="E163" s="2">
        <f ca="1">IFERROR(__xludf.DUMMYFUNCTION("""COMPUTED_VALUE"""),13.3)</f>
        <v>13.3</v>
      </c>
      <c r="F163" s="2" t="str">
        <f ca="1">IFERROR(__xludf.DUMMYFUNCTION("""COMPUTED_VALUE"""),"IPS Panel Full HD 1920x1080")</f>
        <v>IPS Panel Full HD 1920x1080</v>
      </c>
      <c r="G163" s="2" t="str">
        <f ca="1">IFERROR(__xludf.DUMMYFUNCTION("""COMPUTED_VALUE"""),"Intel Core i5 7200U 2.5GHz")</f>
        <v>Intel Core i5 7200U 2.5GHz</v>
      </c>
      <c r="H163" s="2" t="str">
        <f ca="1">IFERROR(__xludf.DUMMYFUNCTION("""COMPUTED_VALUE"""),"8GB")</f>
        <v>8GB</v>
      </c>
      <c r="I163" s="2" t="str">
        <f ca="1">IFERROR(__xludf.DUMMYFUNCTION("""COMPUTED_VALUE"""),"256GB SSD")</f>
        <v>256GB SSD</v>
      </c>
      <c r="J163" s="2" t="str">
        <f ca="1">IFERROR(__xludf.DUMMYFUNCTION("""COMPUTED_VALUE"""),"Intel HD Graphics 620")</f>
        <v>Intel HD Graphics 620</v>
      </c>
      <c r="K163" s="2" t="str">
        <f ca="1">IFERROR(__xludf.DUMMYFUNCTION("""COMPUTED_VALUE"""),"Windows 10")</f>
        <v>Windows 10</v>
      </c>
      <c r="L163" s="2" t="str">
        <f ca="1">IFERROR(__xludf.DUMMYFUNCTION("""COMPUTED_VALUE"""),"1.1kg")</f>
        <v>1.1kg</v>
      </c>
      <c r="M163" s="2">
        <f ca="1">IFERROR(__xludf.DUMMYFUNCTION("""COMPUTED_VALUE"""),999)</f>
        <v>999</v>
      </c>
    </row>
    <row r="164" spans="1:13">
      <c r="A164" s="2">
        <f ca="1">IFERROR(__xludf.DUMMYFUNCTION("""COMPUTED_VALUE"""),318)</f>
        <v>318</v>
      </c>
      <c r="B164" s="2" t="str">
        <f ca="1">IFERROR(__xludf.DUMMYFUNCTION("""COMPUTED_VALUE"""),"Acer")</f>
        <v>Acer</v>
      </c>
      <c r="C164" s="2" t="str">
        <f ca="1">IFERROR(__xludf.DUMMYFUNCTION("""COMPUTED_VALUE"""),"ES1-523-84K7 (A8-7410/8GB/256GB/FHD/W10)")</f>
        <v>ES1-523-84K7 (A8-7410/8GB/256GB/FHD/W10)</v>
      </c>
      <c r="D164" s="2" t="str">
        <f ca="1">IFERROR(__xludf.DUMMYFUNCTION("""COMPUTED_VALUE"""),"Notebook")</f>
        <v>Notebook</v>
      </c>
      <c r="E164" s="2">
        <f ca="1">IFERROR(__xludf.DUMMYFUNCTION("""COMPUTED_VALUE"""),15.6)</f>
        <v>15.6</v>
      </c>
      <c r="F164" s="2" t="str">
        <f ca="1">IFERROR(__xludf.DUMMYFUNCTION("""COMPUTED_VALUE"""),"Full HD 1920x1080")</f>
        <v>Full HD 1920x1080</v>
      </c>
      <c r="G164" s="2" t="str">
        <f ca="1">IFERROR(__xludf.DUMMYFUNCTION("""COMPUTED_VALUE"""),"AMD A8-Series 7410 2.2GHz")</f>
        <v>AMD A8-Series 7410 2.2GHz</v>
      </c>
      <c r="H164" s="2" t="str">
        <f ca="1">IFERROR(__xludf.DUMMYFUNCTION("""COMPUTED_VALUE"""),"8GB")</f>
        <v>8GB</v>
      </c>
      <c r="I164" s="2" t="str">
        <f ca="1">IFERROR(__xludf.DUMMYFUNCTION("""COMPUTED_VALUE"""),"256GB SSD")</f>
        <v>256GB SSD</v>
      </c>
      <c r="J164" s="2" t="str">
        <f ca="1">IFERROR(__xludf.DUMMYFUNCTION("""COMPUTED_VALUE"""),"AMD Radeon R5")</f>
        <v>AMD Radeon R5</v>
      </c>
      <c r="K164" s="2" t="str">
        <f ca="1">IFERROR(__xludf.DUMMYFUNCTION("""COMPUTED_VALUE"""),"Windows 10")</f>
        <v>Windows 10</v>
      </c>
      <c r="L164" s="2" t="str">
        <f ca="1">IFERROR(__xludf.DUMMYFUNCTION("""COMPUTED_VALUE"""),"2.23kg")</f>
        <v>2.23kg</v>
      </c>
      <c r="M164" s="2">
        <f ca="1">IFERROR(__xludf.DUMMYFUNCTION("""COMPUTED_VALUE"""),469)</f>
        <v>469</v>
      </c>
    </row>
    <row r="165" spans="1:13">
      <c r="A165" s="2">
        <f ca="1">IFERROR(__xludf.DUMMYFUNCTION("""COMPUTED_VALUE"""),320)</f>
        <v>320</v>
      </c>
      <c r="B165" s="2" t="str">
        <f ca="1">IFERROR(__xludf.DUMMYFUNCTION("""COMPUTED_VALUE"""),"Dell")</f>
        <v>Dell</v>
      </c>
      <c r="C165" s="2" t="str">
        <f ca="1">IFERROR(__xludf.DUMMYFUNCTION("""COMPUTED_VALUE"""),"Inspiron 5570")</f>
        <v>Inspiron 5570</v>
      </c>
      <c r="D165" s="2" t="str">
        <f ca="1">IFERROR(__xludf.DUMMYFUNCTION("""COMPUTED_VALUE"""),"Notebook")</f>
        <v>Notebook</v>
      </c>
      <c r="E165" s="2">
        <f ca="1">IFERROR(__xludf.DUMMYFUNCTION("""COMPUTED_VALUE"""),15.6)</f>
        <v>15.6</v>
      </c>
      <c r="F165" s="2" t="str">
        <f ca="1">IFERROR(__xludf.DUMMYFUNCTION("""COMPUTED_VALUE"""),"Full HD 1920x1080")</f>
        <v>Full HD 1920x1080</v>
      </c>
      <c r="G165" s="2" t="str">
        <f ca="1">IFERROR(__xludf.DUMMYFUNCTION("""COMPUTED_VALUE"""),"Intel Core i5 8250U 1.6GHz")</f>
        <v>Intel Core i5 8250U 1.6GHz</v>
      </c>
      <c r="H165" s="2" t="str">
        <f ca="1">IFERROR(__xludf.DUMMYFUNCTION("""COMPUTED_VALUE"""),"8GB")</f>
        <v>8GB</v>
      </c>
      <c r="I165" s="2" t="str">
        <f ca="1">IFERROR(__xludf.DUMMYFUNCTION("""COMPUTED_VALUE"""),"128GB SSD +  1TB HDD")</f>
        <v>128GB SSD +  1TB HDD</v>
      </c>
      <c r="J165" s="2" t="str">
        <f ca="1">IFERROR(__xludf.DUMMYFUNCTION("""COMPUTED_VALUE"""),"AMD Radeon 530")</f>
        <v>AMD Radeon 530</v>
      </c>
      <c r="K165" s="2" t="str">
        <f ca="1">IFERROR(__xludf.DUMMYFUNCTION("""COMPUTED_VALUE"""),"Windows 10")</f>
        <v>Windows 10</v>
      </c>
      <c r="L165" s="2" t="str">
        <f ca="1">IFERROR(__xludf.DUMMYFUNCTION("""COMPUTED_VALUE"""),"2.33kg")</f>
        <v>2.33kg</v>
      </c>
      <c r="M165" s="2">
        <f ca="1">IFERROR(__xludf.DUMMYFUNCTION("""COMPUTED_VALUE"""),844)</f>
        <v>844</v>
      </c>
    </row>
    <row r="166" spans="1:13">
      <c r="A166" s="2">
        <f ca="1">IFERROR(__xludf.DUMMYFUNCTION("""COMPUTED_VALUE"""),323)</f>
        <v>323</v>
      </c>
      <c r="B166" s="2" t="str">
        <f ca="1">IFERROR(__xludf.DUMMYFUNCTION("""COMPUTED_VALUE"""),"HP")</f>
        <v>HP</v>
      </c>
      <c r="C166" s="2" t="str">
        <f ca="1">IFERROR(__xludf.DUMMYFUNCTION("""COMPUTED_VALUE"""),"ProBook 640")</f>
        <v>ProBook 640</v>
      </c>
      <c r="D166" s="2" t="str">
        <f ca="1">IFERROR(__xludf.DUMMYFUNCTION("""COMPUTED_VALUE"""),"Notebook")</f>
        <v>Notebook</v>
      </c>
      <c r="E166" s="2">
        <f ca="1">IFERROR(__xludf.DUMMYFUNCTION("""COMPUTED_VALUE"""),14)</f>
        <v>14</v>
      </c>
      <c r="F166" s="2" t="str">
        <f ca="1">IFERROR(__xludf.DUMMYFUNCTION("""COMPUTED_VALUE"""),"Full HD 1920x1080")</f>
        <v>Full HD 1920x1080</v>
      </c>
      <c r="G166" s="2" t="str">
        <f ca="1">IFERROR(__xludf.DUMMYFUNCTION("""COMPUTED_VALUE"""),"Intel Core i5 7200U 2.5GHz")</f>
        <v>Intel Core i5 7200U 2.5GHz</v>
      </c>
      <c r="H166" s="2" t="str">
        <f ca="1">IFERROR(__xludf.DUMMYFUNCTION("""COMPUTED_VALUE"""),"8GB")</f>
        <v>8GB</v>
      </c>
      <c r="I166" s="2" t="str">
        <f ca="1">IFERROR(__xludf.DUMMYFUNCTION("""COMPUTED_VALUE"""),"256GB SSD")</f>
        <v>256GB SSD</v>
      </c>
      <c r="J166" s="2" t="str">
        <f ca="1">IFERROR(__xludf.DUMMYFUNCTION("""COMPUTED_VALUE"""),"Intel HD Graphics 620")</f>
        <v>Intel HD Graphics 620</v>
      </c>
      <c r="K166" s="2" t="str">
        <f ca="1">IFERROR(__xludf.DUMMYFUNCTION("""COMPUTED_VALUE"""),"Windows 10")</f>
        <v>Windows 10</v>
      </c>
      <c r="L166" s="2" t="str">
        <f ca="1">IFERROR(__xludf.DUMMYFUNCTION("""COMPUTED_VALUE"""),"1.95kg")</f>
        <v>1.95kg</v>
      </c>
      <c r="M166" s="2">
        <f ca="1">IFERROR(__xludf.DUMMYFUNCTION("""COMPUTED_VALUE"""),980)</f>
        <v>980</v>
      </c>
    </row>
    <row r="167" spans="1:13">
      <c r="A167" s="2">
        <f ca="1">IFERROR(__xludf.DUMMYFUNCTION("""COMPUTED_VALUE"""),325)</f>
        <v>325</v>
      </c>
      <c r="B167" s="2" t="str">
        <f ca="1">IFERROR(__xludf.DUMMYFUNCTION("""COMPUTED_VALUE"""),"HP")</f>
        <v>HP</v>
      </c>
      <c r="C167" s="2" t="str">
        <f ca="1">IFERROR(__xludf.DUMMYFUNCTION("""COMPUTED_VALUE"""),"Elitebook 840")</f>
        <v>Elitebook 840</v>
      </c>
      <c r="D167" s="2" t="str">
        <f ca="1">IFERROR(__xludf.DUMMYFUNCTION("""COMPUTED_VALUE"""),"Notebook")</f>
        <v>Notebook</v>
      </c>
      <c r="E167" s="2">
        <f ca="1">IFERROR(__xludf.DUMMYFUNCTION("""COMPUTED_VALUE"""),14)</f>
        <v>14</v>
      </c>
      <c r="F167" s="2" t="str">
        <f ca="1">IFERROR(__xludf.DUMMYFUNCTION("""COMPUTED_VALUE"""),"Full HD 1920x1080")</f>
        <v>Full HD 1920x1080</v>
      </c>
      <c r="G167" s="2" t="str">
        <f ca="1">IFERROR(__xludf.DUMMYFUNCTION("""COMPUTED_VALUE"""),"Intel Core i7 7500U 2.7GHz")</f>
        <v>Intel Core i7 7500U 2.7GHz</v>
      </c>
      <c r="H167" s="2" t="str">
        <f ca="1">IFERROR(__xludf.DUMMYFUNCTION("""COMPUTED_VALUE"""),"8GB")</f>
        <v>8GB</v>
      </c>
      <c r="I167" s="2" t="str">
        <f ca="1">IFERROR(__xludf.DUMMYFUNCTION("""COMPUTED_VALUE"""),"256GB SSD")</f>
        <v>256GB SSD</v>
      </c>
      <c r="J167" s="2" t="str">
        <f ca="1">IFERROR(__xludf.DUMMYFUNCTION("""COMPUTED_VALUE"""),"Intel HD Graphics 620")</f>
        <v>Intel HD Graphics 620</v>
      </c>
      <c r="K167" s="2" t="str">
        <f ca="1">IFERROR(__xludf.DUMMYFUNCTION("""COMPUTED_VALUE"""),"Windows 10")</f>
        <v>Windows 10</v>
      </c>
      <c r="L167" s="2" t="str">
        <f ca="1">IFERROR(__xludf.DUMMYFUNCTION("""COMPUTED_VALUE"""),"1.48kg")</f>
        <v>1.48kg</v>
      </c>
      <c r="M167" s="2">
        <f ca="1">IFERROR(__xludf.DUMMYFUNCTION("""COMPUTED_VALUE"""),1292)</f>
        <v>1292</v>
      </c>
    </row>
    <row r="168" spans="1:13">
      <c r="A168" s="2">
        <f ca="1">IFERROR(__xludf.DUMMYFUNCTION("""COMPUTED_VALUE"""),327)</f>
        <v>327</v>
      </c>
      <c r="B168" s="2" t="str">
        <f ca="1">IFERROR(__xludf.DUMMYFUNCTION("""COMPUTED_VALUE"""),"Asus")</f>
        <v>Asus</v>
      </c>
      <c r="C168" s="2" t="str">
        <f ca="1">IFERROR(__xludf.DUMMYFUNCTION("""COMPUTED_VALUE"""),"ZenBook UX410UA-GV183T")</f>
        <v>ZenBook UX410UA-GV183T</v>
      </c>
      <c r="D168" s="2" t="str">
        <f ca="1">IFERROR(__xludf.DUMMYFUNCTION("""COMPUTED_VALUE"""),"Notebook")</f>
        <v>Notebook</v>
      </c>
      <c r="E168" s="2">
        <f ca="1">IFERROR(__xludf.DUMMYFUNCTION("""COMPUTED_VALUE"""),14)</f>
        <v>14</v>
      </c>
      <c r="F168" s="2" t="str">
        <f ca="1">IFERROR(__xludf.DUMMYFUNCTION("""COMPUTED_VALUE"""),"Full HD 1920x1080")</f>
        <v>Full HD 1920x1080</v>
      </c>
      <c r="G168" s="2" t="str">
        <f ca="1">IFERROR(__xludf.DUMMYFUNCTION("""COMPUTED_VALUE"""),"Intel Core i7 7500U 2.7GHz")</f>
        <v>Intel Core i7 7500U 2.7GHz</v>
      </c>
      <c r="H168" s="2" t="str">
        <f ca="1">IFERROR(__xludf.DUMMYFUNCTION("""COMPUTED_VALUE"""),"8GB")</f>
        <v>8GB</v>
      </c>
      <c r="I168" s="2" t="str">
        <f ca="1">IFERROR(__xludf.DUMMYFUNCTION("""COMPUTED_VALUE"""),"256GB SSD")</f>
        <v>256GB SSD</v>
      </c>
      <c r="J168" s="2" t="str">
        <f ca="1">IFERROR(__xludf.DUMMYFUNCTION("""COMPUTED_VALUE"""),"Intel HD Graphics 620")</f>
        <v>Intel HD Graphics 620</v>
      </c>
      <c r="K168" s="2" t="str">
        <f ca="1">IFERROR(__xludf.DUMMYFUNCTION("""COMPUTED_VALUE"""),"Windows 10")</f>
        <v>Windows 10</v>
      </c>
      <c r="L168" s="2" t="str">
        <f ca="1">IFERROR(__xludf.DUMMYFUNCTION("""COMPUTED_VALUE"""),"2kg")</f>
        <v>2kg</v>
      </c>
      <c r="M168" s="2">
        <f ca="1">IFERROR(__xludf.DUMMYFUNCTION("""COMPUTED_VALUE"""),1094)</f>
        <v>1094</v>
      </c>
    </row>
    <row r="169" spans="1:13">
      <c r="A169" s="2">
        <f ca="1">IFERROR(__xludf.DUMMYFUNCTION("""COMPUTED_VALUE"""),329)</f>
        <v>329</v>
      </c>
      <c r="B169" s="2" t="str">
        <f ca="1">IFERROR(__xludf.DUMMYFUNCTION("""COMPUTED_VALUE"""),"HP")</f>
        <v>HP</v>
      </c>
      <c r="C169" s="2" t="str">
        <f ca="1">IFERROR(__xludf.DUMMYFUNCTION("""COMPUTED_VALUE"""),"ProBook 450")</f>
        <v>ProBook 450</v>
      </c>
      <c r="D169" s="2" t="str">
        <f ca="1">IFERROR(__xludf.DUMMYFUNCTION("""COMPUTED_VALUE"""),"Notebook")</f>
        <v>Notebook</v>
      </c>
      <c r="E169" s="2">
        <f ca="1">IFERROR(__xludf.DUMMYFUNCTION("""COMPUTED_VALUE"""),15.6)</f>
        <v>15.6</v>
      </c>
      <c r="F169" s="2" t="str">
        <f ca="1">IFERROR(__xludf.DUMMYFUNCTION("""COMPUTED_VALUE"""),"IPS Panel Full HD 1366x768")</f>
        <v>IPS Panel Full HD 1366x768</v>
      </c>
      <c r="G169" s="2" t="str">
        <f ca="1">IFERROR(__xludf.DUMMYFUNCTION("""COMPUTED_VALUE"""),"Intel Core i7 8550U 1.8GHz")</f>
        <v>Intel Core i7 8550U 1.8GHz</v>
      </c>
      <c r="H169" s="2" t="str">
        <f ca="1">IFERROR(__xludf.DUMMYFUNCTION("""COMPUTED_VALUE"""),"8GB")</f>
        <v>8GB</v>
      </c>
      <c r="I169" s="2" t="str">
        <f ca="1">IFERROR(__xludf.DUMMYFUNCTION("""COMPUTED_VALUE"""),"1TB HDD")</f>
        <v>1TB HDD</v>
      </c>
      <c r="J169" s="2" t="str">
        <f ca="1">IFERROR(__xludf.DUMMYFUNCTION("""COMPUTED_VALUE"""),"Intel UHD Graphics 620")</f>
        <v>Intel UHD Graphics 620</v>
      </c>
      <c r="K169" s="2" t="str">
        <f ca="1">IFERROR(__xludf.DUMMYFUNCTION("""COMPUTED_VALUE"""),"Windows 10")</f>
        <v>Windows 10</v>
      </c>
      <c r="L169" s="2" t="str">
        <f ca="1">IFERROR(__xludf.DUMMYFUNCTION("""COMPUTED_VALUE"""),"2.1kg")</f>
        <v>2.1kg</v>
      </c>
      <c r="M169" s="2">
        <f ca="1">IFERROR(__xludf.DUMMYFUNCTION("""COMPUTED_VALUE"""),902)</f>
        <v>902</v>
      </c>
    </row>
    <row r="170" spans="1:13">
      <c r="A170" s="2">
        <f ca="1">IFERROR(__xludf.DUMMYFUNCTION("""COMPUTED_VALUE"""),330)</f>
        <v>330</v>
      </c>
      <c r="B170" s="2" t="str">
        <f ca="1">IFERROR(__xludf.DUMMYFUNCTION("""COMPUTED_VALUE"""),"Acer")</f>
        <v>Acer</v>
      </c>
      <c r="C170" s="2" t="str">
        <f ca="1">IFERROR(__xludf.DUMMYFUNCTION("""COMPUTED_VALUE"""),"Aspire 5")</f>
        <v>Aspire 5</v>
      </c>
      <c r="D170" s="2" t="str">
        <f ca="1">IFERROR(__xludf.DUMMYFUNCTION("""COMPUTED_VALUE"""),"Notebook")</f>
        <v>Notebook</v>
      </c>
      <c r="E170" s="2">
        <f ca="1">IFERROR(__xludf.DUMMYFUNCTION("""COMPUTED_VALUE"""),15.6)</f>
        <v>15.6</v>
      </c>
      <c r="F170" s="2" t="str">
        <f ca="1">IFERROR(__xludf.DUMMYFUNCTION("""COMPUTED_VALUE"""),"1366x768")</f>
        <v>1366x768</v>
      </c>
      <c r="G170" s="2" t="str">
        <f ca="1">IFERROR(__xludf.DUMMYFUNCTION("""COMPUTED_VALUE"""),"AMD A12-Series 9720P 2.7GHz")</f>
        <v>AMD A12-Series 9720P 2.7GHz</v>
      </c>
      <c r="H170" s="2" t="str">
        <f ca="1">IFERROR(__xludf.DUMMYFUNCTION("""COMPUTED_VALUE"""),"8GB")</f>
        <v>8GB</v>
      </c>
      <c r="I170" s="2" t="str">
        <f ca="1">IFERROR(__xludf.DUMMYFUNCTION("""COMPUTED_VALUE"""),"256GB SSD")</f>
        <v>256GB SSD</v>
      </c>
      <c r="J170" s="2" t="str">
        <f ca="1">IFERROR(__xludf.DUMMYFUNCTION("""COMPUTED_VALUE"""),"AMD Radeon RX 540")</f>
        <v>AMD Radeon RX 540</v>
      </c>
      <c r="K170" s="2" t="str">
        <f ca="1">IFERROR(__xludf.DUMMYFUNCTION("""COMPUTED_VALUE"""),"Windows 10")</f>
        <v>Windows 10</v>
      </c>
      <c r="L170" s="2" t="str">
        <f ca="1">IFERROR(__xludf.DUMMYFUNCTION("""COMPUTED_VALUE"""),"2.2kg")</f>
        <v>2.2kg</v>
      </c>
      <c r="M170" s="2">
        <f ca="1">IFERROR(__xludf.DUMMYFUNCTION("""COMPUTED_VALUE"""),659)</f>
        <v>659</v>
      </c>
    </row>
    <row r="171" spans="1:13">
      <c r="A171" s="2">
        <f ca="1">IFERROR(__xludf.DUMMYFUNCTION("""COMPUTED_VALUE"""),333)</f>
        <v>333</v>
      </c>
      <c r="B171" s="2" t="str">
        <f ca="1">IFERROR(__xludf.DUMMYFUNCTION("""COMPUTED_VALUE"""),"Asus")</f>
        <v>Asus</v>
      </c>
      <c r="C171" s="2" t="str">
        <f ca="1">IFERROR(__xludf.DUMMYFUNCTION("""COMPUTED_VALUE"""),"VivoBook S15")</f>
        <v>VivoBook S15</v>
      </c>
      <c r="D171" s="2" t="str">
        <f ca="1">IFERROR(__xludf.DUMMYFUNCTION("""COMPUTED_VALUE"""),"Ultrabook")</f>
        <v>Ultrabook</v>
      </c>
      <c r="E171" s="2">
        <f ca="1">IFERROR(__xludf.DUMMYFUNCTION("""COMPUTED_VALUE"""),15.6)</f>
        <v>15.6</v>
      </c>
      <c r="F171" s="2" t="str">
        <f ca="1">IFERROR(__xludf.DUMMYFUNCTION("""COMPUTED_VALUE"""),"Full HD 1920x1080")</f>
        <v>Full HD 1920x1080</v>
      </c>
      <c r="G171" s="2" t="str">
        <f ca="1">IFERROR(__xludf.DUMMYFUNCTION("""COMPUTED_VALUE"""),"Intel Core i7 7500U 2.7GHz")</f>
        <v>Intel Core i7 7500U 2.7GHz</v>
      </c>
      <c r="H171" s="2" t="str">
        <f ca="1">IFERROR(__xludf.DUMMYFUNCTION("""COMPUTED_VALUE"""),"8GB")</f>
        <v>8GB</v>
      </c>
      <c r="I171" s="2" t="str">
        <f ca="1">IFERROR(__xludf.DUMMYFUNCTION("""COMPUTED_VALUE"""),"256GB SSD")</f>
        <v>256GB SSD</v>
      </c>
      <c r="J171" s="2" t="str">
        <f ca="1">IFERROR(__xludf.DUMMYFUNCTION("""COMPUTED_VALUE"""),"Nvidia GeForce 940MX")</f>
        <v>Nvidia GeForce 940MX</v>
      </c>
      <c r="K171" s="2" t="str">
        <f ca="1">IFERROR(__xludf.DUMMYFUNCTION("""COMPUTED_VALUE"""),"Windows 10")</f>
        <v>Windows 10</v>
      </c>
      <c r="L171" s="2" t="str">
        <f ca="1">IFERROR(__xludf.DUMMYFUNCTION("""COMPUTED_VALUE"""),"1.7kg")</f>
        <v>1.7kg</v>
      </c>
      <c r="M171" s="2">
        <f ca="1">IFERROR(__xludf.DUMMYFUNCTION("""COMPUTED_VALUE"""),1049.9)</f>
        <v>1049.9000000000001</v>
      </c>
    </row>
    <row r="172" spans="1:13">
      <c r="A172" s="2">
        <f ca="1">IFERROR(__xludf.DUMMYFUNCTION("""COMPUTED_VALUE"""),334)</f>
        <v>334</v>
      </c>
      <c r="B172" s="2" t="str">
        <f ca="1">IFERROR(__xludf.DUMMYFUNCTION("""COMPUTED_VALUE"""),"HP")</f>
        <v>HP</v>
      </c>
      <c r="C172" s="2" t="str">
        <f ca="1">IFERROR(__xludf.DUMMYFUNCTION("""COMPUTED_VALUE"""),"Elitebook 820")</f>
        <v>Elitebook 820</v>
      </c>
      <c r="D172" s="2" t="str">
        <f ca="1">IFERROR(__xludf.DUMMYFUNCTION("""COMPUTED_VALUE"""),"Ultrabook")</f>
        <v>Ultrabook</v>
      </c>
      <c r="E172" s="2">
        <f ca="1">IFERROR(__xludf.DUMMYFUNCTION("""COMPUTED_VALUE"""),12.5)</f>
        <v>12.5</v>
      </c>
      <c r="F172" s="2" t="str">
        <f ca="1">IFERROR(__xludf.DUMMYFUNCTION("""COMPUTED_VALUE"""),"Full HD 1920x1080")</f>
        <v>Full HD 1920x1080</v>
      </c>
      <c r="G172" s="2" t="str">
        <f ca="1">IFERROR(__xludf.DUMMYFUNCTION("""COMPUTED_VALUE"""),"Intel Core i7 7500U 2.7GHz")</f>
        <v>Intel Core i7 7500U 2.7GHz</v>
      </c>
      <c r="H172" s="2" t="str">
        <f ca="1">IFERROR(__xludf.DUMMYFUNCTION("""COMPUTED_VALUE"""),"8GB")</f>
        <v>8GB</v>
      </c>
      <c r="I172" s="2" t="str">
        <f ca="1">IFERROR(__xludf.DUMMYFUNCTION("""COMPUTED_VALUE"""),"256GB SSD")</f>
        <v>256GB SSD</v>
      </c>
      <c r="J172" s="2" t="str">
        <f ca="1">IFERROR(__xludf.DUMMYFUNCTION("""COMPUTED_VALUE"""),"Intel HD Graphics 620")</f>
        <v>Intel HD Graphics 620</v>
      </c>
      <c r="K172" s="2" t="str">
        <f ca="1">IFERROR(__xludf.DUMMYFUNCTION("""COMPUTED_VALUE"""),"Windows 10")</f>
        <v>Windows 10</v>
      </c>
      <c r="L172" s="2" t="str">
        <f ca="1">IFERROR(__xludf.DUMMYFUNCTION("""COMPUTED_VALUE"""),"1.26kg")</f>
        <v>1.26kg</v>
      </c>
      <c r="M172" s="2">
        <f ca="1">IFERROR(__xludf.DUMMYFUNCTION("""COMPUTED_VALUE"""),1335)</f>
        <v>1335</v>
      </c>
    </row>
    <row r="173" spans="1:13">
      <c r="A173" s="2">
        <f ca="1">IFERROR(__xludf.DUMMYFUNCTION("""COMPUTED_VALUE"""),336)</f>
        <v>336</v>
      </c>
      <c r="B173" s="2" t="str">
        <f ca="1">IFERROR(__xludf.DUMMYFUNCTION("""COMPUTED_VALUE"""),"MSI")</f>
        <v>MSI</v>
      </c>
      <c r="C173" s="2" t="str">
        <f ca="1">IFERROR(__xludf.DUMMYFUNCTION("""COMPUTED_VALUE"""),"GL72M 7REX")</f>
        <v>GL72M 7REX</v>
      </c>
      <c r="D173" s="2" t="str">
        <f ca="1">IFERROR(__xludf.DUMMYFUNCTION("""COMPUTED_VALUE"""),"Gaming")</f>
        <v>Gaming</v>
      </c>
      <c r="E173" s="2">
        <f ca="1">IFERROR(__xludf.DUMMYFUNCTION("""COMPUTED_VALUE"""),17.3)</f>
        <v>17.3</v>
      </c>
      <c r="F173" s="2" t="str">
        <f ca="1">IFERROR(__xludf.DUMMYFUNCTION("""COMPUTED_VALUE"""),"Full HD 1920x1080")</f>
        <v>Full HD 1920x1080</v>
      </c>
      <c r="G173" s="2" t="str">
        <f ca="1">IFERROR(__xludf.DUMMYFUNCTION("""COMPUTED_VALUE"""),"Intel Core i7 7700HQ 2.8GHz")</f>
        <v>Intel Core i7 7700HQ 2.8GHz</v>
      </c>
      <c r="H173" s="2" t="str">
        <f ca="1">IFERROR(__xludf.DUMMYFUNCTION("""COMPUTED_VALUE"""),"8GB")</f>
        <v>8GB</v>
      </c>
      <c r="I173" s="2" t="str">
        <f ca="1">IFERROR(__xludf.DUMMYFUNCTION("""COMPUTED_VALUE"""),"256GB SSD +  1TB HDD")</f>
        <v>256GB SSD +  1TB HDD</v>
      </c>
      <c r="J173" s="2" t="str">
        <f ca="1">IFERROR(__xludf.DUMMYFUNCTION("""COMPUTED_VALUE"""),"Nvidia GeForce GTX 1050 Ti")</f>
        <v>Nvidia GeForce GTX 1050 Ti</v>
      </c>
      <c r="K173" s="2" t="str">
        <f ca="1">IFERROR(__xludf.DUMMYFUNCTION("""COMPUTED_VALUE"""),"Windows 10")</f>
        <v>Windows 10</v>
      </c>
      <c r="L173" s="2" t="str">
        <f ca="1">IFERROR(__xludf.DUMMYFUNCTION("""COMPUTED_VALUE"""),"2.7kg")</f>
        <v>2.7kg</v>
      </c>
      <c r="M173" s="2">
        <f ca="1">IFERROR(__xludf.DUMMYFUNCTION("""COMPUTED_VALUE"""),1199)</f>
        <v>1199</v>
      </c>
    </row>
    <row r="174" spans="1:13">
      <c r="A174" s="2">
        <f ca="1">IFERROR(__xludf.DUMMYFUNCTION("""COMPUTED_VALUE"""),337)</f>
        <v>337</v>
      </c>
      <c r="B174" s="2" t="str">
        <f ca="1">IFERROR(__xludf.DUMMYFUNCTION("""COMPUTED_VALUE"""),"Toshiba")</f>
        <v>Toshiba</v>
      </c>
      <c r="C174" s="2" t="str">
        <f ca="1">IFERROR(__xludf.DUMMYFUNCTION("""COMPUTED_VALUE"""),"Satellite Pro")</f>
        <v>Satellite Pro</v>
      </c>
      <c r="D174" s="2" t="str">
        <f ca="1">IFERROR(__xludf.DUMMYFUNCTION("""COMPUTED_VALUE"""),"Notebook")</f>
        <v>Notebook</v>
      </c>
      <c r="E174" s="2">
        <f ca="1">IFERROR(__xludf.DUMMYFUNCTION("""COMPUTED_VALUE"""),15.6)</f>
        <v>15.6</v>
      </c>
      <c r="F174" s="2" t="str">
        <f ca="1">IFERROR(__xludf.DUMMYFUNCTION("""COMPUTED_VALUE"""),"IPS Panel Full HD 1920x1080")</f>
        <v>IPS Panel Full HD 1920x1080</v>
      </c>
      <c r="G174" s="2" t="str">
        <f ca="1">IFERROR(__xludf.DUMMYFUNCTION("""COMPUTED_VALUE"""),"Intel Core i5 7200U 2.5GHz")</f>
        <v>Intel Core i5 7200U 2.5GHz</v>
      </c>
      <c r="H174" s="2" t="str">
        <f ca="1">IFERROR(__xludf.DUMMYFUNCTION("""COMPUTED_VALUE"""),"8GB")</f>
        <v>8GB</v>
      </c>
      <c r="I174" s="2" t="str">
        <f ca="1">IFERROR(__xludf.DUMMYFUNCTION("""COMPUTED_VALUE"""),"256GB SSD")</f>
        <v>256GB SSD</v>
      </c>
      <c r="J174" s="2" t="str">
        <f ca="1">IFERROR(__xludf.DUMMYFUNCTION("""COMPUTED_VALUE"""),"Intel HD Graphics 620")</f>
        <v>Intel HD Graphics 620</v>
      </c>
      <c r="K174" s="2" t="str">
        <f ca="1">IFERROR(__xludf.DUMMYFUNCTION("""COMPUTED_VALUE"""),"Windows 10")</f>
        <v>Windows 10</v>
      </c>
      <c r="L174" s="2" t="str">
        <f ca="1">IFERROR(__xludf.DUMMYFUNCTION("""COMPUTED_VALUE"""),"2.0kg")</f>
        <v>2.0kg</v>
      </c>
      <c r="M174" s="2">
        <f ca="1">IFERROR(__xludf.DUMMYFUNCTION("""COMPUTED_VALUE"""),943)</f>
        <v>943</v>
      </c>
    </row>
    <row r="175" spans="1:13">
      <c r="A175" s="2">
        <f ca="1">IFERROR(__xludf.DUMMYFUNCTION("""COMPUTED_VALUE"""),338)</f>
        <v>338</v>
      </c>
      <c r="B175" s="2" t="str">
        <f ca="1">IFERROR(__xludf.DUMMYFUNCTION("""COMPUTED_VALUE"""),"Asus")</f>
        <v>Asus</v>
      </c>
      <c r="C175" s="2" t="str">
        <f ca="1">IFERROR(__xludf.DUMMYFUNCTION("""COMPUTED_VALUE"""),"UX510UX-CN269T (i7-7500U/8GB/256GB")</f>
        <v>UX510UX-CN269T (i7-7500U/8GB/256GB</v>
      </c>
      <c r="D175" s="2" t="str">
        <f ca="1">IFERROR(__xludf.DUMMYFUNCTION("""COMPUTED_VALUE"""),"Notebook")</f>
        <v>Notebook</v>
      </c>
      <c r="E175" s="2">
        <f ca="1">IFERROR(__xludf.DUMMYFUNCTION("""COMPUTED_VALUE"""),14)</f>
        <v>14</v>
      </c>
      <c r="F175" s="2" t="str">
        <f ca="1">IFERROR(__xludf.DUMMYFUNCTION("""COMPUTED_VALUE"""),"Full HD 1920x1080")</f>
        <v>Full HD 1920x1080</v>
      </c>
      <c r="G175" s="2" t="str">
        <f ca="1">IFERROR(__xludf.DUMMYFUNCTION("""COMPUTED_VALUE"""),"Intel Core i7 7500U 2.7GHz")</f>
        <v>Intel Core i7 7500U 2.7GHz</v>
      </c>
      <c r="H175" s="2" t="str">
        <f ca="1">IFERROR(__xludf.DUMMYFUNCTION("""COMPUTED_VALUE"""),"8GB")</f>
        <v>8GB</v>
      </c>
      <c r="I175" s="2" t="str">
        <f ca="1">IFERROR(__xludf.DUMMYFUNCTION("""COMPUTED_VALUE"""),"256GB SSD +  1TB HDD")</f>
        <v>256GB SSD +  1TB HDD</v>
      </c>
      <c r="J175" s="2" t="str">
        <f ca="1">IFERROR(__xludf.DUMMYFUNCTION("""COMPUTED_VALUE"""),"Intel HD Graphics 620")</f>
        <v>Intel HD Graphics 620</v>
      </c>
      <c r="K175" s="2" t="str">
        <f ca="1">IFERROR(__xludf.DUMMYFUNCTION("""COMPUTED_VALUE"""),"Windows 10")</f>
        <v>Windows 10</v>
      </c>
      <c r="L175" s="2" t="str">
        <f ca="1">IFERROR(__xludf.DUMMYFUNCTION("""COMPUTED_VALUE"""),"2kg")</f>
        <v>2kg</v>
      </c>
      <c r="M175" s="2">
        <f ca="1">IFERROR(__xludf.DUMMYFUNCTION("""COMPUTED_VALUE"""),1334)</f>
        <v>1334</v>
      </c>
    </row>
    <row r="176" spans="1:13">
      <c r="A176" s="2">
        <f ca="1">IFERROR(__xludf.DUMMYFUNCTION("""COMPUTED_VALUE"""),340)</f>
        <v>340</v>
      </c>
      <c r="B176" s="2" t="str">
        <f ca="1">IFERROR(__xludf.DUMMYFUNCTION("""COMPUTED_VALUE"""),"Asus")</f>
        <v>Asus</v>
      </c>
      <c r="C176" s="2" t="str">
        <f ca="1">IFERROR(__xludf.DUMMYFUNCTION("""COMPUTED_VALUE"""),"FX553VD-FY647T (i7-7700HQ/8GB/256GB/GeForce")</f>
        <v>FX553VD-FY647T (i7-7700HQ/8GB/256GB/GeForce</v>
      </c>
      <c r="D176" s="2" t="str">
        <f ca="1">IFERROR(__xludf.DUMMYFUNCTION("""COMPUTED_VALUE"""),"Gaming")</f>
        <v>Gaming</v>
      </c>
      <c r="E176" s="2">
        <f ca="1">IFERROR(__xludf.DUMMYFUNCTION("""COMPUTED_VALUE"""),15.6)</f>
        <v>15.6</v>
      </c>
      <c r="F176" s="2" t="str">
        <f ca="1">IFERROR(__xludf.DUMMYFUNCTION("""COMPUTED_VALUE"""),"Full HD 1920x1080")</f>
        <v>Full HD 1920x1080</v>
      </c>
      <c r="G176" s="2" t="str">
        <f ca="1">IFERROR(__xludf.DUMMYFUNCTION("""COMPUTED_VALUE"""),"Intel Core i7 7700HQ 2.8GHz")</f>
        <v>Intel Core i7 7700HQ 2.8GHz</v>
      </c>
      <c r="H176" s="2" t="str">
        <f ca="1">IFERROR(__xludf.DUMMYFUNCTION("""COMPUTED_VALUE"""),"8GB")</f>
        <v>8GB</v>
      </c>
      <c r="I176" s="2" t="str">
        <f ca="1">IFERROR(__xludf.DUMMYFUNCTION("""COMPUTED_VALUE"""),"256GB SSD")</f>
        <v>256GB SSD</v>
      </c>
      <c r="J176" s="2" t="str">
        <f ca="1">IFERROR(__xludf.DUMMYFUNCTION("""COMPUTED_VALUE"""),"Nvidia GeForce GTX 1050")</f>
        <v>Nvidia GeForce GTX 1050</v>
      </c>
      <c r="K176" s="2" t="str">
        <f ca="1">IFERROR(__xludf.DUMMYFUNCTION("""COMPUTED_VALUE"""),"Windows 10")</f>
        <v>Windows 10</v>
      </c>
      <c r="L176" s="2" t="str">
        <f ca="1">IFERROR(__xludf.DUMMYFUNCTION("""COMPUTED_VALUE"""),"2.5kg")</f>
        <v>2.5kg</v>
      </c>
      <c r="M176" s="2">
        <f ca="1">IFERROR(__xludf.DUMMYFUNCTION("""COMPUTED_VALUE"""),999)</f>
        <v>999</v>
      </c>
    </row>
    <row r="177" spans="1:13">
      <c r="A177" s="2">
        <f ca="1">IFERROR(__xludf.DUMMYFUNCTION("""COMPUTED_VALUE"""),341)</f>
        <v>341</v>
      </c>
      <c r="B177" s="2" t="str">
        <f ca="1">IFERROR(__xludf.DUMMYFUNCTION("""COMPUTED_VALUE"""),"HP")</f>
        <v>HP</v>
      </c>
      <c r="C177" s="2" t="str">
        <f ca="1">IFERROR(__xludf.DUMMYFUNCTION("""COMPUTED_VALUE"""),"EliteBook 840")</f>
        <v>EliteBook 840</v>
      </c>
      <c r="D177" s="2" t="str">
        <f ca="1">IFERROR(__xludf.DUMMYFUNCTION("""COMPUTED_VALUE"""),"Notebook")</f>
        <v>Notebook</v>
      </c>
      <c r="E177" s="2">
        <f ca="1">IFERROR(__xludf.DUMMYFUNCTION("""COMPUTED_VALUE"""),14)</f>
        <v>14</v>
      </c>
      <c r="F177" s="2" t="str">
        <f ca="1">IFERROR(__xludf.DUMMYFUNCTION("""COMPUTED_VALUE"""),"Full HD 1920x1080")</f>
        <v>Full HD 1920x1080</v>
      </c>
      <c r="G177" s="2" t="str">
        <f ca="1">IFERROR(__xludf.DUMMYFUNCTION("""COMPUTED_VALUE"""),"Intel Core i5 7300U 2.6GHz")</f>
        <v>Intel Core i5 7300U 2.6GHz</v>
      </c>
      <c r="H177" s="2" t="str">
        <f ca="1">IFERROR(__xludf.DUMMYFUNCTION("""COMPUTED_VALUE"""),"8GB")</f>
        <v>8GB</v>
      </c>
      <c r="I177" s="2" t="str">
        <f ca="1">IFERROR(__xludf.DUMMYFUNCTION("""COMPUTED_VALUE"""),"256GB SSD")</f>
        <v>256GB SSD</v>
      </c>
      <c r="J177" s="2" t="str">
        <f ca="1">IFERROR(__xludf.DUMMYFUNCTION("""COMPUTED_VALUE"""),"Intel HD Graphics 620")</f>
        <v>Intel HD Graphics 620</v>
      </c>
      <c r="K177" s="2" t="str">
        <f ca="1">IFERROR(__xludf.DUMMYFUNCTION("""COMPUTED_VALUE"""),"Windows 10")</f>
        <v>Windows 10</v>
      </c>
      <c r="L177" s="2" t="str">
        <f ca="1">IFERROR(__xludf.DUMMYFUNCTION("""COMPUTED_VALUE"""),"1.48kg")</f>
        <v>1.48kg</v>
      </c>
      <c r="M177" s="2">
        <f ca="1">IFERROR(__xludf.DUMMYFUNCTION("""COMPUTED_VALUE"""),1268)</f>
        <v>1268</v>
      </c>
    </row>
    <row r="178" spans="1:13">
      <c r="A178" s="2">
        <f ca="1">IFERROR(__xludf.DUMMYFUNCTION("""COMPUTED_VALUE"""),342)</f>
        <v>342</v>
      </c>
      <c r="B178" s="2" t="str">
        <f ca="1">IFERROR(__xludf.DUMMYFUNCTION("""COMPUTED_VALUE"""),"Dell")</f>
        <v>Dell</v>
      </c>
      <c r="C178" s="2" t="str">
        <f ca="1">IFERROR(__xludf.DUMMYFUNCTION("""COMPUTED_VALUE"""),"Inspiron 7570")</f>
        <v>Inspiron 7570</v>
      </c>
      <c r="D178" s="2" t="str">
        <f ca="1">IFERROR(__xludf.DUMMYFUNCTION("""COMPUTED_VALUE"""),"Ultrabook")</f>
        <v>Ultrabook</v>
      </c>
      <c r="E178" s="2">
        <f ca="1">IFERROR(__xludf.DUMMYFUNCTION("""COMPUTED_VALUE"""),15.6)</f>
        <v>15.6</v>
      </c>
      <c r="F178" s="2" t="str">
        <f ca="1">IFERROR(__xludf.DUMMYFUNCTION("""COMPUTED_VALUE"""),"IPS Panel Full HD 1920x1080")</f>
        <v>IPS Panel Full HD 1920x1080</v>
      </c>
      <c r="G178" s="2" t="str">
        <f ca="1">IFERROR(__xludf.DUMMYFUNCTION("""COMPUTED_VALUE"""),"Intel Core i5 8250U 1.6GHz")</f>
        <v>Intel Core i5 8250U 1.6GHz</v>
      </c>
      <c r="H178" s="2" t="str">
        <f ca="1">IFERROR(__xludf.DUMMYFUNCTION("""COMPUTED_VALUE"""),"8GB")</f>
        <v>8GB</v>
      </c>
      <c r="I178" s="2" t="str">
        <f ca="1">IFERROR(__xludf.DUMMYFUNCTION("""COMPUTED_VALUE"""),"128GB SSD +  1TB HDD")</f>
        <v>128GB SSD +  1TB HDD</v>
      </c>
      <c r="J178" s="2" t="str">
        <f ca="1">IFERROR(__xludf.DUMMYFUNCTION("""COMPUTED_VALUE"""),"Nvidia GeForce 940MX")</f>
        <v>Nvidia GeForce 940MX</v>
      </c>
      <c r="K178" s="2" t="str">
        <f ca="1">IFERROR(__xludf.DUMMYFUNCTION("""COMPUTED_VALUE"""),"Windows 10")</f>
        <v>Windows 10</v>
      </c>
      <c r="L178" s="2" t="str">
        <f ca="1">IFERROR(__xludf.DUMMYFUNCTION("""COMPUTED_VALUE"""),"1.9kg")</f>
        <v>1.9kg</v>
      </c>
      <c r="M178" s="2">
        <f ca="1">IFERROR(__xludf.DUMMYFUNCTION("""COMPUTED_VALUE"""),1049)</f>
        <v>1049</v>
      </c>
    </row>
    <row r="179" spans="1:13">
      <c r="A179" s="2">
        <f ca="1">IFERROR(__xludf.DUMMYFUNCTION("""COMPUTED_VALUE"""),343)</f>
        <v>343</v>
      </c>
      <c r="B179" s="2" t="str">
        <f ca="1">IFERROR(__xludf.DUMMYFUNCTION("""COMPUTED_VALUE"""),"HP")</f>
        <v>HP</v>
      </c>
      <c r="C179" s="2" t="str">
        <f ca="1">IFERROR(__xludf.DUMMYFUNCTION("""COMPUTED_VALUE"""),"Elitebook 850")</f>
        <v>Elitebook 850</v>
      </c>
      <c r="D179" s="2" t="str">
        <f ca="1">IFERROR(__xludf.DUMMYFUNCTION("""COMPUTED_VALUE"""),"Notebook")</f>
        <v>Notebook</v>
      </c>
      <c r="E179" s="2">
        <f ca="1">IFERROR(__xludf.DUMMYFUNCTION("""COMPUTED_VALUE"""),15.6)</f>
        <v>15.6</v>
      </c>
      <c r="F179" s="2" t="str">
        <f ca="1">IFERROR(__xludf.DUMMYFUNCTION("""COMPUTED_VALUE"""),"Full HD 1920x1080")</f>
        <v>Full HD 1920x1080</v>
      </c>
      <c r="G179" s="2" t="str">
        <f ca="1">IFERROR(__xludf.DUMMYFUNCTION("""COMPUTED_VALUE"""),"Intel Core i5 7200U 2.5GHz")</f>
        <v>Intel Core i5 7200U 2.5GHz</v>
      </c>
      <c r="H179" s="2" t="str">
        <f ca="1">IFERROR(__xludf.DUMMYFUNCTION("""COMPUTED_VALUE"""),"8GB")</f>
        <v>8GB</v>
      </c>
      <c r="I179" s="2" t="str">
        <f ca="1">IFERROR(__xludf.DUMMYFUNCTION("""COMPUTED_VALUE"""),"256GB SSD")</f>
        <v>256GB SSD</v>
      </c>
      <c r="J179" s="2" t="str">
        <f ca="1">IFERROR(__xludf.DUMMYFUNCTION("""COMPUTED_VALUE"""),"Intel HD Graphics 620")</f>
        <v>Intel HD Graphics 620</v>
      </c>
      <c r="K179" s="2" t="str">
        <f ca="1">IFERROR(__xludf.DUMMYFUNCTION("""COMPUTED_VALUE"""),"Windows 10")</f>
        <v>Windows 10</v>
      </c>
      <c r="L179" s="2" t="str">
        <f ca="1">IFERROR(__xludf.DUMMYFUNCTION("""COMPUTED_VALUE"""),"1.84kg")</f>
        <v>1.84kg</v>
      </c>
      <c r="M179" s="2">
        <f ca="1">IFERROR(__xludf.DUMMYFUNCTION("""COMPUTED_VALUE"""),1144)</f>
        <v>1144</v>
      </c>
    </row>
    <row r="180" spans="1:13">
      <c r="A180" s="2">
        <f ca="1">IFERROR(__xludf.DUMMYFUNCTION("""COMPUTED_VALUE"""),345)</f>
        <v>345</v>
      </c>
      <c r="B180" s="2" t="str">
        <f ca="1">IFERROR(__xludf.DUMMYFUNCTION("""COMPUTED_VALUE"""),"Dell")</f>
        <v>Dell</v>
      </c>
      <c r="C180" s="2" t="str">
        <f ca="1">IFERROR(__xludf.DUMMYFUNCTION("""COMPUTED_VALUE"""),"Inspiron 7570")</f>
        <v>Inspiron 7570</v>
      </c>
      <c r="D180" s="2" t="str">
        <f ca="1">IFERROR(__xludf.DUMMYFUNCTION("""COMPUTED_VALUE"""),"Notebook")</f>
        <v>Notebook</v>
      </c>
      <c r="E180" s="2">
        <f ca="1">IFERROR(__xludf.DUMMYFUNCTION("""COMPUTED_VALUE"""),15.6)</f>
        <v>15.6</v>
      </c>
      <c r="F180" s="2" t="str">
        <f ca="1">IFERROR(__xludf.DUMMYFUNCTION("""COMPUTED_VALUE"""),"Full HD 1920x1080")</f>
        <v>Full HD 1920x1080</v>
      </c>
      <c r="G180" s="2" t="str">
        <f ca="1">IFERROR(__xludf.DUMMYFUNCTION("""COMPUTED_VALUE"""),"Intel Core i5 8250U 1.6GHz")</f>
        <v>Intel Core i5 8250U 1.6GHz</v>
      </c>
      <c r="H180" s="2" t="str">
        <f ca="1">IFERROR(__xludf.DUMMYFUNCTION("""COMPUTED_VALUE"""),"8GB")</f>
        <v>8GB</v>
      </c>
      <c r="I180" s="2" t="str">
        <f ca="1">IFERROR(__xludf.DUMMYFUNCTION("""COMPUTED_VALUE"""),"256GB SSD")</f>
        <v>256GB SSD</v>
      </c>
      <c r="J180" s="2" t="str">
        <f ca="1">IFERROR(__xludf.DUMMYFUNCTION("""COMPUTED_VALUE"""),"Nvidia GeForce 940MX")</f>
        <v>Nvidia GeForce 940MX</v>
      </c>
      <c r="K180" s="2" t="str">
        <f ca="1">IFERROR(__xludf.DUMMYFUNCTION("""COMPUTED_VALUE"""),"Windows 10")</f>
        <v>Windows 10</v>
      </c>
      <c r="L180" s="2" t="str">
        <f ca="1">IFERROR(__xludf.DUMMYFUNCTION("""COMPUTED_VALUE"""),"2kg")</f>
        <v>2kg</v>
      </c>
      <c r="M180" s="2">
        <f ca="1">IFERROR(__xludf.DUMMYFUNCTION("""COMPUTED_VALUE"""),1142.75)</f>
        <v>1142.75</v>
      </c>
    </row>
    <row r="181" spans="1:13">
      <c r="A181" s="2">
        <f ca="1">IFERROR(__xludf.DUMMYFUNCTION("""COMPUTED_VALUE"""),348)</f>
        <v>348</v>
      </c>
      <c r="B181" s="2" t="str">
        <f ca="1">IFERROR(__xludf.DUMMYFUNCTION("""COMPUTED_VALUE"""),"HP")</f>
        <v>HP</v>
      </c>
      <c r="C181" s="2" t="str">
        <f ca="1">IFERROR(__xludf.DUMMYFUNCTION("""COMPUTED_VALUE"""),"ProBook 450")</f>
        <v>ProBook 450</v>
      </c>
      <c r="D181" s="2" t="str">
        <f ca="1">IFERROR(__xludf.DUMMYFUNCTION("""COMPUTED_VALUE"""),"Notebook")</f>
        <v>Notebook</v>
      </c>
      <c r="E181" s="2">
        <f ca="1">IFERROR(__xludf.DUMMYFUNCTION("""COMPUTED_VALUE"""),15.6)</f>
        <v>15.6</v>
      </c>
      <c r="F181" s="2" t="str">
        <f ca="1">IFERROR(__xludf.DUMMYFUNCTION("""COMPUTED_VALUE"""),"IPS Panel Full HD 1920x1080")</f>
        <v>IPS Panel Full HD 1920x1080</v>
      </c>
      <c r="G181" s="2" t="str">
        <f ca="1">IFERROR(__xludf.DUMMYFUNCTION("""COMPUTED_VALUE"""),"Intel Core i3 7100U 2.4GHz")</f>
        <v>Intel Core i3 7100U 2.4GHz</v>
      </c>
      <c r="H181" s="2" t="str">
        <f ca="1">IFERROR(__xludf.DUMMYFUNCTION("""COMPUTED_VALUE"""),"8GB")</f>
        <v>8GB</v>
      </c>
      <c r="I181" s="2" t="str">
        <f ca="1">IFERROR(__xludf.DUMMYFUNCTION("""COMPUTED_VALUE"""),"1TB HDD")</f>
        <v>1TB HDD</v>
      </c>
      <c r="J181" s="2" t="str">
        <f ca="1">IFERROR(__xludf.DUMMYFUNCTION("""COMPUTED_VALUE"""),"Nvidia GeForce 930MX ")</f>
        <v xml:space="preserve">Nvidia GeForce 930MX </v>
      </c>
      <c r="K181" s="2" t="str">
        <f ca="1">IFERROR(__xludf.DUMMYFUNCTION("""COMPUTED_VALUE"""),"Windows 10")</f>
        <v>Windows 10</v>
      </c>
      <c r="L181" s="2" t="str">
        <f ca="1">IFERROR(__xludf.DUMMYFUNCTION("""COMPUTED_VALUE"""),"2.1kg")</f>
        <v>2.1kg</v>
      </c>
      <c r="M181" s="2">
        <f ca="1">IFERROR(__xludf.DUMMYFUNCTION("""COMPUTED_VALUE"""),716)</f>
        <v>716</v>
      </c>
    </row>
    <row r="182" spans="1:13">
      <c r="A182" s="2">
        <f ca="1">IFERROR(__xludf.DUMMYFUNCTION("""COMPUTED_VALUE"""),350)</f>
        <v>350</v>
      </c>
      <c r="B182" s="2" t="str">
        <f ca="1">IFERROR(__xludf.DUMMYFUNCTION("""COMPUTED_VALUE"""),"Dell")</f>
        <v>Dell</v>
      </c>
      <c r="C182" s="2" t="str">
        <f ca="1">IFERROR(__xludf.DUMMYFUNCTION("""COMPUTED_VALUE"""),"XPS 13")</f>
        <v>XPS 13</v>
      </c>
      <c r="D182" s="2" t="str">
        <f ca="1">IFERROR(__xludf.DUMMYFUNCTION("""COMPUTED_VALUE"""),"Ultrabook")</f>
        <v>Ultrabook</v>
      </c>
      <c r="E182" s="2">
        <f ca="1">IFERROR(__xludf.DUMMYFUNCTION("""COMPUTED_VALUE"""),13.3)</f>
        <v>13.3</v>
      </c>
      <c r="F182" s="2" t="str">
        <f ca="1">IFERROR(__xludf.DUMMYFUNCTION("""COMPUTED_VALUE"""),"Full HD 1920x1080")</f>
        <v>Full HD 1920x1080</v>
      </c>
      <c r="G182" s="2" t="str">
        <f ca="1">IFERROR(__xludf.DUMMYFUNCTION("""COMPUTED_VALUE"""),"Intel Core i7 8550U 1.8GHz")</f>
        <v>Intel Core i7 8550U 1.8GHz</v>
      </c>
      <c r="H182" s="2" t="str">
        <f ca="1">IFERROR(__xludf.DUMMYFUNCTION("""COMPUTED_VALUE"""),"8GB")</f>
        <v>8GB</v>
      </c>
      <c r="I182" s="2" t="str">
        <f ca="1">IFERROR(__xludf.DUMMYFUNCTION("""COMPUTED_VALUE"""),"256GB SSD")</f>
        <v>256GB SSD</v>
      </c>
      <c r="J182" s="2" t="str">
        <f ca="1">IFERROR(__xludf.DUMMYFUNCTION("""COMPUTED_VALUE"""),"Intel UHD Graphics 620")</f>
        <v>Intel UHD Graphics 620</v>
      </c>
      <c r="K182" s="2" t="str">
        <f ca="1">IFERROR(__xludf.DUMMYFUNCTION("""COMPUTED_VALUE"""),"Windows 10")</f>
        <v>Windows 10</v>
      </c>
      <c r="L182" s="2" t="str">
        <f ca="1">IFERROR(__xludf.DUMMYFUNCTION("""COMPUTED_VALUE"""),"1.2kg")</f>
        <v>1.2kg</v>
      </c>
      <c r="M182" s="2">
        <f ca="1">IFERROR(__xludf.DUMMYFUNCTION("""COMPUTED_VALUE"""),1579)</f>
        <v>1579</v>
      </c>
    </row>
    <row r="183" spans="1:13">
      <c r="A183" s="2">
        <f ca="1">IFERROR(__xludf.DUMMYFUNCTION("""COMPUTED_VALUE"""),355)</f>
        <v>355</v>
      </c>
      <c r="B183" s="2" t="str">
        <f ca="1">IFERROR(__xludf.DUMMYFUNCTION("""COMPUTED_VALUE"""),"Dell")</f>
        <v>Dell</v>
      </c>
      <c r="C183" s="2" t="str">
        <f ca="1">IFERROR(__xludf.DUMMYFUNCTION("""COMPUTED_VALUE"""),"Inspiron 5570")</f>
        <v>Inspiron 5570</v>
      </c>
      <c r="D183" s="2" t="str">
        <f ca="1">IFERROR(__xludf.DUMMYFUNCTION("""COMPUTED_VALUE"""),"Ultrabook")</f>
        <v>Ultrabook</v>
      </c>
      <c r="E183" s="2">
        <f ca="1">IFERROR(__xludf.DUMMYFUNCTION("""COMPUTED_VALUE"""),15.6)</f>
        <v>15.6</v>
      </c>
      <c r="F183" s="2" t="str">
        <f ca="1">IFERROR(__xludf.DUMMYFUNCTION("""COMPUTED_VALUE"""),"Full HD 1920x1080")</f>
        <v>Full HD 1920x1080</v>
      </c>
      <c r="G183" s="2" t="str">
        <f ca="1">IFERROR(__xludf.DUMMYFUNCTION("""COMPUTED_VALUE"""),"Intel Core i5 8250U 1.6GHz")</f>
        <v>Intel Core i5 8250U 1.6GHz</v>
      </c>
      <c r="H183" s="2" t="str">
        <f ca="1">IFERROR(__xludf.DUMMYFUNCTION("""COMPUTED_VALUE"""),"8GB")</f>
        <v>8GB</v>
      </c>
      <c r="I183" s="2" t="str">
        <f ca="1">IFERROR(__xludf.DUMMYFUNCTION("""COMPUTED_VALUE"""),"1TB HDD")</f>
        <v>1TB HDD</v>
      </c>
      <c r="J183" s="2" t="str">
        <f ca="1">IFERROR(__xludf.DUMMYFUNCTION("""COMPUTED_VALUE"""),"AMD Radeon 530")</f>
        <v>AMD Radeon 530</v>
      </c>
      <c r="K183" s="2" t="str">
        <f ca="1">IFERROR(__xludf.DUMMYFUNCTION("""COMPUTED_VALUE"""),"Windows 10")</f>
        <v>Windows 10</v>
      </c>
      <c r="L183" s="2" t="str">
        <f ca="1">IFERROR(__xludf.DUMMYFUNCTION("""COMPUTED_VALUE"""),"1.9kg")</f>
        <v>1.9kg</v>
      </c>
      <c r="M183" s="2">
        <f ca="1">IFERROR(__xludf.DUMMYFUNCTION("""COMPUTED_VALUE"""),663)</f>
        <v>663</v>
      </c>
    </row>
    <row r="184" spans="1:13">
      <c r="A184" s="2">
        <f ca="1">IFERROR(__xludf.DUMMYFUNCTION("""COMPUTED_VALUE"""),357)</f>
        <v>357</v>
      </c>
      <c r="B184" s="2" t="str">
        <f ca="1">IFERROR(__xludf.DUMMYFUNCTION("""COMPUTED_VALUE"""),"HP")</f>
        <v>HP</v>
      </c>
      <c r="C184" s="2" t="str">
        <f ca="1">IFERROR(__xludf.DUMMYFUNCTION("""COMPUTED_VALUE"""),"Elitebook 850")</f>
        <v>Elitebook 850</v>
      </c>
      <c r="D184" s="2" t="str">
        <f ca="1">IFERROR(__xludf.DUMMYFUNCTION("""COMPUTED_VALUE"""),"Notebook")</f>
        <v>Notebook</v>
      </c>
      <c r="E184" s="2">
        <f ca="1">IFERROR(__xludf.DUMMYFUNCTION("""COMPUTED_VALUE"""),15.6)</f>
        <v>15.6</v>
      </c>
      <c r="F184" s="2" t="str">
        <f ca="1">IFERROR(__xludf.DUMMYFUNCTION("""COMPUTED_VALUE"""),"Full HD 1920x1080")</f>
        <v>Full HD 1920x1080</v>
      </c>
      <c r="G184" s="2" t="str">
        <f ca="1">IFERROR(__xludf.DUMMYFUNCTION("""COMPUTED_VALUE"""),"Intel Core i7 7500U 2.7GHz")</f>
        <v>Intel Core i7 7500U 2.7GHz</v>
      </c>
      <c r="H184" s="2" t="str">
        <f ca="1">IFERROR(__xludf.DUMMYFUNCTION("""COMPUTED_VALUE"""),"8GB")</f>
        <v>8GB</v>
      </c>
      <c r="I184" s="2" t="str">
        <f ca="1">IFERROR(__xludf.DUMMYFUNCTION("""COMPUTED_VALUE"""),"256GB SSD")</f>
        <v>256GB SSD</v>
      </c>
      <c r="J184" s="2" t="str">
        <f ca="1">IFERROR(__xludf.DUMMYFUNCTION("""COMPUTED_VALUE"""),"Intel HD Graphics 620")</f>
        <v>Intel HD Graphics 620</v>
      </c>
      <c r="K184" s="2" t="str">
        <f ca="1">IFERROR(__xludf.DUMMYFUNCTION("""COMPUTED_VALUE"""),"Windows 10")</f>
        <v>Windows 10</v>
      </c>
      <c r="L184" s="2" t="str">
        <f ca="1">IFERROR(__xludf.DUMMYFUNCTION("""COMPUTED_VALUE"""),"1.84kg")</f>
        <v>1.84kg</v>
      </c>
      <c r="M184" s="2">
        <f ca="1">IFERROR(__xludf.DUMMYFUNCTION("""COMPUTED_VALUE"""),1304)</f>
        <v>1304</v>
      </c>
    </row>
    <row r="185" spans="1:13">
      <c r="A185" s="2">
        <f ca="1">IFERROR(__xludf.DUMMYFUNCTION("""COMPUTED_VALUE"""),358)</f>
        <v>358</v>
      </c>
      <c r="B185" s="2" t="str">
        <f ca="1">IFERROR(__xludf.DUMMYFUNCTION("""COMPUTED_VALUE"""),"MSI")</f>
        <v>MSI</v>
      </c>
      <c r="C185" s="2" t="str">
        <f ca="1">IFERROR(__xludf.DUMMYFUNCTION("""COMPUTED_VALUE"""),"GP72MVR 7RFX")</f>
        <v>GP72MVR 7RFX</v>
      </c>
      <c r="D185" s="2" t="str">
        <f ca="1">IFERROR(__xludf.DUMMYFUNCTION("""COMPUTED_VALUE"""),"Gaming")</f>
        <v>Gaming</v>
      </c>
      <c r="E185" s="2">
        <f ca="1">IFERROR(__xludf.DUMMYFUNCTION("""COMPUTED_VALUE"""),17.3)</f>
        <v>17.3</v>
      </c>
      <c r="F185" s="2" t="str">
        <f ca="1">IFERROR(__xludf.DUMMYFUNCTION("""COMPUTED_VALUE"""),"Full HD 1920x1080")</f>
        <v>Full HD 1920x1080</v>
      </c>
      <c r="G185" s="2" t="str">
        <f ca="1">IFERROR(__xludf.DUMMYFUNCTION("""COMPUTED_VALUE"""),"Intel Core i7 7700HQ 2.8GHz")</f>
        <v>Intel Core i7 7700HQ 2.8GHz</v>
      </c>
      <c r="H185" s="2" t="str">
        <f ca="1">IFERROR(__xludf.DUMMYFUNCTION("""COMPUTED_VALUE"""),"8GB")</f>
        <v>8GB</v>
      </c>
      <c r="I185" s="2" t="str">
        <f ca="1">IFERROR(__xludf.DUMMYFUNCTION("""COMPUTED_VALUE"""),"128GB SSD +  1TB HDD")</f>
        <v>128GB SSD +  1TB HDD</v>
      </c>
      <c r="J185" s="2" t="str">
        <f ca="1">IFERROR(__xludf.DUMMYFUNCTION("""COMPUTED_VALUE"""),"Nvidia GeForce GTX 1060")</f>
        <v>Nvidia GeForce GTX 1060</v>
      </c>
      <c r="K185" s="2" t="str">
        <f ca="1">IFERROR(__xludf.DUMMYFUNCTION("""COMPUTED_VALUE"""),"Windows 10")</f>
        <v>Windows 10</v>
      </c>
      <c r="L185" s="2" t="str">
        <f ca="1">IFERROR(__xludf.DUMMYFUNCTION("""COMPUTED_VALUE"""),"2.7kg")</f>
        <v>2.7kg</v>
      </c>
      <c r="M185" s="2">
        <f ca="1">IFERROR(__xludf.DUMMYFUNCTION("""COMPUTED_VALUE"""),1409)</f>
        <v>1409</v>
      </c>
    </row>
    <row r="186" spans="1:13">
      <c r="A186" s="2">
        <f ca="1">IFERROR(__xludf.DUMMYFUNCTION("""COMPUTED_VALUE"""),359)</f>
        <v>359</v>
      </c>
      <c r="B186" s="2" t="str">
        <f ca="1">IFERROR(__xludf.DUMMYFUNCTION("""COMPUTED_VALUE"""),"HP")</f>
        <v>HP</v>
      </c>
      <c r="C186" s="2" t="str">
        <f ca="1">IFERROR(__xludf.DUMMYFUNCTION("""COMPUTED_VALUE"""),"Zbook 15")</f>
        <v>Zbook 15</v>
      </c>
      <c r="D186" s="2" t="str">
        <f ca="1">IFERROR(__xludf.DUMMYFUNCTION("""COMPUTED_VALUE"""),"Workstation")</f>
        <v>Workstation</v>
      </c>
      <c r="E186" s="2">
        <f ca="1">IFERROR(__xludf.DUMMYFUNCTION("""COMPUTED_VALUE"""),15.6)</f>
        <v>15.6</v>
      </c>
      <c r="F186" s="2" t="str">
        <f ca="1">IFERROR(__xludf.DUMMYFUNCTION("""COMPUTED_VALUE"""),"Full HD 1920x1080")</f>
        <v>Full HD 1920x1080</v>
      </c>
      <c r="G186" s="2" t="str">
        <f ca="1">IFERROR(__xludf.DUMMYFUNCTION("""COMPUTED_VALUE"""),"Intel Core i7 7700HQ 2.8GHz")</f>
        <v>Intel Core i7 7700HQ 2.8GHz</v>
      </c>
      <c r="H186" s="2" t="str">
        <f ca="1">IFERROR(__xludf.DUMMYFUNCTION("""COMPUTED_VALUE"""),"8GB")</f>
        <v>8GB</v>
      </c>
      <c r="I186" s="2" t="str">
        <f ca="1">IFERROR(__xludf.DUMMYFUNCTION("""COMPUTED_VALUE"""),"256GB SSD")</f>
        <v>256GB SSD</v>
      </c>
      <c r="J186" s="2" t="str">
        <f ca="1">IFERROR(__xludf.DUMMYFUNCTION("""COMPUTED_VALUE"""),"Nvidia Quadro M1200")</f>
        <v>Nvidia Quadro M1200</v>
      </c>
      <c r="K186" s="2" t="str">
        <f ca="1">IFERROR(__xludf.DUMMYFUNCTION("""COMPUTED_VALUE"""),"Windows 10")</f>
        <v>Windows 10</v>
      </c>
      <c r="L186" s="2" t="str">
        <f ca="1">IFERROR(__xludf.DUMMYFUNCTION("""COMPUTED_VALUE"""),"2.6kg")</f>
        <v>2.6kg</v>
      </c>
      <c r="M186" s="2">
        <f ca="1">IFERROR(__xludf.DUMMYFUNCTION("""COMPUTED_VALUE"""),1738.27)</f>
        <v>1738.27</v>
      </c>
    </row>
    <row r="187" spans="1:13">
      <c r="A187" s="2">
        <f ca="1">IFERROR(__xludf.DUMMYFUNCTION("""COMPUTED_VALUE"""),361)</f>
        <v>361</v>
      </c>
      <c r="B187" s="2" t="str">
        <f ca="1">IFERROR(__xludf.DUMMYFUNCTION("""COMPUTED_VALUE"""),"Dell")</f>
        <v>Dell</v>
      </c>
      <c r="C187" s="2" t="str">
        <f ca="1">IFERROR(__xludf.DUMMYFUNCTION("""COMPUTED_VALUE"""),"Inspiron 5570")</f>
        <v>Inspiron 5570</v>
      </c>
      <c r="D187" s="2" t="str">
        <f ca="1">IFERROR(__xludf.DUMMYFUNCTION("""COMPUTED_VALUE"""),"Notebook")</f>
        <v>Notebook</v>
      </c>
      <c r="E187" s="2">
        <f ca="1">IFERROR(__xludf.DUMMYFUNCTION("""COMPUTED_VALUE"""),15.6)</f>
        <v>15.6</v>
      </c>
      <c r="F187" s="2" t="str">
        <f ca="1">IFERROR(__xludf.DUMMYFUNCTION("""COMPUTED_VALUE"""),"Full HD 1920x1080")</f>
        <v>Full HD 1920x1080</v>
      </c>
      <c r="G187" s="2" t="str">
        <f ca="1">IFERROR(__xludf.DUMMYFUNCTION("""COMPUTED_VALUE"""),"Intel Core i7 8550U 1.8GHz")</f>
        <v>Intel Core i7 8550U 1.8GHz</v>
      </c>
      <c r="H187" s="2" t="str">
        <f ca="1">IFERROR(__xludf.DUMMYFUNCTION("""COMPUTED_VALUE"""),"8GB")</f>
        <v>8GB</v>
      </c>
      <c r="I187" s="2" t="str">
        <f ca="1">IFERROR(__xludf.DUMMYFUNCTION("""COMPUTED_VALUE"""),"128GB SSD +  2TB HDD")</f>
        <v>128GB SSD +  2TB HDD</v>
      </c>
      <c r="J187" s="2" t="str">
        <f ca="1">IFERROR(__xludf.DUMMYFUNCTION("""COMPUTED_VALUE"""),"AMD Radeon 530")</f>
        <v>AMD Radeon 530</v>
      </c>
      <c r="K187" s="2" t="str">
        <f ca="1">IFERROR(__xludf.DUMMYFUNCTION("""COMPUTED_VALUE"""),"Windows 10")</f>
        <v>Windows 10</v>
      </c>
      <c r="L187" s="2" t="str">
        <f ca="1">IFERROR(__xludf.DUMMYFUNCTION("""COMPUTED_VALUE"""),"2.02kg")</f>
        <v>2.02kg</v>
      </c>
      <c r="M187" s="2">
        <f ca="1">IFERROR(__xludf.DUMMYFUNCTION("""COMPUTED_VALUE"""),970.9)</f>
        <v>970.9</v>
      </c>
    </row>
    <row r="188" spans="1:13">
      <c r="A188" s="2">
        <f ca="1">IFERROR(__xludf.DUMMYFUNCTION("""COMPUTED_VALUE"""),363)</f>
        <v>363</v>
      </c>
      <c r="B188" s="2" t="str">
        <f ca="1">IFERROR(__xludf.DUMMYFUNCTION("""COMPUTED_VALUE"""),"Dell")</f>
        <v>Dell</v>
      </c>
      <c r="C188" s="2" t="str">
        <f ca="1">IFERROR(__xludf.DUMMYFUNCTION("""COMPUTED_VALUE"""),"Inspiron 7577")</f>
        <v>Inspiron 7577</v>
      </c>
      <c r="D188" s="2" t="str">
        <f ca="1">IFERROR(__xludf.DUMMYFUNCTION("""COMPUTED_VALUE"""),"Gaming")</f>
        <v>Gaming</v>
      </c>
      <c r="E188" s="2">
        <f ca="1">IFERROR(__xludf.DUMMYFUNCTION("""COMPUTED_VALUE"""),15.6)</f>
        <v>15.6</v>
      </c>
      <c r="F188" s="2" t="str">
        <f ca="1">IFERROR(__xludf.DUMMYFUNCTION("""COMPUTED_VALUE"""),"Full HD 1920x1080")</f>
        <v>Full HD 1920x1080</v>
      </c>
      <c r="G188" s="2" t="str">
        <f ca="1">IFERROR(__xludf.DUMMYFUNCTION("""COMPUTED_VALUE"""),"Intel Core i5 7300HQ 2.5GHz")</f>
        <v>Intel Core i5 7300HQ 2.5GHz</v>
      </c>
      <c r="H188" s="2" t="str">
        <f ca="1">IFERROR(__xludf.DUMMYFUNCTION("""COMPUTED_VALUE"""),"8GB")</f>
        <v>8GB</v>
      </c>
      <c r="I188" s="2" t="str">
        <f ca="1">IFERROR(__xludf.DUMMYFUNCTION("""COMPUTED_VALUE"""),"1TB HDD")</f>
        <v>1TB HDD</v>
      </c>
      <c r="J188" s="2" t="str">
        <f ca="1">IFERROR(__xludf.DUMMYFUNCTION("""COMPUTED_VALUE"""),"Nvidia GeForce GTX 1050")</f>
        <v>Nvidia GeForce GTX 1050</v>
      </c>
      <c r="K188" s="2" t="str">
        <f ca="1">IFERROR(__xludf.DUMMYFUNCTION("""COMPUTED_VALUE"""),"Windows 10")</f>
        <v>Windows 10</v>
      </c>
      <c r="L188" s="2" t="str">
        <f ca="1">IFERROR(__xludf.DUMMYFUNCTION("""COMPUTED_VALUE"""),"2.65kg")</f>
        <v>2.65kg</v>
      </c>
      <c r="M188" s="2">
        <f ca="1">IFERROR(__xludf.DUMMYFUNCTION("""COMPUTED_VALUE"""),999)</f>
        <v>999</v>
      </c>
    </row>
    <row r="189" spans="1:13">
      <c r="A189" s="2">
        <f ca="1">IFERROR(__xludf.DUMMYFUNCTION("""COMPUTED_VALUE"""),364)</f>
        <v>364</v>
      </c>
      <c r="B189" s="2" t="str">
        <f ca="1">IFERROR(__xludf.DUMMYFUNCTION("""COMPUTED_VALUE"""),"Dell")</f>
        <v>Dell</v>
      </c>
      <c r="C189" s="2" t="str">
        <f ca="1">IFERROR(__xludf.DUMMYFUNCTION("""COMPUTED_VALUE"""),"Inspiron 3567")</f>
        <v>Inspiron 3567</v>
      </c>
      <c r="D189" s="2" t="str">
        <f ca="1">IFERROR(__xludf.DUMMYFUNCTION("""COMPUTED_VALUE"""),"Notebook")</f>
        <v>Notebook</v>
      </c>
      <c r="E189" s="2">
        <f ca="1">IFERROR(__xludf.DUMMYFUNCTION("""COMPUTED_VALUE"""),15.6)</f>
        <v>15.6</v>
      </c>
      <c r="F189" s="2" t="str">
        <f ca="1">IFERROR(__xludf.DUMMYFUNCTION("""COMPUTED_VALUE"""),"Touchscreen 1366x768")</f>
        <v>Touchscreen 1366x768</v>
      </c>
      <c r="G189" s="2" t="str">
        <f ca="1">IFERROR(__xludf.DUMMYFUNCTION("""COMPUTED_VALUE"""),"Intel Core i5 7200U 2.5GHz")</f>
        <v>Intel Core i5 7200U 2.5GHz</v>
      </c>
      <c r="H189" s="2" t="str">
        <f ca="1">IFERROR(__xludf.DUMMYFUNCTION("""COMPUTED_VALUE"""),"8GB")</f>
        <v>8GB</v>
      </c>
      <c r="I189" s="2" t="str">
        <f ca="1">IFERROR(__xludf.DUMMYFUNCTION("""COMPUTED_VALUE"""),"2TB HDD")</f>
        <v>2TB HDD</v>
      </c>
      <c r="J189" s="2" t="str">
        <f ca="1">IFERROR(__xludf.DUMMYFUNCTION("""COMPUTED_VALUE"""),"Intel HD Graphics 620")</f>
        <v>Intel HD Graphics 620</v>
      </c>
      <c r="K189" s="2" t="str">
        <f ca="1">IFERROR(__xludf.DUMMYFUNCTION("""COMPUTED_VALUE"""),"Windows 10")</f>
        <v>Windows 10</v>
      </c>
      <c r="L189" s="2" t="str">
        <f ca="1">IFERROR(__xludf.DUMMYFUNCTION("""COMPUTED_VALUE"""),"2.36kg")</f>
        <v>2.36kg</v>
      </c>
      <c r="M189" s="2">
        <f ca="1">IFERROR(__xludf.DUMMYFUNCTION("""COMPUTED_VALUE"""),557.37)</f>
        <v>557.37</v>
      </c>
    </row>
    <row r="190" spans="1:13">
      <c r="A190" s="2">
        <f ca="1">IFERROR(__xludf.DUMMYFUNCTION("""COMPUTED_VALUE"""),365)</f>
        <v>365</v>
      </c>
      <c r="B190" s="2" t="str">
        <f ca="1">IFERROR(__xludf.DUMMYFUNCTION("""COMPUTED_VALUE"""),"Dell")</f>
        <v>Dell</v>
      </c>
      <c r="C190" s="2" t="str">
        <f ca="1">IFERROR(__xludf.DUMMYFUNCTION("""COMPUTED_VALUE"""),"Latitude 7480")</f>
        <v>Latitude 7480</v>
      </c>
      <c r="D190" s="2" t="str">
        <f ca="1">IFERROR(__xludf.DUMMYFUNCTION("""COMPUTED_VALUE"""),"Notebook")</f>
        <v>Notebook</v>
      </c>
      <c r="E190" s="2">
        <f ca="1">IFERROR(__xludf.DUMMYFUNCTION("""COMPUTED_VALUE"""),14)</f>
        <v>14</v>
      </c>
      <c r="F190" s="2" t="str">
        <f ca="1">IFERROR(__xludf.DUMMYFUNCTION("""COMPUTED_VALUE"""),"Full HD 1920x1080")</f>
        <v>Full HD 1920x1080</v>
      </c>
      <c r="G190" s="2" t="str">
        <f ca="1">IFERROR(__xludf.DUMMYFUNCTION("""COMPUTED_VALUE"""),"Intel Core i5 7300U 2.6GHz")</f>
        <v>Intel Core i5 7300U 2.6GHz</v>
      </c>
      <c r="H190" s="2" t="str">
        <f ca="1">IFERROR(__xludf.DUMMYFUNCTION("""COMPUTED_VALUE"""),"8GB")</f>
        <v>8GB</v>
      </c>
      <c r="I190" s="2" t="str">
        <f ca="1">IFERROR(__xludf.DUMMYFUNCTION("""COMPUTED_VALUE"""),"256GB SSD")</f>
        <v>256GB SSD</v>
      </c>
      <c r="J190" s="2" t="str">
        <f ca="1">IFERROR(__xludf.DUMMYFUNCTION("""COMPUTED_VALUE"""),"Intel HD Graphics 620")</f>
        <v>Intel HD Graphics 620</v>
      </c>
      <c r="K190" s="2" t="str">
        <f ca="1">IFERROR(__xludf.DUMMYFUNCTION("""COMPUTED_VALUE"""),"Windows 10")</f>
        <v>Windows 10</v>
      </c>
      <c r="L190" s="2" t="str">
        <f ca="1">IFERROR(__xludf.DUMMYFUNCTION("""COMPUTED_VALUE"""),"1.36kg")</f>
        <v>1.36kg</v>
      </c>
      <c r="M190" s="2">
        <f ca="1">IFERROR(__xludf.DUMMYFUNCTION("""COMPUTED_VALUE"""),1427)</f>
        <v>1427</v>
      </c>
    </row>
    <row r="191" spans="1:13">
      <c r="A191" s="2">
        <f ca="1">IFERROR(__xludf.DUMMYFUNCTION("""COMPUTED_VALUE"""),367)</f>
        <v>367</v>
      </c>
      <c r="B191" s="2" t="str">
        <f ca="1">IFERROR(__xludf.DUMMYFUNCTION("""COMPUTED_VALUE"""),"Asus")</f>
        <v>Asus</v>
      </c>
      <c r="C191" s="2" t="str">
        <f ca="1">IFERROR(__xludf.DUMMYFUNCTION("""COMPUTED_VALUE"""),"Zenbook UX410UA-GV027T")</f>
        <v>Zenbook UX410UA-GV027T</v>
      </c>
      <c r="D191" s="2" t="str">
        <f ca="1">IFERROR(__xludf.DUMMYFUNCTION("""COMPUTED_VALUE"""),"Notebook")</f>
        <v>Notebook</v>
      </c>
      <c r="E191" s="2">
        <f ca="1">IFERROR(__xludf.DUMMYFUNCTION("""COMPUTED_VALUE"""),14)</f>
        <v>14</v>
      </c>
      <c r="F191" s="2" t="str">
        <f ca="1">IFERROR(__xludf.DUMMYFUNCTION("""COMPUTED_VALUE"""),"Full HD 1920x1080")</f>
        <v>Full HD 1920x1080</v>
      </c>
      <c r="G191" s="2" t="str">
        <f ca="1">IFERROR(__xludf.DUMMYFUNCTION("""COMPUTED_VALUE"""),"Intel Core i5 7200U 2.5GHz")</f>
        <v>Intel Core i5 7200U 2.5GHz</v>
      </c>
      <c r="H191" s="2" t="str">
        <f ca="1">IFERROR(__xludf.DUMMYFUNCTION("""COMPUTED_VALUE"""),"8GB")</f>
        <v>8GB</v>
      </c>
      <c r="I191" s="2" t="str">
        <f ca="1">IFERROR(__xludf.DUMMYFUNCTION("""COMPUTED_VALUE"""),"256GB SSD")</f>
        <v>256GB SSD</v>
      </c>
      <c r="J191" s="2" t="str">
        <f ca="1">IFERROR(__xludf.DUMMYFUNCTION("""COMPUTED_VALUE"""),"Intel HD Graphics 620")</f>
        <v>Intel HD Graphics 620</v>
      </c>
      <c r="K191" s="2" t="str">
        <f ca="1">IFERROR(__xludf.DUMMYFUNCTION("""COMPUTED_VALUE"""),"Windows 10")</f>
        <v>Windows 10</v>
      </c>
      <c r="L191" s="2" t="str">
        <f ca="1">IFERROR(__xludf.DUMMYFUNCTION("""COMPUTED_VALUE"""),"2kg")</f>
        <v>2kg</v>
      </c>
      <c r="M191" s="2">
        <f ca="1">IFERROR(__xludf.DUMMYFUNCTION("""COMPUTED_VALUE"""),945)</f>
        <v>945</v>
      </c>
    </row>
    <row r="192" spans="1:13">
      <c r="A192" s="2">
        <f ca="1">IFERROR(__xludf.DUMMYFUNCTION("""COMPUTED_VALUE"""),369)</f>
        <v>369</v>
      </c>
      <c r="B192" s="2" t="str">
        <f ca="1">IFERROR(__xludf.DUMMYFUNCTION("""COMPUTED_VALUE"""),"HP")</f>
        <v>HP</v>
      </c>
      <c r="C192" s="2" t="str">
        <f ca="1">IFERROR(__xludf.DUMMYFUNCTION("""COMPUTED_VALUE"""),"250 G6")</f>
        <v>250 G6</v>
      </c>
      <c r="D192" s="2" t="str">
        <f ca="1">IFERROR(__xludf.DUMMYFUNCTION("""COMPUTED_VALUE"""),"Notebook")</f>
        <v>Notebook</v>
      </c>
      <c r="E192" s="2">
        <f ca="1">IFERROR(__xludf.DUMMYFUNCTION("""COMPUTED_VALUE"""),15.6)</f>
        <v>15.6</v>
      </c>
      <c r="F192" s="2" t="str">
        <f ca="1">IFERROR(__xludf.DUMMYFUNCTION("""COMPUTED_VALUE"""),"Full HD 1920x1080")</f>
        <v>Full HD 1920x1080</v>
      </c>
      <c r="G192" s="2" t="str">
        <f ca="1">IFERROR(__xludf.DUMMYFUNCTION("""COMPUTED_VALUE"""),"Intel Core i5 7200U 2.5GHz")</f>
        <v>Intel Core i5 7200U 2.5GHz</v>
      </c>
      <c r="H192" s="2" t="str">
        <f ca="1">IFERROR(__xludf.DUMMYFUNCTION("""COMPUTED_VALUE"""),"8GB")</f>
        <v>8GB</v>
      </c>
      <c r="I192" s="2" t="str">
        <f ca="1">IFERROR(__xludf.DUMMYFUNCTION("""COMPUTED_VALUE"""),"1TB HDD")</f>
        <v>1TB HDD</v>
      </c>
      <c r="J192" s="2" t="str">
        <f ca="1">IFERROR(__xludf.DUMMYFUNCTION("""COMPUTED_VALUE"""),"Intel HD Graphics 620")</f>
        <v>Intel HD Graphics 620</v>
      </c>
      <c r="K192" s="2" t="str">
        <f ca="1">IFERROR(__xludf.DUMMYFUNCTION("""COMPUTED_VALUE"""),"Windows 10")</f>
        <v>Windows 10</v>
      </c>
      <c r="L192" s="2" t="str">
        <f ca="1">IFERROR(__xludf.DUMMYFUNCTION("""COMPUTED_VALUE"""),"1.86kg")</f>
        <v>1.86kg</v>
      </c>
      <c r="M192" s="2">
        <f ca="1">IFERROR(__xludf.DUMMYFUNCTION("""COMPUTED_VALUE"""),639)</f>
        <v>639</v>
      </c>
    </row>
    <row r="193" spans="1:13">
      <c r="A193" s="2">
        <f ca="1">IFERROR(__xludf.DUMMYFUNCTION("""COMPUTED_VALUE"""),370)</f>
        <v>370</v>
      </c>
      <c r="B193" s="2" t="str">
        <f ca="1">IFERROR(__xludf.DUMMYFUNCTION("""COMPUTED_VALUE"""),"Lenovo")</f>
        <v>Lenovo</v>
      </c>
      <c r="C193" s="2" t="str">
        <f ca="1">IFERROR(__xludf.DUMMYFUNCTION("""COMPUTED_VALUE"""),"IdeaPad 320-15ISK")</f>
        <v>IdeaPad 320-15ISK</v>
      </c>
      <c r="D193" s="2" t="str">
        <f ca="1">IFERROR(__xludf.DUMMYFUNCTION("""COMPUTED_VALUE"""),"Notebook")</f>
        <v>Notebook</v>
      </c>
      <c r="E193" s="2">
        <f ca="1">IFERROR(__xludf.DUMMYFUNCTION("""COMPUTED_VALUE"""),15.6)</f>
        <v>15.6</v>
      </c>
      <c r="F193" s="2" t="str">
        <f ca="1">IFERROR(__xludf.DUMMYFUNCTION("""COMPUTED_VALUE"""),"1366x768")</f>
        <v>1366x768</v>
      </c>
      <c r="G193" s="2" t="str">
        <f ca="1">IFERROR(__xludf.DUMMYFUNCTION("""COMPUTED_VALUE"""),"Intel Core i3 6006U 2GHz")</f>
        <v>Intel Core i3 6006U 2GHz</v>
      </c>
      <c r="H193" s="2" t="str">
        <f ca="1">IFERROR(__xludf.DUMMYFUNCTION("""COMPUTED_VALUE"""),"8GB")</f>
        <v>8GB</v>
      </c>
      <c r="I193" s="2" t="str">
        <f ca="1">IFERROR(__xludf.DUMMYFUNCTION("""COMPUTED_VALUE"""),"256GB SSD")</f>
        <v>256GB SSD</v>
      </c>
      <c r="J193" s="2" t="str">
        <f ca="1">IFERROR(__xludf.DUMMYFUNCTION("""COMPUTED_VALUE"""),"Nvidia GeForce 920MX ")</f>
        <v xml:space="preserve">Nvidia GeForce 920MX </v>
      </c>
      <c r="K193" s="2" t="str">
        <f ca="1">IFERROR(__xludf.DUMMYFUNCTION("""COMPUTED_VALUE"""),"No OS")</f>
        <v>No OS</v>
      </c>
      <c r="L193" s="2" t="str">
        <f ca="1">IFERROR(__xludf.DUMMYFUNCTION("""COMPUTED_VALUE"""),"2.2kg")</f>
        <v>2.2kg</v>
      </c>
      <c r="M193" s="2">
        <f ca="1">IFERROR(__xludf.DUMMYFUNCTION("""COMPUTED_VALUE"""),499)</f>
        <v>499</v>
      </c>
    </row>
    <row r="194" spans="1:13">
      <c r="A194" s="2">
        <f ca="1">IFERROR(__xludf.DUMMYFUNCTION("""COMPUTED_VALUE"""),371)</f>
        <v>371</v>
      </c>
      <c r="B194" s="2" t="str">
        <f ca="1">IFERROR(__xludf.DUMMYFUNCTION("""COMPUTED_VALUE"""),"HP")</f>
        <v>HP</v>
      </c>
      <c r="C194" s="2" t="str">
        <f ca="1">IFERROR(__xludf.DUMMYFUNCTION("""COMPUTED_VALUE"""),"15-AY023na (N3710/8GB/2TB/W10)")</f>
        <v>15-AY023na (N3710/8GB/2TB/W10)</v>
      </c>
      <c r="D194" s="2" t="str">
        <f ca="1">IFERROR(__xludf.DUMMYFUNCTION("""COMPUTED_VALUE"""),"Notebook")</f>
        <v>Notebook</v>
      </c>
      <c r="E194" s="2">
        <f ca="1">IFERROR(__xludf.DUMMYFUNCTION("""COMPUTED_VALUE"""),15.6)</f>
        <v>15.6</v>
      </c>
      <c r="F194" s="2" t="str">
        <f ca="1">IFERROR(__xludf.DUMMYFUNCTION("""COMPUTED_VALUE"""),"1366x768")</f>
        <v>1366x768</v>
      </c>
      <c r="G194" s="2" t="str">
        <f ca="1">IFERROR(__xludf.DUMMYFUNCTION("""COMPUTED_VALUE"""),"Intel Pentium Quad Core N3710 1.6GHz")</f>
        <v>Intel Pentium Quad Core N3710 1.6GHz</v>
      </c>
      <c r="H194" s="2" t="str">
        <f ca="1">IFERROR(__xludf.DUMMYFUNCTION("""COMPUTED_VALUE"""),"8GB")</f>
        <v>8GB</v>
      </c>
      <c r="I194" s="2" t="str">
        <f ca="1">IFERROR(__xludf.DUMMYFUNCTION("""COMPUTED_VALUE"""),"2TB HDD")</f>
        <v>2TB HDD</v>
      </c>
      <c r="J194" s="2" t="str">
        <f ca="1">IFERROR(__xludf.DUMMYFUNCTION("""COMPUTED_VALUE"""),"Intel HD Graphics 405")</f>
        <v>Intel HD Graphics 405</v>
      </c>
      <c r="K194" s="2" t="str">
        <f ca="1">IFERROR(__xludf.DUMMYFUNCTION("""COMPUTED_VALUE"""),"Windows 10")</f>
        <v>Windows 10</v>
      </c>
      <c r="L194" s="2" t="str">
        <f ca="1">IFERROR(__xludf.DUMMYFUNCTION("""COMPUTED_VALUE"""),"2.04kg")</f>
        <v>2.04kg</v>
      </c>
      <c r="M194" s="2">
        <f ca="1">IFERROR(__xludf.DUMMYFUNCTION("""COMPUTED_VALUE"""),389)</f>
        <v>389</v>
      </c>
    </row>
    <row r="195" spans="1:13">
      <c r="A195" s="2">
        <f ca="1">IFERROR(__xludf.DUMMYFUNCTION("""COMPUTED_VALUE"""),372)</f>
        <v>372</v>
      </c>
      <c r="B195" s="2" t="str">
        <f ca="1">IFERROR(__xludf.DUMMYFUNCTION("""COMPUTED_VALUE"""),"Dell")</f>
        <v>Dell</v>
      </c>
      <c r="C195" s="2" t="str">
        <f ca="1">IFERROR(__xludf.DUMMYFUNCTION("""COMPUTED_VALUE"""),"Inspiron 5770")</f>
        <v>Inspiron 5770</v>
      </c>
      <c r="D195" s="2" t="str">
        <f ca="1">IFERROR(__xludf.DUMMYFUNCTION("""COMPUTED_VALUE"""),"Notebook")</f>
        <v>Notebook</v>
      </c>
      <c r="E195" s="2">
        <f ca="1">IFERROR(__xludf.DUMMYFUNCTION("""COMPUTED_VALUE"""),17.3)</f>
        <v>17.3</v>
      </c>
      <c r="F195" s="2" t="str">
        <f ca="1">IFERROR(__xludf.DUMMYFUNCTION("""COMPUTED_VALUE"""),"Full HD 1920x1080")</f>
        <v>Full HD 1920x1080</v>
      </c>
      <c r="G195" s="2" t="str">
        <f ca="1">IFERROR(__xludf.DUMMYFUNCTION("""COMPUTED_VALUE"""),"Intel Core i5 8250U 1.6GHz")</f>
        <v>Intel Core i5 8250U 1.6GHz</v>
      </c>
      <c r="H195" s="2" t="str">
        <f ca="1">IFERROR(__xludf.DUMMYFUNCTION("""COMPUTED_VALUE"""),"8GB")</f>
        <v>8GB</v>
      </c>
      <c r="I195" s="2" t="str">
        <f ca="1">IFERROR(__xludf.DUMMYFUNCTION("""COMPUTED_VALUE"""),"128GB SSD +  1TB HDD")</f>
        <v>128GB SSD +  1TB HDD</v>
      </c>
      <c r="J195" s="2" t="str">
        <f ca="1">IFERROR(__xludf.DUMMYFUNCTION("""COMPUTED_VALUE"""),"AMD Radeon 530")</f>
        <v>AMD Radeon 530</v>
      </c>
      <c r="K195" s="2" t="str">
        <f ca="1">IFERROR(__xludf.DUMMYFUNCTION("""COMPUTED_VALUE"""),"Windows 10")</f>
        <v>Windows 10</v>
      </c>
      <c r="L195" s="2" t="str">
        <f ca="1">IFERROR(__xludf.DUMMYFUNCTION("""COMPUTED_VALUE"""),"2.8kg")</f>
        <v>2.8kg</v>
      </c>
      <c r="M195" s="2">
        <f ca="1">IFERROR(__xludf.DUMMYFUNCTION("""COMPUTED_VALUE"""),1085)</f>
        <v>1085</v>
      </c>
    </row>
    <row r="196" spans="1:13">
      <c r="A196" s="2">
        <f ca="1">IFERROR(__xludf.DUMMYFUNCTION("""COMPUTED_VALUE"""),373)</f>
        <v>373</v>
      </c>
      <c r="B196" s="2" t="str">
        <f ca="1">IFERROR(__xludf.DUMMYFUNCTION("""COMPUTED_VALUE"""),"Lenovo")</f>
        <v>Lenovo</v>
      </c>
      <c r="C196" s="2" t="str">
        <f ca="1">IFERROR(__xludf.DUMMYFUNCTION("""COMPUTED_VALUE"""),"Legion Y520-15IKBN")</f>
        <v>Legion Y520-15IKBN</v>
      </c>
      <c r="D196" s="2" t="str">
        <f ca="1">IFERROR(__xludf.DUMMYFUNCTION("""COMPUTED_VALUE"""),"Gaming")</f>
        <v>Gaming</v>
      </c>
      <c r="E196" s="2">
        <f ca="1">IFERROR(__xludf.DUMMYFUNCTION("""COMPUTED_VALUE"""),15.6)</f>
        <v>15.6</v>
      </c>
      <c r="F196" s="2" t="str">
        <f ca="1">IFERROR(__xludf.DUMMYFUNCTION("""COMPUTED_VALUE"""),"IPS Panel Full HD 1920x1080")</f>
        <v>IPS Panel Full HD 1920x1080</v>
      </c>
      <c r="G196" s="2" t="str">
        <f ca="1">IFERROR(__xludf.DUMMYFUNCTION("""COMPUTED_VALUE"""),"Intel Core i5 7300HQ 2.5GHz")</f>
        <v>Intel Core i5 7300HQ 2.5GHz</v>
      </c>
      <c r="H196" s="2" t="str">
        <f ca="1">IFERROR(__xludf.DUMMYFUNCTION("""COMPUTED_VALUE"""),"8GB")</f>
        <v>8GB</v>
      </c>
      <c r="I196" s="2" t="str">
        <f ca="1">IFERROR(__xludf.DUMMYFUNCTION("""COMPUTED_VALUE"""),"128GB SSD +  1TB HDD")</f>
        <v>128GB SSD +  1TB HDD</v>
      </c>
      <c r="J196" s="2" t="str">
        <f ca="1">IFERROR(__xludf.DUMMYFUNCTION("""COMPUTED_VALUE"""),"Nvidia GeForce GTX 1050")</f>
        <v>Nvidia GeForce GTX 1050</v>
      </c>
      <c r="K196" s="2" t="str">
        <f ca="1">IFERROR(__xludf.DUMMYFUNCTION("""COMPUTED_VALUE"""),"No OS")</f>
        <v>No OS</v>
      </c>
      <c r="L196" s="2" t="str">
        <f ca="1">IFERROR(__xludf.DUMMYFUNCTION("""COMPUTED_VALUE"""),"2.4kg")</f>
        <v>2.4kg</v>
      </c>
      <c r="M196" s="2">
        <f ca="1">IFERROR(__xludf.DUMMYFUNCTION("""COMPUTED_VALUE"""),809)</f>
        <v>809</v>
      </c>
    </row>
    <row r="197" spans="1:13">
      <c r="A197" s="2">
        <f ca="1">IFERROR(__xludf.DUMMYFUNCTION("""COMPUTED_VALUE"""),374)</f>
        <v>374</v>
      </c>
      <c r="B197" s="2" t="str">
        <f ca="1">IFERROR(__xludf.DUMMYFUNCTION("""COMPUTED_VALUE"""),"Dell")</f>
        <v>Dell</v>
      </c>
      <c r="C197" s="2" t="str">
        <f ca="1">IFERROR(__xludf.DUMMYFUNCTION("""COMPUTED_VALUE"""),"Inspiron 5567")</f>
        <v>Inspiron 5567</v>
      </c>
      <c r="D197" s="2" t="str">
        <f ca="1">IFERROR(__xludf.DUMMYFUNCTION("""COMPUTED_VALUE"""),"Notebook")</f>
        <v>Notebook</v>
      </c>
      <c r="E197" s="2">
        <f ca="1">IFERROR(__xludf.DUMMYFUNCTION("""COMPUTED_VALUE"""),15.6)</f>
        <v>15.6</v>
      </c>
      <c r="F197" s="2" t="str">
        <f ca="1">IFERROR(__xludf.DUMMYFUNCTION("""COMPUTED_VALUE"""),"Full HD 1920x1080")</f>
        <v>Full HD 1920x1080</v>
      </c>
      <c r="G197" s="2" t="str">
        <f ca="1">IFERROR(__xludf.DUMMYFUNCTION("""COMPUTED_VALUE"""),"Intel Core i7 7500U 2.7GHz")</f>
        <v>Intel Core i7 7500U 2.7GHz</v>
      </c>
      <c r="H197" s="2" t="str">
        <f ca="1">IFERROR(__xludf.DUMMYFUNCTION("""COMPUTED_VALUE"""),"8GB")</f>
        <v>8GB</v>
      </c>
      <c r="I197" s="2" t="str">
        <f ca="1">IFERROR(__xludf.DUMMYFUNCTION("""COMPUTED_VALUE"""),"256GB SSD")</f>
        <v>256GB SSD</v>
      </c>
      <c r="J197" s="2" t="str">
        <f ca="1">IFERROR(__xludf.DUMMYFUNCTION("""COMPUTED_VALUE"""),"AMD Radeon R7 M445")</f>
        <v>AMD Radeon R7 M445</v>
      </c>
      <c r="K197" s="2" t="str">
        <f ca="1">IFERROR(__xludf.DUMMYFUNCTION("""COMPUTED_VALUE"""),"Windows 10")</f>
        <v>Windows 10</v>
      </c>
      <c r="L197" s="2" t="str">
        <f ca="1">IFERROR(__xludf.DUMMYFUNCTION("""COMPUTED_VALUE"""),"2.33kg")</f>
        <v>2.33kg</v>
      </c>
      <c r="M197" s="2">
        <f ca="1">IFERROR(__xludf.DUMMYFUNCTION("""COMPUTED_VALUE"""),899)</f>
        <v>899</v>
      </c>
    </row>
    <row r="198" spans="1:13">
      <c r="A198" s="2">
        <f ca="1">IFERROR(__xludf.DUMMYFUNCTION("""COMPUTED_VALUE"""),375)</f>
        <v>375</v>
      </c>
      <c r="B198" s="2" t="str">
        <f ca="1">IFERROR(__xludf.DUMMYFUNCTION("""COMPUTED_VALUE"""),"HP")</f>
        <v>HP</v>
      </c>
      <c r="C198" s="2" t="str">
        <f ca="1">IFERROR(__xludf.DUMMYFUNCTION("""COMPUTED_VALUE"""),"Elitebook 1040")</f>
        <v>Elitebook 1040</v>
      </c>
      <c r="D198" s="2" t="str">
        <f ca="1">IFERROR(__xludf.DUMMYFUNCTION("""COMPUTED_VALUE"""),"Ultrabook")</f>
        <v>Ultrabook</v>
      </c>
      <c r="E198" s="2">
        <f ca="1">IFERROR(__xludf.DUMMYFUNCTION("""COMPUTED_VALUE"""),14)</f>
        <v>14</v>
      </c>
      <c r="F198" s="2" t="str">
        <f ca="1">IFERROR(__xludf.DUMMYFUNCTION("""COMPUTED_VALUE"""),"IPS Panel Full HD 1920x1080")</f>
        <v>IPS Panel Full HD 1920x1080</v>
      </c>
      <c r="G198" s="2" t="str">
        <f ca="1">IFERROR(__xludf.DUMMYFUNCTION("""COMPUTED_VALUE"""),"Intel Core i7 7500U 2.7GHz")</f>
        <v>Intel Core i7 7500U 2.7GHz</v>
      </c>
      <c r="H198" s="2" t="str">
        <f ca="1">IFERROR(__xludf.DUMMYFUNCTION("""COMPUTED_VALUE"""),"8GB")</f>
        <v>8GB</v>
      </c>
      <c r="I198" s="2" t="str">
        <f ca="1">IFERROR(__xludf.DUMMYFUNCTION("""COMPUTED_VALUE"""),"256GB SSD")</f>
        <v>256GB SSD</v>
      </c>
      <c r="J198" s="2" t="str">
        <f ca="1">IFERROR(__xludf.DUMMYFUNCTION("""COMPUTED_VALUE"""),"Intel HD Graphics 620")</f>
        <v>Intel HD Graphics 620</v>
      </c>
      <c r="K198" s="2" t="str">
        <f ca="1">IFERROR(__xludf.DUMMYFUNCTION("""COMPUTED_VALUE"""),"Windows 10")</f>
        <v>Windows 10</v>
      </c>
      <c r="L198" s="2" t="str">
        <f ca="1">IFERROR(__xludf.DUMMYFUNCTION("""COMPUTED_VALUE"""),"1.36kg")</f>
        <v>1.36kg</v>
      </c>
      <c r="M198" s="2">
        <f ca="1">IFERROR(__xludf.DUMMYFUNCTION("""COMPUTED_VALUE"""),1750)</f>
        <v>1750</v>
      </c>
    </row>
    <row r="199" spans="1:13">
      <c r="A199" s="2">
        <f ca="1">IFERROR(__xludf.DUMMYFUNCTION("""COMPUTED_VALUE"""),380)</f>
        <v>380</v>
      </c>
      <c r="B199" s="2" t="str">
        <f ca="1">IFERROR(__xludf.DUMMYFUNCTION("""COMPUTED_VALUE"""),"Dell")</f>
        <v>Dell</v>
      </c>
      <c r="C199" s="2" t="str">
        <f ca="1">IFERROR(__xludf.DUMMYFUNCTION("""COMPUTED_VALUE"""),"Inspiron 5379")</f>
        <v>Inspiron 5379</v>
      </c>
      <c r="D199" s="2" t="str">
        <f ca="1">IFERROR(__xludf.DUMMYFUNCTION("""COMPUTED_VALUE"""),"2 in 1 Convertible")</f>
        <v>2 in 1 Convertible</v>
      </c>
      <c r="E199" s="2">
        <f ca="1">IFERROR(__xludf.DUMMYFUNCTION("""COMPUTED_VALUE"""),13.3)</f>
        <v>13.3</v>
      </c>
      <c r="F199" s="2" t="str">
        <f ca="1">IFERROR(__xludf.DUMMYFUNCTION("""COMPUTED_VALUE"""),"Full HD / Touchscreen 1920x1080")</f>
        <v>Full HD / Touchscreen 1920x1080</v>
      </c>
      <c r="G199" s="2" t="str">
        <f ca="1">IFERROR(__xludf.DUMMYFUNCTION("""COMPUTED_VALUE"""),"Intel Core i7 8550U 1.8GHz")</f>
        <v>Intel Core i7 8550U 1.8GHz</v>
      </c>
      <c r="H199" s="2" t="str">
        <f ca="1">IFERROR(__xludf.DUMMYFUNCTION("""COMPUTED_VALUE"""),"8GB")</f>
        <v>8GB</v>
      </c>
      <c r="I199" s="2" t="str">
        <f ca="1">IFERROR(__xludf.DUMMYFUNCTION("""COMPUTED_VALUE"""),"256GB SSD")</f>
        <v>256GB SSD</v>
      </c>
      <c r="J199" s="2" t="str">
        <f ca="1">IFERROR(__xludf.DUMMYFUNCTION("""COMPUTED_VALUE"""),"Intel UHD Graphics 620")</f>
        <v>Intel UHD Graphics 620</v>
      </c>
      <c r="K199" s="2" t="str">
        <f ca="1">IFERROR(__xludf.DUMMYFUNCTION("""COMPUTED_VALUE"""),"Windows 10")</f>
        <v>Windows 10</v>
      </c>
      <c r="L199" s="2" t="str">
        <f ca="1">IFERROR(__xludf.DUMMYFUNCTION("""COMPUTED_VALUE"""),"1.62kg")</f>
        <v>1.62kg</v>
      </c>
      <c r="M199" s="2">
        <f ca="1">IFERROR(__xludf.DUMMYFUNCTION("""COMPUTED_VALUE"""),869.01)</f>
        <v>869.01</v>
      </c>
    </row>
    <row r="200" spans="1:13">
      <c r="A200" s="2">
        <f ca="1">IFERROR(__xludf.DUMMYFUNCTION("""COMPUTED_VALUE"""),385)</f>
        <v>385</v>
      </c>
      <c r="B200" s="2" t="str">
        <f ca="1">IFERROR(__xludf.DUMMYFUNCTION("""COMPUTED_VALUE"""),"Acer")</f>
        <v>Acer</v>
      </c>
      <c r="C200" s="2" t="str">
        <f ca="1">IFERROR(__xludf.DUMMYFUNCTION("""COMPUTED_VALUE"""),"Aspire 7")</f>
        <v>Aspire 7</v>
      </c>
      <c r="D200" s="2" t="str">
        <f ca="1">IFERROR(__xludf.DUMMYFUNCTION("""COMPUTED_VALUE"""),"Notebook")</f>
        <v>Notebook</v>
      </c>
      <c r="E200" s="2">
        <f ca="1">IFERROR(__xludf.DUMMYFUNCTION("""COMPUTED_VALUE"""),15.6)</f>
        <v>15.6</v>
      </c>
      <c r="F200" s="2" t="str">
        <f ca="1">IFERROR(__xludf.DUMMYFUNCTION("""COMPUTED_VALUE"""),"Full HD 1920x1080")</f>
        <v>Full HD 1920x1080</v>
      </c>
      <c r="G200" s="2" t="str">
        <f ca="1">IFERROR(__xludf.DUMMYFUNCTION("""COMPUTED_VALUE"""),"Intel Core i7 7700HQ 2.8GHz")</f>
        <v>Intel Core i7 7700HQ 2.8GHz</v>
      </c>
      <c r="H200" s="2" t="str">
        <f ca="1">IFERROR(__xludf.DUMMYFUNCTION("""COMPUTED_VALUE"""),"8GB")</f>
        <v>8GB</v>
      </c>
      <c r="I200" s="2" t="str">
        <f ca="1">IFERROR(__xludf.DUMMYFUNCTION("""COMPUTED_VALUE"""),"1TB HDD")</f>
        <v>1TB HDD</v>
      </c>
      <c r="J200" s="2" t="str">
        <f ca="1">IFERROR(__xludf.DUMMYFUNCTION("""COMPUTED_VALUE"""),"Nvidia GeForce GTX 1050")</f>
        <v>Nvidia GeForce GTX 1050</v>
      </c>
      <c r="K200" s="2" t="str">
        <f ca="1">IFERROR(__xludf.DUMMYFUNCTION("""COMPUTED_VALUE"""),"Linux")</f>
        <v>Linux</v>
      </c>
      <c r="L200" s="2" t="str">
        <f ca="1">IFERROR(__xludf.DUMMYFUNCTION("""COMPUTED_VALUE"""),"2.4kg")</f>
        <v>2.4kg</v>
      </c>
      <c r="M200" s="2">
        <f ca="1">IFERROR(__xludf.DUMMYFUNCTION("""COMPUTED_VALUE"""),846)</f>
        <v>846</v>
      </c>
    </row>
    <row r="201" spans="1:13">
      <c r="A201" s="2">
        <f ca="1">IFERROR(__xludf.DUMMYFUNCTION("""COMPUTED_VALUE"""),386)</f>
        <v>386</v>
      </c>
      <c r="B201" s="2" t="str">
        <f ca="1">IFERROR(__xludf.DUMMYFUNCTION("""COMPUTED_VALUE"""),"HP")</f>
        <v>HP</v>
      </c>
      <c r="C201" s="2" t="str">
        <f ca="1">IFERROR(__xludf.DUMMYFUNCTION("""COMPUTED_VALUE"""),"Omen 17-w212nv")</f>
        <v>Omen 17-w212nv</v>
      </c>
      <c r="D201" s="2" t="str">
        <f ca="1">IFERROR(__xludf.DUMMYFUNCTION("""COMPUTED_VALUE"""),"Gaming")</f>
        <v>Gaming</v>
      </c>
      <c r="E201" s="2">
        <f ca="1">IFERROR(__xludf.DUMMYFUNCTION("""COMPUTED_VALUE"""),17.3)</f>
        <v>17.3</v>
      </c>
      <c r="F201" s="2" t="str">
        <f ca="1">IFERROR(__xludf.DUMMYFUNCTION("""COMPUTED_VALUE"""),"IPS Panel Full HD 1920x1080")</f>
        <v>IPS Panel Full HD 1920x1080</v>
      </c>
      <c r="G201" s="2" t="str">
        <f ca="1">IFERROR(__xludf.DUMMYFUNCTION("""COMPUTED_VALUE"""),"Intel Core i7 7700HQ 2.8GHz")</f>
        <v>Intel Core i7 7700HQ 2.8GHz</v>
      </c>
      <c r="H201" s="2" t="str">
        <f ca="1">IFERROR(__xludf.DUMMYFUNCTION("""COMPUTED_VALUE"""),"8GB")</f>
        <v>8GB</v>
      </c>
      <c r="I201" s="2" t="str">
        <f ca="1">IFERROR(__xludf.DUMMYFUNCTION("""COMPUTED_VALUE"""),"128GB SSD +  1TB HDD")</f>
        <v>128GB SSD +  1TB HDD</v>
      </c>
      <c r="J201" s="2" t="str">
        <f ca="1">IFERROR(__xludf.DUMMYFUNCTION("""COMPUTED_VALUE"""),"Nvidia GeForce GTX 1050")</f>
        <v>Nvidia GeForce GTX 1050</v>
      </c>
      <c r="K201" s="2" t="str">
        <f ca="1">IFERROR(__xludf.DUMMYFUNCTION("""COMPUTED_VALUE"""),"Windows 10")</f>
        <v>Windows 10</v>
      </c>
      <c r="L201" s="2" t="str">
        <f ca="1">IFERROR(__xludf.DUMMYFUNCTION("""COMPUTED_VALUE"""),"3.35kg")</f>
        <v>3.35kg</v>
      </c>
      <c r="M201" s="2">
        <f ca="1">IFERROR(__xludf.DUMMYFUNCTION("""COMPUTED_VALUE"""),1191)</f>
        <v>1191</v>
      </c>
    </row>
    <row r="202" spans="1:13">
      <c r="A202" s="2">
        <f ca="1">IFERROR(__xludf.DUMMYFUNCTION("""COMPUTED_VALUE"""),388)</f>
        <v>388</v>
      </c>
      <c r="B202" s="2" t="str">
        <f ca="1">IFERROR(__xludf.DUMMYFUNCTION("""COMPUTED_VALUE"""),"Asus")</f>
        <v>Asus</v>
      </c>
      <c r="C202" s="2" t="str">
        <f ca="1">IFERROR(__xludf.DUMMYFUNCTION("""COMPUTED_VALUE"""),"ROG Strix")</f>
        <v>ROG Strix</v>
      </c>
      <c r="D202" s="2" t="str">
        <f ca="1">IFERROR(__xludf.DUMMYFUNCTION("""COMPUTED_VALUE"""),"Gaming")</f>
        <v>Gaming</v>
      </c>
      <c r="E202" s="2">
        <f ca="1">IFERROR(__xludf.DUMMYFUNCTION("""COMPUTED_VALUE"""),15.6)</f>
        <v>15.6</v>
      </c>
      <c r="F202" s="2" t="str">
        <f ca="1">IFERROR(__xludf.DUMMYFUNCTION("""COMPUTED_VALUE"""),"IPS Panel Full HD 1920x1080")</f>
        <v>IPS Panel Full HD 1920x1080</v>
      </c>
      <c r="G202" s="2" t="str">
        <f ca="1">IFERROR(__xludf.DUMMYFUNCTION("""COMPUTED_VALUE"""),"Intel Core i7 7700HQ 2.8GHz")</f>
        <v>Intel Core i7 7700HQ 2.8GHz</v>
      </c>
      <c r="H202" s="2" t="str">
        <f ca="1">IFERROR(__xludf.DUMMYFUNCTION("""COMPUTED_VALUE"""),"8GB")</f>
        <v>8GB</v>
      </c>
      <c r="I202" s="2" t="str">
        <f ca="1">IFERROR(__xludf.DUMMYFUNCTION("""COMPUTED_VALUE"""),"128GB SSD +  1TB HDD")</f>
        <v>128GB SSD +  1TB HDD</v>
      </c>
      <c r="J202" s="2" t="str">
        <f ca="1">IFERROR(__xludf.DUMMYFUNCTION("""COMPUTED_VALUE"""),"Nvidia GeForce GTX 1060")</f>
        <v>Nvidia GeForce GTX 1060</v>
      </c>
      <c r="K202" s="2" t="str">
        <f ca="1">IFERROR(__xludf.DUMMYFUNCTION("""COMPUTED_VALUE"""),"Windows 10")</f>
        <v>Windows 10</v>
      </c>
      <c r="L202" s="2" t="str">
        <f ca="1">IFERROR(__xludf.DUMMYFUNCTION("""COMPUTED_VALUE"""),"2.3kg")</f>
        <v>2.3kg</v>
      </c>
      <c r="M202" s="2">
        <f ca="1">IFERROR(__xludf.DUMMYFUNCTION("""COMPUTED_VALUE"""),1655)</f>
        <v>1655</v>
      </c>
    </row>
    <row r="203" spans="1:13">
      <c r="A203" s="2">
        <f ca="1">IFERROR(__xludf.DUMMYFUNCTION("""COMPUTED_VALUE"""),389)</f>
        <v>389</v>
      </c>
      <c r="B203" s="2" t="str">
        <f ca="1">IFERROR(__xludf.DUMMYFUNCTION("""COMPUTED_VALUE"""),"Lenovo")</f>
        <v>Lenovo</v>
      </c>
      <c r="C203" s="2" t="str">
        <f ca="1">IFERROR(__xludf.DUMMYFUNCTION("""COMPUTED_VALUE"""),"IdeaPad 720S-14IKB")</f>
        <v>IdeaPad 720S-14IKB</v>
      </c>
      <c r="D203" s="2" t="str">
        <f ca="1">IFERROR(__xludf.DUMMYFUNCTION("""COMPUTED_VALUE"""),"Notebook")</f>
        <v>Notebook</v>
      </c>
      <c r="E203" s="2">
        <f ca="1">IFERROR(__xludf.DUMMYFUNCTION("""COMPUTED_VALUE"""),14)</f>
        <v>14</v>
      </c>
      <c r="F203" s="2" t="str">
        <f ca="1">IFERROR(__xludf.DUMMYFUNCTION("""COMPUTED_VALUE"""),"IPS Panel Full HD 1920x1080")</f>
        <v>IPS Panel Full HD 1920x1080</v>
      </c>
      <c r="G203" s="2" t="str">
        <f ca="1">IFERROR(__xludf.DUMMYFUNCTION("""COMPUTED_VALUE"""),"Intel Core i5 7200U 2.5GHz")</f>
        <v>Intel Core i5 7200U 2.5GHz</v>
      </c>
      <c r="H203" s="2" t="str">
        <f ca="1">IFERROR(__xludf.DUMMYFUNCTION("""COMPUTED_VALUE"""),"8GB")</f>
        <v>8GB</v>
      </c>
      <c r="I203" s="2" t="str">
        <f ca="1">IFERROR(__xludf.DUMMYFUNCTION("""COMPUTED_VALUE"""),"256GB SSD")</f>
        <v>256GB SSD</v>
      </c>
      <c r="J203" s="2" t="str">
        <f ca="1">IFERROR(__xludf.DUMMYFUNCTION("""COMPUTED_VALUE"""),"Nvidia GeForce 940MX")</f>
        <v>Nvidia GeForce 940MX</v>
      </c>
      <c r="K203" s="2" t="str">
        <f ca="1">IFERROR(__xludf.DUMMYFUNCTION("""COMPUTED_VALUE"""),"Windows 10")</f>
        <v>Windows 10</v>
      </c>
      <c r="L203" s="2" t="str">
        <f ca="1">IFERROR(__xludf.DUMMYFUNCTION("""COMPUTED_VALUE"""),"1.5kg")</f>
        <v>1.5kg</v>
      </c>
      <c r="M203" s="2">
        <f ca="1">IFERROR(__xludf.DUMMYFUNCTION("""COMPUTED_VALUE"""),1099)</f>
        <v>1099</v>
      </c>
    </row>
    <row r="204" spans="1:13">
      <c r="A204" s="2">
        <f ca="1">IFERROR(__xludf.DUMMYFUNCTION("""COMPUTED_VALUE"""),391)</f>
        <v>391</v>
      </c>
      <c r="B204" s="2" t="str">
        <f ca="1">IFERROR(__xludf.DUMMYFUNCTION("""COMPUTED_VALUE"""),"Lenovo")</f>
        <v>Lenovo</v>
      </c>
      <c r="C204" s="2" t="str">
        <f ca="1">IFERROR(__xludf.DUMMYFUNCTION("""COMPUTED_VALUE"""),"Thinkpad X1")</f>
        <v>Thinkpad X1</v>
      </c>
      <c r="D204" s="2" t="str">
        <f ca="1">IFERROR(__xludf.DUMMYFUNCTION("""COMPUTED_VALUE"""),"Ultrabook")</f>
        <v>Ultrabook</v>
      </c>
      <c r="E204" s="2">
        <f ca="1">IFERROR(__xludf.DUMMYFUNCTION("""COMPUTED_VALUE"""),14)</f>
        <v>14</v>
      </c>
      <c r="F204" s="2" t="str">
        <f ca="1">IFERROR(__xludf.DUMMYFUNCTION("""COMPUTED_VALUE"""),"IPS Panel 2560x1440")</f>
        <v>IPS Panel 2560x1440</v>
      </c>
      <c r="G204" s="2" t="str">
        <f ca="1">IFERROR(__xludf.DUMMYFUNCTION("""COMPUTED_VALUE"""),"Intel Core i7 7500U 2.7GHz")</f>
        <v>Intel Core i7 7500U 2.7GHz</v>
      </c>
      <c r="H204" s="2" t="str">
        <f ca="1">IFERROR(__xludf.DUMMYFUNCTION("""COMPUTED_VALUE"""),"8GB")</f>
        <v>8GB</v>
      </c>
      <c r="I204" s="2" t="str">
        <f ca="1">IFERROR(__xludf.DUMMYFUNCTION("""COMPUTED_VALUE"""),"512GB SSD")</f>
        <v>512GB SSD</v>
      </c>
      <c r="J204" s="2" t="str">
        <f ca="1">IFERROR(__xludf.DUMMYFUNCTION("""COMPUTED_VALUE"""),"Intel HD Graphics 620")</f>
        <v>Intel HD Graphics 620</v>
      </c>
      <c r="K204" s="2" t="str">
        <f ca="1">IFERROR(__xludf.DUMMYFUNCTION("""COMPUTED_VALUE"""),"Windows 10")</f>
        <v>Windows 10</v>
      </c>
      <c r="L204" s="2" t="str">
        <f ca="1">IFERROR(__xludf.DUMMYFUNCTION("""COMPUTED_VALUE"""),"1.13kg")</f>
        <v>1.13kg</v>
      </c>
      <c r="M204" s="2">
        <f ca="1">IFERROR(__xludf.DUMMYFUNCTION("""COMPUTED_VALUE"""),2282)</f>
        <v>2282</v>
      </c>
    </row>
    <row r="205" spans="1:13">
      <c r="A205" s="2">
        <f ca="1">IFERROR(__xludf.DUMMYFUNCTION("""COMPUTED_VALUE"""),393)</f>
        <v>393</v>
      </c>
      <c r="B205" s="2" t="str">
        <f ca="1">IFERROR(__xludf.DUMMYFUNCTION("""COMPUTED_VALUE"""),"Dell")</f>
        <v>Dell</v>
      </c>
      <c r="C205" s="2" t="str">
        <f ca="1">IFERROR(__xludf.DUMMYFUNCTION("""COMPUTED_VALUE"""),"Precision 3510")</f>
        <v>Precision 3510</v>
      </c>
      <c r="D205" s="2" t="str">
        <f ca="1">IFERROR(__xludf.DUMMYFUNCTION("""COMPUTED_VALUE"""),"Workstation")</f>
        <v>Workstation</v>
      </c>
      <c r="E205" s="2">
        <f ca="1">IFERROR(__xludf.DUMMYFUNCTION("""COMPUTED_VALUE"""),15.6)</f>
        <v>15.6</v>
      </c>
      <c r="F205" s="2" t="str">
        <f ca="1">IFERROR(__xludf.DUMMYFUNCTION("""COMPUTED_VALUE"""),"Full HD 1920x1080")</f>
        <v>Full HD 1920x1080</v>
      </c>
      <c r="G205" s="2" t="str">
        <f ca="1">IFERROR(__xludf.DUMMYFUNCTION("""COMPUTED_VALUE"""),"Intel Core i5 6440HQ 2.6GHz")</f>
        <v>Intel Core i5 6440HQ 2.6GHz</v>
      </c>
      <c r="H205" s="2" t="str">
        <f ca="1">IFERROR(__xludf.DUMMYFUNCTION("""COMPUTED_VALUE"""),"8GB")</f>
        <v>8GB</v>
      </c>
      <c r="I205" s="2" t="str">
        <f ca="1">IFERROR(__xludf.DUMMYFUNCTION("""COMPUTED_VALUE"""),"500GB HDD")</f>
        <v>500GB HDD</v>
      </c>
      <c r="J205" s="2" t="str">
        <f ca="1">IFERROR(__xludf.DUMMYFUNCTION("""COMPUTED_VALUE"""),"AMD FirePro W5130M")</f>
        <v>AMD FirePro W5130M</v>
      </c>
      <c r="K205" s="2" t="str">
        <f ca="1">IFERROR(__xludf.DUMMYFUNCTION("""COMPUTED_VALUE"""),"Windows 10")</f>
        <v>Windows 10</v>
      </c>
      <c r="L205" s="2" t="str">
        <f ca="1">IFERROR(__xludf.DUMMYFUNCTION("""COMPUTED_VALUE"""),"2.23kg")</f>
        <v>2.23kg</v>
      </c>
      <c r="M205" s="2">
        <f ca="1">IFERROR(__xludf.DUMMYFUNCTION("""COMPUTED_VALUE"""),1369)</f>
        <v>1369</v>
      </c>
    </row>
    <row r="206" spans="1:13">
      <c r="A206" s="2">
        <f ca="1">IFERROR(__xludf.DUMMYFUNCTION("""COMPUTED_VALUE"""),394)</f>
        <v>394</v>
      </c>
      <c r="B206" s="2" t="str">
        <f ca="1">IFERROR(__xludf.DUMMYFUNCTION("""COMPUTED_VALUE"""),"Dell")</f>
        <v>Dell</v>
      </c>
      <c r="C206" s="2" t="str">
        <f ca="1">IFERROR(__xludf.DUMMYFUNCTION("""COMPUTED_VALUE"""),"Precision 5520")</f>
        <v>Precision 5520</v>
      </c>
      <c r="D206" s="2" t="str">
        <f ca="1">IFERROR(__xludf.DUMMYFUNCTION("""COMPUTED_VALUE"""),"Workstation")</f>
        <v>Workstation</v>
      </c>
      <c r="E206" s="2">
        <f ca="1">IFERROR(__xludf.DUMMYFUNCTION("""COMPUTED_VALUE"""),15.6)</f>
        <v>15.6</v>
      </c>
      <c r="F206" s="2" t="str">
        <f ca="1">IFERROR(__xludf.DUMMYFUNCTION("""COMPUTED_VALUE"""),"IPS Panel Full HD 1920x1080")</f>
        <v>IPS Panel Full HD 1920x1080</v>
      </c>
      <c r="G206" s="2" t="str">
        <f ca="1">IFERROR(__xludf.DUMMYFUNCTION("""COMPUTED_VALUE"""),"Intel Core i7 6820HQ 2.7GHz")</f>
        <v>Intel Core i7 6820HQ 2.7GHz</v>
      </c>
      <c r="H206" s="2" t="str">
        <f ca="1">IFERROR(__xludf.DUMMYFUNCTION("""COMPUTED_VALUE"""),"8GB")</f>
        <v>8GB</v>
      </c>
      <c r="I206" s="2" t="str">
        <f ca="1">IFERROR(__xludf.DUMMYFUNCTION("""COMPUTED_VALUE"""),"256GB SSD")</f>
        <v>256GB SSD</v>
      </c>
      <c r="J206" s="2" t="str">
        <f ca="1">IFERROR(__xludf.DUMMYFUNCTION("""COMPUTED_VALUE"""),"Nvidia Quadro M1200")</f>
        <v>Nvidia Quadro M1200</v>
      </c>
      <c r="K206" s="2" t="str">
        <f ca="1">IFERROR(__xludf.DUMMYFUNCTION("""COMPUTED_VALUE"""),"Windows 10")</f>
        <v>Windows 10</v>
      </c>
      <c r="L206" s="2" t="str">
        <f ca="1">IFERROR(__xludf.DUMMYFUNCTION("""COMPUTED_VALUE"""),"2kg")</f>
        <v>2kg</v>
      </c>
      <c r="M206" s="2">
        <f ca="1">IFERROR(__xludf.DUMMYFUNCTION("""COMPUTED_VALUE"""),2135)</f>
        <v>2135</v>
      </c>
    </row>
    <row r="207" spans="1:13">
      <c r="A207" s="2">
        <f ca="1">IFERROR(__xludf.DUMMYFUNCTION("""COMPUTED_VALUE"""),396)</f>
        <v>396</v>
      </c>
      <c r="B207" s="2" t="str">
        <f ca="1">IFERROR(__xludf.DUMMYFUNCTION("""COMPUTED_VALUE"""),"Asus")</f>
        <v>Asus</v>
      </c>
      <c r="C207" s="2" t="str">
        <f ca="1">IFERROR(__xludf.DUMMYFUNCTION("""COMPUTED_VALUE"""),"Rog GL753VD-GC042T")</f>
        <v>Rog GL753VD-GC042T</v>
      </c>
      <c r="D207" s="2" t="str">
        <f ca="1">IFERROR(__xludf.DUMMYFUNCTION("""COMPUTED_VALUE"""),"Gaming")</f>
        <v>Gaming</v>
      </c>
      <c r="E207" s="2">
        <f ca="1">IFERROR(__xludf.DUMMYFUNCTION("""COMPUTED_VALUE"""),17.3)</f>
        <v>17.3</v>
      </c>
      <c r="F207" s="2" t="str">
        <f ca="1">IFERROR(__xludf.DUMMYFUNCTION("""COMPUTED_VALUE"""),"Full HD 1920x1080")</f>
        <v>Full HD 1920x1080</v>
      </c>
      <c r="G207" s="2" t="str">
        <f ca="1">IFERROR(__xludf.DUMMYFUNCTION("""COMPUTED_VALUE"""),"Intel Core i7 7700HQ 2.8GHz")</f>
        <v>Intel Core i7 7700HQ 2.8GHz</v>
      </c>
      <c r="H207" s="2" t="str">
        <f ca="1">IFERROR(__xludf.DUMMYFUNCTION("""COMPUTED_VALUE"""),"8GB")</f>
        <v>8GB</v>
      </c>
      <c r="I207" s="2" t="str">
        <f ca="1">IFERROR(__xludf.DUMMYFUNCTION("""COMPUTED_VALUE"""),"1TB HDD")</f>
        <v>1TB HDD</v>
      </c>
      <c r="J207" s="2" t="str">
        <f ca="1">IFERROR(__xludf.DUMMYFUNCTION("""COMPUTED_VALUE"""),"Nvidia GeForce GTX 1050")</f>
        <v>Nvidia GeForce GTX 1050</v>
      </c>
      <c r="K207" s="2" t="str">
        <f ca="1">IFERROR(__xludf.DUMMYFUNCTION("""COMPUTED_VALUE"""),"Windows 10")</f>
        <v>Windows 10</v>
      </c>
      <c r="L207" s="2" t="str">
        <f ca="1">IFERROR(__xludf.DUMMYFUNCTION("""COMPUTED_VALUE"""),"3kg")</f>
        <v>3kg</v>
      </c>
      <c r="M207" s="2">
        <f ca="1">IFERROR(__xludf.DUMMYFUNCTION("""COMPUTED_VALUE"""),1039)</f>
        <v>1039</v>
      </c>
    </row>
    <row r="208" spans="1:13">
      <c r="A208" s="2">
        <f ca="1">IFERROR(__xludf.DUMMYFUNCTION("""COMPUTED_VALUE"""),400)</f>
        <v>400</v>
      </c>
      <c r="B208" s="2" t="str">
        <f ca="1">IFERROR(__xludf.DUMMYFUNCTION("""COMPUTED_VALUE"""),"MSI")</f>
        <v>MSI</v>
      </c>
      <c r="C208" s="2" t="str">
        <f ca="1">IFERROR(__xludf.DUMMYFUNCTION("""COMPUTED_VALUE"""),"Leopard GP72M")</f>
        <v>Leopard GP72M</v>
      </c>
      <c r="D208" s="2" t="str">
        <f ca="1">IFERROR(__xludf.DUMMYFUNCTION("""COMPUTED_VALUE"""),"Gaming")</f>
        <v>Gaming</v>
      </c>
      <c r="E208" s="2">
        <f ca="1">IFERROR(__xludf.DUMMYFUNCTION("""COMPUTED_VALUE"""),17.3)</f>
        <v>17.3</v>
      </c>
      <c r="F208" s="2" t="str">
        <f ca="1">IFERROR(__xludf.DUMMYFUNCTION("""COMPUTED_VALUE"""),"Full HD 1920x1080")</f>
        <v>Full HD 1920x1080</v>
      </c>
      <c r="G208" s="2" t="str">
        <f ca="1">IFERROR(__xludf.DUMMYFUNCTION("""COMPUTED_VALUE"""),"Intel Core i7 7700HQ 2.8GHz")</f>
        <v>Intel Core i7 7700HQ 2.8GHz</v>
      </c>
      <c r="H208" s="2" t="str">
        <f ca="1">IFERROR(__xludf.DUMMYFUNCTION("""COMPUTED_VALUE"""),"8GB")</f>
        <v>8GB</v>
      </c>
      <c r="I208" s="2" t="str">
        <f ca="1">IFERROR(__xludf.DUMMYFUNCTION("""COMPUTED_VALUE"""),"256GB SSD")</f>
        <v>256GB SSD</v>
      </c>
      <c r="J208" s="2" t="str">
        <f ca="1">IFERROR(__xludf.DUMMYFUNCTION("""COMPUTED_VALUE"""),"Nvidia GeForce GTX 1050 Ti")</f>
        <v>Nvidia GeForce GTX 1050 Ti</v>
      </c>
      <c r="K208" s="2" t="str">
        <f ca="1">IFERROR(__xludf.DUMMYFUNCTION("""COMPUTED_VALUE"""),"Windows 10")</f>
        <v>Windows 10</v>
      </c>
      <c r="L208" s="2" t="str">
        <f ca="1">IFERROR(__xludf.DUMMYFUNCTION("""COMPUTED_VALUE"""),"2.7kg")</f>
        <v>2.7kg</v>
      </c>
      <c r="M208" s="2">
        <f ca="1">IFERROR(__xludf.DUMMYFUNCTION("""COMPUTED_VALUE"""),1349)</f>
        <v>1349</v>
      </c>
    </row>
    <row r="209" spans="1:13">
      <c r="A209" s="2">
        <f ca="1">IFERROR(__xludf.DUMMYFUNCTION("""COMPUTED_VALUE"""),401)</f>
        <v>401</v>
      </c>
      <c r="B209" s="2" t="str">
        <f ca="1">IFERROR(__xludf.DUMMYFUNCTION("""COMPUTED_VALUE"""),"Dell")</f>
        <v>Dell</v>
      </c>
      <c r="C209" s="2" t="str">
        <f ca="1">IFERROR(__xludf.DUMMYFUNCTION("""COMPUTED_VALUE"""),"Inspiron 5567")</f>
        <v>Inspiron 5567</v>
      </c>
      <c r="D209" s="2" t="str">
        <f ca="1">IFERROR(__xludf.DUMMYFUNCTION("""COMPUTED_VALUE"""),"Notebook")</f>
        <v>Notebook</v>
      </c>
      <c r="E209" s="2">
        <f ca="1">IFERROR(__xludf.DUMMYFUNCTION("""COMPUTED_VALUE"""),15.6)</f>
        <v>15.6</v>
      </c>
      <c r="F209" s="2" t="str">
        <f ca="1">IFERROR(__xludf.DUMMYFUNCTION("""COMPUTED_VALUE"""),"Full HD 1920x1080")</f>
        <v>Full HD 1920x1080</v>
      </c>
      <c r="G209" s="2" t="str">
        <f ca="1">IFERROR(__xludf.DUMMYFUNCTION("""COMPUTED_VALUE"""),"Intel Core i7 7500U 2.7GHz")</f>
        <v>Intel Core i7 7500U 2.7GHz</v>
      </c>
      <c r="H209" s="2" t="str">
        <f ca="1">IFERROR(__xludf.DUMMYFUNCTION("""COMPUTED_VALUE"""),"8GB")</f>
        <v>8GB</v>
      </c>
      <c r="I209" s="2" t="str">
        <f ca="1">IFERROR(__xludf.DUMMYFUNCTION("""COMPUTED_VALUE"""),"256GB SSD")</f>
        <v>256GB SSD</v>
      </c>
      <c r="J209" s="2" t="str">
        <f ca="1">IFERROR(__xludf.DUMMYFUNCTION("""COMPUTED_VALUE"""),"AMD Radeon R7 M445")</f>
        <v>AMD Radeon R7 M445</v>
      </c>
      <c r="K209" s="2" t="str">
        <f ca="1">IFERROR(__xludf.DUMMYFUNCTION("""COMPUTED_VALUE"""),"Linux")</f>
        <v>Linux</v>
      </c>
      <c r="L209" s="2" t="str">
        <f ca="1">IFERROR(__xludf.DUMMYFUNCTION("""COMPUTED_VALUE"""),"2.33kg")</f>
        <v>2.33kg</v>
      </c>
      <c r="M209" s="2">
        <f ca="1">IFERROR(__xludf.DUMMYFUNCTION("""COMPUTED_VALUE"""),778.87)</f>
        <v>778.87</v>
      </c>
    </row>
    <row r="210" spans="1:13">
      <c r="A210" s="2">
        <f ca="1">IFERROR(__xludf.DUMMYFUNCTION("""COMPUTED_VALUE"""),403)</f>
        <v>403</v>
      </c>
      <c r="B210" s="2" t="str">
        <f ca="1">IFERROR(__xludf.DUMMYFUNCTION("""COMPUTED_VALUE"""),"Lenovo")</f>
        <v>Lenovo</v>
      </c>
      <c r="C210" s="2" t="str">
        <f ca="1">IFERROR(__xludf.DUMMYFUNCTION("""COMPUTED_VALUE"""),"ThinkPad E580")</f>
        <v>ThinkPad E580</v>
      </c>
      <c r="D210" s="2" t="str">
        <f ca="1">IFERROR(__xludf.DUMMYFUNCTION("""COMPUTED_VALUE"""),"Notebook")</f>
        <v>Notebook</v>
      </c>
      <c r="E210" s="2">
        <f ca="1">IFERROR(__xludf.DUMMYFUNCTION("""COMPUTED_VALUE"""),15.6)</f>
        <v>15.6</v>
      </c>
      <c r="F210" s="2" t="str">
        <f ca="1">IFERROR(__xludf.DUMMYFUNCTION("""COMPUTED_VALUE"""),"IPS Panel Full HD 1920x1080")</f>
        <v>IPS Panel Full HD 1920x1080</v>
      </c>
      <c r="G210" s="2" t="str">
        <f ca="1">IFERROR(__xludf.DUMMYFUNCTION("""COMPUTED_VALUE"""),"Intel Core i7 8550U 1.8GHz")</f>
        <v>Intel Core i7 8550U 1.8GHz</v>
      </c>
      <c r="H210" s="2" t="str">
        <f ca="1">IFERROR(__xludf.DUMMYFUNCTION("""COMPUTED_VALUE"""),"8GB")</f>
        <v>8GB</v>
      </c>
      <c r="I210" s="2" t="str">
        <f ca="1">IFERROR(__xludf.DUMMYFUNCTION("""COMPUTED_VALUE"""),"256GB SSD")</f>
        <v>256GB SSD</v>
      </c>
      <c r="J210" s="2" t="str">
        <f ca="1">IFERROR(__xludf.DUMMYFUNCTION("""COMPUTED_VALUE"""),"AMD Radeon RX 550")</f>
        <v>AMD Radeon RX 550</v>
      </c>
      <c r="K210" s="2" t="str">
        <f ca="1">IFERROR(__xludf.DUMMYFUNCTION("""COMPUTED_VALUE"""),"Windows 10")</f>
        <v>Windows 10</v>
      </c>
      <c r="L210" s="2" t="str">
        <f ca="1">IFERROR(__xludf.DUMMYFUNCTION("""COMPUTED_VALUE"""),"2.1kg")</f>
        <v>2.1kg</v>
      </c>
      <c r="M210" s="2">
        <f ca="1">IFERROR(__xludf.DUMMYFUNCTION("""COMPUTED_VALUE"""),1229.56)</f>
        <v>1229.56</v>
      </c>
    </row>
    <row r="211" spans="1:13">
      <c r="A211" s="2">
        <f ca="1">IFERROR(__xludf.DUMMYFUNCTION("""COMPUTED_VALUE"""),404)</f>
        <v>404</v>
      </c>
      <c r="B211" s="2" t="str">
        <f ca="1">IFERROR(__xludf.DUMMYFUNCTION("""COMPUTED_VALUE"""),"Lenovo")</f>
        <v>Lenovo</v>
      </c>
      <c r="C211" s="2" t="str">
        <f ca="1">IFERROR(__xludf.DUMMYFUNCTION("""COMPUTED_VALUE"""),"ThinkPad L470")</f>
        <v>ThinkPad L470</v>
      </c>
      <c r="D211" s="2" t="str">
        <f ca="1">IFERROR(__xludf.DUMMYFUNCTION("""COMPUTED_VALUE"""),"Notebook")</f>
        <v>Notebook</v>
      </c>
      <c r="E211" s="2">
        <f ca="1">IFERROR(__xludf.DUMMYFUNCTION("""COMPUTED_VALUE"""),14)</f>
        <v>14</v>
      </c>
      <c r="F211" s="2" t="str">
        <f ca="1">IFERROR(__xludf.DUMMYFUNCTION("""COMPUTED_VALUE"""),"IPS Panel Full HD 1920x1080")</f>
        <v>IPS Panel Full HD 1920x1080</v>
      </c>
      <c r="G211" s="2" t="str">
        <f ca="1">IFERROR(__xludf.DUMMYFUNCTION("""COMPUTED_VALUE"""),"Intel Core i5 7200U 2.5GHz")</f>
        <v>Intel Core i5 7200U 2.5GHz</v>
      </c>
      <c r="H211" s="2" t="str">
        <f ca="1">IFERROR(__xludf.DUMMYFUNCTION("""COMPUTED_VALUE"""),"8GB")</f>
        <v>8GB</v>
      </c>
      <c r="I211" s="2" t="str">
        <f ca="1">IFERROR(__xludf.DUMMYFUNCTION("""COMPUTED_VALUE"""),"256GB SSD")</f>
        <v>256GB SSD</v>
      </c>
      <c r="J211" s="2" t="str">
        <f ca="1">IFERROR(__xludf.DUMMYFUNCTION("""COMPUTED_VALUE"""),"Intel HD Graphics 620")</f>
        <v>Intel HD Graphics 620</v>
      </c>
      <c r="K211" s="2" t="str">
        <f ca="1">IFERROR(__xludf.DUMMYFUNCTION("""COMPUTED_VALUE"""),"Windows 10")</f>
        <v>Windows 10</v>
      </c>
      <c r="L211" s="2" t="str">
        <f ca="1">IFERROR(__xludf.DUMMYFUNCTION("""COMPUTED_VALUE"""),"1.9kg")</f>
        <v>1.9kg</v>
      </c>
      <c r="M211" s="2">
        <f ca="1">IFERROR(__xludf.DUMMYFUNCTION("""COMPUTED_VALUE"""),938)</f>
        <v>938</v>
      </c>
    </row>
    <row r="212" spans="1:13">
      <c r="A212" s="2">
        <f ca="1">IFERROR(__xludf.DUMMYFUNCTION("""COMPUTED_VALUE"""),405)</f>
        <v>405</v>
      </c>
      <c r="B212" s="2" t="str">
        <f ca="1">IFERROR(__xludf.DUMMYFUNCTION("""COMPUTED_VALUE"""),"Dell")</f>
        <v>Dell</v>
      </c>
      <c r="C212" s="2" t="str">
        <f ca="1">IFERROR(__xludf.DUMMYFUNCTION("""COMPUTED_VALUE"""),"Precision M5520")</f>
        <v>Precision M5520</v>
      </c>
      <c r="D212" s="2" t="str">
        <f ca="1">IFERROR(__xludf.DUMMYFUNCTION("""COMPUTED_VALUE"""),"Workstation")</f>
        <v>Workstation</v>
      </c>
      <c r="E212" s="2">
        <f ca="1">IFERROR(__xludf.DUMMYFUNCTION("""COMPUTED_VALUE"""),15.6)</f>
        <v>15.6</v>
      </c>
      <c r="F212" s="2" t="str">
        <f ca="1">IFERROR(__xludf.DUMMYFUNCTION("""COMPUTED_VALUE"""),"4K Ultra HD / Touchscreen 3840x2160")</f>
        <v>4K Ultra HD / Touchscreen 3840x2160</v>
      </c>
      <c r="G212" s="2" t="str">
        <f ca="1">IFERROR(__xludf.DUMMYFUNCTION("""COMPUTED_VALUE"""),"Intel Core i7 7700HQ 2.8GHz")</f>
        <v>Intel Core i7 7700HQ 2.8GHz</v>
      </c>
      <c r="H212" s="2" t="str">
        <f ca="1">IFERROR(__xludf.DUMMYFUNCTION("""COMPUTED_VALUE"""),"8GB")</f>
        <v>8GB</v>
      </c>
      <c r="I212" s="2" t="str">
        <f ca="1">IFERROR(__xludf.DUMMYFUNCTION("""COMPUTED_VALUE"""),"256GB SSD")</f>
        <v>256GB SSD</v>
      </c>
      <c r="J212" s="2" t="str">
        <f ca="1">IFERROR(__xludf.DUMMYFUNCTION("""COMPUTED_VALUE"""),"Nvidia Quadro M1200")</f>
        <v>Nvidia Quadro M1200</v>
      </c>
      <c r="K212" s="2" t="str">
        <f ca="1">IFERROR(__xludf.DUMMYFUNCTION("""COMPUTED_VALUE"""),"Windows 10")</f>
        <v>Windows 10</v>
      </c>
      <c r="L212" s="2" t="str">
        <f ca="1">IFERROR(__xludf.DUMMYFUNCTION("""COMPUTED_VALUE"""),"1.78kg")</f>
        <v>1.78kg</v>
      </c>
      <c r="M212" s="2">
        <f ca="1">IFERROR(__xludf.DUMMYFUNCTION("""COMPUTED_VALUE"""),2712)</f>
        <v>2712</v>
      </c>
    </row>
    <row r="213" spans="1:13">
      <c r="A213" s="2">
        <f ca="1">IFERROR(__xludf.DUMMYFUNCTION("""COMPUTED_VALUE"""),409)</f>
        <v>409</v>
      </c>
      <c r="B213" s="2" t="str">
        <f ca="1">IFERROR(__xludf.DUMMYFUNCTION("""COMPUTED_VALUE"""),"Lenovo")</f>
        <v>Lenovo</v>
      </c>
      <c r="C213" s="2" t="str">
        <f ca="1">IFERROR(__xludf.DUMMYFUNCTION("""COMPUTED_VALUE"""),"ThinkPad E580")</f>
        <v>ThinkPad E580</v>
      </c>
      <c r="D213" s="2" t="str">
        <f ca="1">IFERROR(__xludf.DUMMYFUNCTION("""COMPUTED_VALUE"""),"Notebook")</f>
        <v>Notebook</v>
      </c>
      <c r="E213" s="2">
        <f ca="1">IFERROR(__xludf.DUMMYFUNCTION("""COMPUTED_VALUE"""),15.6)</f>
        <v>15.6</v>
      </c>
      <c r="F213" s="2" t="str">
        <f ca="1">IFERROR(__xludf.DUMMYFUNCTION("""COMPUTED_VALUE"""),"IPS Panel Full HD 1920x1080")</f>
        <v>IPS Panel Full HD 1920x1080</v>
      </c>
      <c r="G213" s="2" t="str">
        <f ca="1">IFERROR(__xludf.DUMMYFUNCTION("""COMPUTED_VALUE"""),"Intel Core i5 8250U 1.6GHz")</f>
        <v>Intel Core i5 8250U 1.6GHz</v>
      </c>
      <c r="H213" s="2" t="str">
        <f ca="1">IFERROR(__xludf.DUMMYFUNCTION("""COMPUTED_VALUE"""),"8GB")</f>
        <v>8GB</v>
      </c>
      <c r="I213" s="2" t="str">
        <f ca="1">IFERROR(__xludf.DUMMYFUNCTION("""COMPUTED_VALUE"""),"256GB SSD +  1TB HDD")</f>
        <v>256GB SSD +  1TB HDD</v>
      </c>
      <c r="J213" s="2" t="str">
        <f ca="1">IFERROR(__xludf.DUMMYFUNCTION("""COMPUTED_VALUE"""),"AMD Radeon RX 550")</f>
        <v>AMD Radeon RX 550</v>
      </c>
      <c r="K213" s="2" t="str">
        <f ca="1">IFERROR(__xludf.DUMMYFUNCTION("""COMPUTED_VALUE"""),"Windows 10")</f>
        <v>Windows 10</v>
      </c>
      <c r="L213" s="2" t="str">
        <f ca="1">IFERROR(__xludf.DUMMYFUNCTION("""COMPUTED_VALUE"""),"2.1kg")</f>
        <v>2.1kg</v>
      </c>
      <c r="M213" s="2">
        <f ca="1">IFERROR(__xludf.DUMMYFUNCTION("""COMPUTED_VALUE"""),1144.5)</f>
        <v>1144.5</v>
      </c>
    </row>
    <row r="214" spans="1:13">
      <c r="A214" s="2">
        <f ca="1">IFERROR(__xludf.DUMMYFUNCTION("""COMPUTED_VALUE"""),410)</f>
        <v>410</v>
      </c>
      <c r="B214" s="2" t="str">
        <f ca="1">IFERROR(__xludf.DUMMYFUNCTION("""COMPUTED_VALUE"""),"Acer")</f>
        <v>Acer</v>
      </c>
      <c r="C214" s="2" t="str">
        <f ca="1">IFERROR(__xludf.DUMMYFUNCTION("""COMPUTED_VALUE"""),"Aspire 7")</f>
        <v>Aspire 7</v>
      </c>
      <c r="D214" s="2" t="str">
        <f ca="1">IFERROR(__xludf.DUMMYFUNCTION("""COMPUTED_VALUE"""),"Notebook")</f>
        <v>Notebook</v>
      </c>
      <c r="E214" s="2">
        <f ca="1">IFERROR(__xludf.DUMMYFUNCTION("""COMPUTED_VALUE"""),15.6)</f>
        <v>15.6</v>
      </c>
      <c r="F214" s="2" t="str">
        <f ca="1">IFERROR(__xludf.DUMMYFUNCTION("""COMPUTED_VALUE"""),"Full HD 1920x1080")</f>
        <v>Full HD 1920x1080</v>
      </c>
      <c r="G214" s="2" t="str">
        <f ca="1">IFERROR(__xludf.DUMMYFUNCTION("""COMPUTED_VALUE"""),"Intel Core i7 7700HQ 2.8GHz")</f>
        <v>Intel Core i7 7700HQ 2.8GHz</v>
      </c>
      <c r="H214" s="2" t="str">
        <f ca="1">IFERROR(__xludf.DUMMYFUNCTION("""COMPUTED_VALUE"""),"8GB")</f>
        <v>8GB</v>
      </c>
      <c r="I214" s="2" t="str">
        <f ca="1">IFERROR(__xludf.DUMMYFUNCTION("""COMPUTED_VALUE"""),"256GB SSD")</f>
        <v>256GB SSD</v>
      </c>
      <c r="J214" s="2" t="str">
        <f ca="1">IFERROR(__xludf.DUMMYFUNCTION("""COMPUTED_VALUE"""),"Nvidia GeForce GTX 1050")</f>
        <v>Nvidia GeForce GTX 1050</v>
      </c>
      <c r="K214" s="2" t="str">
        <f ca="1">IFERROR(__xludf.DUMMYFUNCTION("""COMPUTED_VALUE"""),"Linux")</f>
        <v>Linux</v>
      </c>
      <c r="L214" s="2" t="str">
        <f ca="1">IFERROR(__xludf.DUMMYFUNCTION("""COMPUTED_VALUE"""),"2.5kg")</f>
        <v>2.5kg</v>
      </c>
      <c r="M214" s="2">
        <f ca="1">IFERROR(__xludf.DUMMYFUNCTION("""COMPUTED_VALUE"""),879)</f>
        <v>879</v>
      </c>
    </row>
    <row r="215" spans="1:13">
      <c r="A215" s="2">
        <f ca="1">IFERROR(__xludf.DUMMYFUNCTION("""COMPUTED_VALUE"""),412)</f>
        <v>412</v>
      </c>
      <c r="B215" s="2" t="str">
        <f ca="1">IFERROR(__xludf.DUMMYFUNCTION("""COMPUTED_VALUE"""),"Asus")</f>
        <v>Asus</v>
      </c>
      <c r="C215" s="2" t="str">
        <f ca="1">IFERROR(__xludf.DUMMYFUNCTION("""COMPUTED_VALUE"""),"Zenbook 3")</f>
        <v>Zenbook 3</v>
      </c>
      <c r="D215" s="2" t="str">
        <f ca="1">IFERROR(__xludf.DUMMYFUNCTION("""COMPUTED_VALUE"""),"Ultrabook")</f>
        <v>Ultrabook</v>
      </c>
      <c r="E215" s="2">
        <f ca="1">IFERROR(__xludf.DUMMYFUNCTION("""COMPUTED_VALUE"""),14)</f>
        <v>14</v>
      </c>
      <c r="F215" s="2" t="str">
        <f ca="1">IFERROR(__xludf.DUMMYFUNCTION("""COMPUTED_VALUE"""),"Full HD 1920x1080")</f>
        <v>Full HD 1920x1080</v>
      </c>
      <c r="G215" s="2" t="str">
        <f ca="1">IFERROR(__xludf.DUMMYFUNCTION("""COMPUTED_VALUE"""),"Intel Core i7 7500U 2.7GHz")</f>
        <v>Intel Core i7 7500U 2.7GHz</v>
      </c>
      <c r="H215" s="2" t="str">
        <f ca="1">IFERROR(__xludf.DUMMYFUNCTION("""COMPUTED_VALUE"""),"8GB")</f>
        <v>8GB</v>
      </c>
      <c r="I215" s="2" t="str">
        <f ca="1">IFERROR(__xludf.DUMMYFUNCTION("""COMPUTED_VALUE"""),"512GB SSD")</f>
        <v>512GB SSD</v>
      </c>
      <c r="J215" s="2" t="str">
        <f ca="1">IFERROR(__xludf.DUMMYFUNCTION("""COMPUTED_VALUE"""),"Intel HD Graphics 620")</f>
        <v>Intel HD Graphics 620</v>
      </c>
      <c r="K215" s="2" t="str">
        <f ca="1">IFERROR(__xludf.DUMMYFUNCTION("""COMPUTED_VALUE"""),"Windows 10")</f>
        <v>Windows 10</v>
      </c>
      <c r="L215" s="2" t="str">
        <f ca="1">IFERROR(__xludf.DUMMYFUNCTION("""COMPUTED_VALUE"""),"1.10kg")</f>
        <v>1.10kg</v>
      </c>
      <c r="M215" s="2">
        <f ca="1">IFERROR(__xludf.DUMMYFUNCTION("""COMPUTED_VALUE"""),1873)</f>
        <v>1873</v>
      </c>
    </row>
    <row r="216" spans="1:13">
      <c r="A216" s="2">
        <f ca="1">IFERROR(__xludf.DUMMYFUNCTION("""COMPUTED_VALUE"""),414)</f>
        <v>414</v>
      </c>
      <c r="B216" s="2" t="str">
        <f ca="1">IFERROR(__xludf.DUMMYFUNCTION("""COMPUTED_VALUE"""),"Dell")</f>
        <v>Dell</v>
      </c>
      <c r="C216" s="2" t="str">
        <f ca="1">IFERROR(__xludf.DUMMYFUNCTION("""COMPUTED_VALUE"""),"Latitude 7480")</f>
        <v>Latitude 7480</v>
      </c>
      <c r="D216" s="2" t="str">
        <f ca="1">IFERROR(__xludf.DUMMYFUNCTION("""COMPUTED_VALUE"""),"Ultrabook")</f>
        <v>Ultrabook</v>
      </c>
      <c r="E216" s="2">
        <f ca="1">IFERROR(__xludf.DUMMYFUNCTION("""COMPUTED_VALUE"""),14)</f>
        <v>14</v>
      </c>
      <c r="F216" s="2" t="str">
        <f ca="1">IFERROR(__xludf.DUMMYFUNCTION("""COMPUTED_VALUE"""),"Full HD 1920x1080")</f>
        <v>Full HD 1920x1080</v>
      </c>
      <c r="G216" s="2" t="str">
        <f ca="1">IFERROR(__xludf.DUMMYFUNCTION("""COMPUTED_VALUE"""),"Intel Core i7 7600U 2.8GHz")</f>
        <v>Intel Core i7 7600U 2.8GHz</v>
      </c>
      <c r="H216" s="2" t="str">
        <f ca="1">IFERROR(__xludf.DUMMYFUNCTION("""COMPUTED_VALUE"""),"8GB")</f>
        <v>8GB</v>
      </c>
      <c r="I216" s="2" t="str">
        <f ca="1">IFERROR(__xludf.DUMMYFUNCTION("""COMPUTED_VALUE"""),"512GB SSD")</f>
        <v>512GB SSD</v>
      </c>
      <c r="J216" s="2" t="str">
        <f ca="1">IFERROR(__xludf.DUMMYFUNCTION("""COMPUTED_VALUE"""),"Intel HD Graphics")</f>
        <v>Intel HD Graphics</v>
      </c>
      <c r="K216" s="2" t="str">
        <f ca="1">IFERROR(__xludf.DUMMYFUNCTION("""COMPUTED_VALUE"""),"Windows 10")</f>
        <v>Windows 10</v>
      </c>
      <c r="L216" s="2" t="str">
        <f ca="1">IFERROR(__xludf.DUMMYFUNCTION("""COMPUTED_VALUE"""),"1.36kg")</f>
        <v>1.36kg</v>
      </c>
      <c r="M216" s="2">
        <f ca="1">IFERROR(__xludf.DUMMYFUNCTION("""COMPUTED_VALUE"""),1680)</f>
        <v>1680</v>
      </c>
    </row>
    <row r="217" spans="1:13">
      <c r="A217" s="2">
        <f ca="1">IFERROR(__xludf.DUMMYFUNCTION("""COMPUTED_VALUE"""),417)</f>
        <v>417</v>
      </c>
      <c r="B217" s="2" t="str">
        <f ca="1">IFERROR(__xludf.DUMMYFUNCTION("""COMPUTED_VALUE"""),"Lenovo")</f>
        <v>Lenovo</v>
      </c>
      <c r="C217" s="2" t="str">
        <f ca="1">IFERROR(__xludf.DUMMYFUNCTION("""COMPUTED_VALUE"""),"ThinkPad P51")</f>
        <v>ThinkPad P51</v>
      </c>
      <c r="D217" s="2" t="str">
        <f ca="1">IFERROR(__xludf.DUMMYFUNCTION("""COMPUTED_VALUE"""),"Workstation")</f>
        <v>Workstation</v>
      </c>
      <c r="E217" s="2">
        <f ca="1">IFERROR(__xludf.DUMMYFUNCTION("""COMPUTED_VALUE"""),15.6)</f>
        <v>15.6</v>
      </c>
      <c r="F217" s="2" t="str">
        <f ca="1">IFERROR(__xludf.DUMMYFUNCTION("""COMPUTED_VALUE"""),"Full HD 1920x1080")</f>
        <v>Full HD 1920x1080</v>
      </c>
      <c r="G217" s="2" t="str">
        <f ca="1">IFERROR(__xludf.DUMMYFUNCTION("""COMPUTED_VALUE"""),"Intel Core i7 7700HQ 2.8GHz")</f>
        <v>Intel Core i7 7700HQ 2.8GHz</v>
      </c>
      <c r="H217" s="2" t="str">
        <f ca="1">IFERROR(__xludf.DUMMYFUNCTION("""COMPUTED_VALUE"""),"8GB")</f>
        <v>8GB</v>
      </c>
      <c r="I217" s="2" t="str">
        <f ca="1">IFERROR(__xludf.DUMMYFUNCTION("""COMPUTED_VALUE"""),"512GB SSD")</f>
        <v>512GB SSD</v>
      </c>
      <c r="J217" s="2" t="str">
        <f ca="1">IFERROR(__xludf.DUMMYFUNCTION("""COMPUTED_VALUE"""),"Nvidia Quadro M1200")</f>
        <v>Nvidia Quadro M1200</v>
      </c>
      <c r="K217" s="2" t="str">
        <f ca="1">IFERROR(__xludf.DUMMYFUNCTION("""COMPUTED_VALUE"""),"Windows 10")</f>
        <v>Windows 10</v>
      </c>
      <c r="L217" s="2" t="str">
        <f ca="1">IFERROR(__xludf.DUMMYFUNCTION("""COMPUTED_VALUE"""),"2.67kg")</f>
        <v>2.67kg</v>
      </c>
      <c r="M217" s="2">
        <f ca="1">IFERROR(__xludf.DUMMYFUNCTION("""COMPUTED_VALUE"""),1925)</f>
        <v>1925</v>
      </c>
    </row>
    <row r="218" spans="1:13">
      <c r="A218" s="2">
        <f ca="1">IFERROR(__xludf.DUMMYFUNCTION("""COMPUTED_VALUE"""),418)</f>
        <v>418</v>
      </c>
      <c r="B218" s="2" t="str">
        <f ca="1">IFERROR(__xludf.DUMMYFUNCTION("""COMPUTED_VALUE"""),"Lenovo")</f>
        <v>Lenovo</v>
      </c>
      <c r="C218" s="2" t="str">
        <f ca="1">IFERROR(__xludf.DUMMYFUNCTION("""COMPUTED_VALUE"""),"Thinkpad T470p")</f>
        <v>Thinkpad T470p</v>
      </c>
      <c r="D218" s="2" t="str">
        <f ca="1">IFERROR(__xludf.DUMMYFUNCTION("""COMPUTED_VALUE"""),"Ultrabook")</f>
        <v>Ultrabook</v>
      </c>
      <c r="E218" s="2">
        <f ca="1">IFERROR(__xludf.DUMMYFUNCTION("""COMPUTED_VALUE"""),14)</f>
        <v>14</v>
      </c>
      <c r="F218" s="2" t="str">
        <f ca="1">IFERROR(__xludf.DUMMYFUNCTION("""COMPUTED_VALUE"""),"IPS Panel Full HD 2560x1440")</f>
        <v>IPS Panel Full HD 2560x1440</v>
      </c>
      <c r="G218" s="2" t="str">
        <f ca="1">IFERROR(__xludf.DUMMYFUNCTION("""COMPUTED_VALUE"""),"Intel Core i7 7700HQ 2.8GHz")</f>
        <v>Intel Core i7 7700HQ 2.8GHz</v>
      </c>
      <c r="H218" s="2" t="str">
        <f ca="1">IFERROR(__xludf.DUMMYFUNCTION("""COMPUTED_VALUE"""),"8GB")</f>
        <v>8GB</v>
      </c>
      <c r="I218" s="2" t="str">
        <f ca="1">IFERROR(__xludf.DUMMYFUNCTION("""COMPUTED_VALUE"""),"512GB SSD")</f>
        <v>512GB SSD</v>
      </c>
      <c r="J218" s="2" t="str">
        <f ca="1">IFERROR(__xludf.DUMMYFUNCTION("""COMPUTED_VALUE"""),"Nvidia GeForce GT 940MX")</f>
        <v>Nvidia GeForce GT 940MX</v>
      </c>
      <c r="K218" s="2" t="str">
        <f ca="1">IFERROR(__xludf.DUMMYFUNCTION("""COMPUTED_VALUE"""),"Windows 10")</f>
        <v>Windows 10</v>
      </c>
      <c r="L218" s="2" t="str">
        <f ca="1">IFERROR(__xludf.DUMMYFUNCTION("""COMPUTED_VALUE"""),"1.7kg")</f>
        <v>1.7kg</v>
      </c>
      <c r="M218" s="2">
        <f ca="1">IFERROR(__xludf.DUMMYFUNCTION("""COMPUTED_VALUE"""),1943)</f>
        <v>1943</v>
      </c>
    </row>
    <row r="219" spans="1:13">
      <c r="A219" s="2">
        <f ca="1">IFERROR(__xludf.DUMMYFUNCTION("""COMPUTED_VALUE"""),420)</f>
        <v>420</v>
      </c>
      <c r="B219" s="2" t="str">
        <f ca="1">IFERROR(__xludf.DUMMYFUNCTION("""COMPUTED_VALUE"""),"Acer")</f>
        <v>Acer</v>
      </c>
      <c r="C219" s="2" t="str">
        <f ca="1">IFERROR(__xludf.DUMMYFUNCTION("""COMPUTED_VALUE"""),"Aspire R7")</f>
        <v>Aspire R7</v>
      </c>
      <c r="D219" s="2" t="str">
        <f ca="1">IFERROR(__xludf.DUMMYFUNCTION("""COMPUTED_VALUE"""),"2 in 1 Convertible")</f>
        <v>2 in 1 Convertible</v>
      </c>
      <c r="E219" s="2">
        <f ca="1">IFERROR(__xludf.DUMMYFUNCTION("""COMPUTED_VALUE"""),13.3)</f>
        <v>13.3</v>
      </c>
      <c r="F219" s="2" t="str">
        <f ca="1">IFERROR(__xludf.DUMMYFUNCTION("""COMPUTED_VALUE"""),"IPS Panel Full HD / Touchscreen 1920x1080")</f>
        <v>IPS Panel Full HD / Touchscreen 1920x1080</v>
      </c>
      <c r="G219" s="2" t="str">
        <f ca="1">IFERROR(__xludf.DUMMYFUNCTION("""COMPUTED_VALUE"""),"Intel Core i7 6500U 2.5GHz")</f>
        <v>Intel Core i7 6500U 2.5GHz</v>
      </c>
      <c r="H219" s="2" t="str">
        <f ca="1">IFERROR(__xludf.DUMMYFUNCTION("""COMPUTED_VALUE"""),"8GB")</f>
        <v>8GB</v>
      </c>
      <c r="I219" s="2" t="str">
        <f ca="1">IFERROR(__xludf.DUMMYFUNCTION("""COMPUTED_VALUE"""),"256GB SSD")</f>
        <v>256GB SSD</v>
      </c>
      <c r="J219" s="2" t="str">
        <f ca="1">IFERROR(__xludf.DUMMYFUNCTION("""COMPUTED_VALUE"""),"Intel HD Graphics 520")</f>
        <v>Intel HD Graphics 520</v>
      </c>
      <c r="K219" s="2" t="str">
        <f ca="1">IFERROR(__xludf.DUMMYFUNCTION("""COMPUTED_VALUE"""),"Windows 10")</f>
        <v>Windows 10</v>
      </c>
      <c r="L219" s="2" t="str">
        <f ca="1">IFERROR(__xludf.DUMMYFUNCTION("""COMPUTED_VALUE"""),"1.6kg")</f>
        <v>1.6kg</v>
      </c>
      <c r="M219" s="2">
        <f ca="1">IFERROR(__xludf.DUMMYFUNCTION("""COMPUTED_VALUE"""),789.01)</f>
        <v>789.01</v>
      </c>
    </row>
    <row r="220" spans="1:13">
      <c r="A220" s="2">
        <f ca="1">IFERROR(__xludf.DUMMYFUNCTION("""COMPUTED_VALUE"""),421)</f>
        <v>421</v>
      </c>
      <c r="B220" s="2" t="str">
        <f ca="1">IFERROR(__xludf.DUMMYFUNCTION("""COMPUTED_VALUE"""),"Asus")</f>
        <v>Asus</v>
      </c>
      <c r="C220" s="2" t="str">
        <f ca="1">IFERROR(__xludf.DUMMYFUNCTION("""COMPUTED_VALUE"""),"ZenBook Flip")</f>
        <v>ZenBook Flip</v>
      </c>
      <c r="D220" s="2" t="str">
        <f ca="1">IFERROR(__xludf.DUMMYFUNCTION("""COMPUTED_VALUE"""),"2 in 1 Convertible")</f>
        <v>2 in 1 Convertible</v>
      </c>
      <c r="E220" s="2">
        <f ca="1">IFERROR(__xludf.DUMMYFUNCTION("""COMPUTED_VALUE"""),13.3)</f>
        <v>13.3</v>
      </c>
      <c r="F220" s="2" t="str">
        <f ca="1">IFERROR(__xludf.DUMMYFUNCTION("""COMPUTED_VALUE"""),"IPS Panel Full HD / Touchscreen 1920x1080")</f>
        <v>IPS Panel Full HD / Touchscreen 1920x1080</v>
      </c>
      <c r="G220" s="2" t="str">
        <f ca="1">IFERROR(__xludf.DUMMYFUNCTION("""COMPUTED_VALUE"""),"Intel Core i5 7200U 2.5GHz")</f>
        <v>Intel Core i5 7200U 2.5GHz</v>
      </c>
      <c r="H220" s="2" t="str">
        <f ca="1">IFERROR(__xludf.DUMMYFUNCTION("""COMPUTED_VALUE"""),"8GB")</f>
        <v>8GB</v>
      </c>
      <c r="I220" s="2" t="str">
        <f ca="1">IFERROR(__xludf.DUMMYFUNCTION("""COMPUTED_VALUE"""),"256GB SSD")</f>
        <v>256GB SSD</v>
      </c>
      <c r="J220" s="2" t="str">
        <f ca="1">IFERROR(__xludf.DUMMYFUNCTION("""COMPUTED_VALUE"""),"Intel HD Graphics 620")</f>
        <v>Intel HD Graphics 620</v>
      </c>
      <c r="K220" s="2" t="str">
        <f ca="1">IFERROR(__xludf.DUMMYFUNCTION("""COMPUTED_VALUE"""),"Windows 10")</f>
        <v>Windows 10</v>
      </c>
      <c r="L220" s="2" t="str">
        <f ca="1">IFERROR(__xludf.DUMMYFUNCTION("""COMPUTED_VALUE"""),"1.27kg")</f>
        <v>1.27kg</v>
      </c>
      <c r="M220" s="2">
        <f ca="1">IFERROR(__xludf.DUMMYFUNCTION("""COMPUTED_VALUE"""),928)</f>
        <v>928</v>
      </c>
    </row>
    <row r="221" spans="1:13">
      <c r="A221" s="2">
        <f ca="1">IFERROR(__xludf.DUMMYFUNCTION("""COMPUTED_VALUE"""),424)</f>
        <v>424</v>
      </c>
      <c r="B221" s="2" t="str">
        <f ca="1">IFERROR(__xludf.DUMMYFUNCTION("""COMPUTED_VALUE"""),"HP")</f>
        <v>HP</v>
      </c>
      <c r="C221" s="2" t="str">
        <f ca="1">IFERROR(__xludf.DUMMYFUNCTION("""COMPUTED_VALUE"""),"EliteBook 1040")</f>
        <v>EliteBook 1040</v>
      </c>
      <c r="D221" s="2" t="str">
        <f ca="1">IFERROR(__xludf.DUMMYFUNCTION("""COMPUTED_VALUE"""),"Ultrabook")</f>
        <v>Ultrabook</v>
      </c>
      <c r="E221" s="2">
        <f ca="1">IFERROR(__xludf.DUMMYFUNCTION("""COMPUTED_VALUE"""),14)</f>
        <v>14</v>
      </c>
      <c r="F221" s="2" t="str">
        <f ca="1">IFERROR(__xludf.DUMMYFUNCTION("""COMPUTED_VALUE"""),"Full HD 1920x1080")</f>
        <v>Full HD 1920x1080</v>
      </c>
      <c r="G221" s="2" t="str">
        <f ca="1">IFERROR(__xludf.DUMMYFUNCTION("""COMPUTED_VALUE"""),"Intel Core i7 6500U 2.5GHz")</f>
        <v>Intel Core i7 6500U 2.5GHz</v>
      </c>
      <c r="H221" s="2" t="str">
        <f ca="1">IFERROR(__xludf.DUMMYFUNCTION("""COMPUTED_VALUE"""),"8GB")</f>
        <v>8GB</v>
      </c>
      <c r="I221" s="2" t="str">
        <f ca="1">IFERROR(__xludf.DUMMYFUNCTION("""COMPUTED_VALUE"""),"256GB SSD")</f>
        <v>256GB SSD</v>
      </c>
      <c r="J221" s="2" t="str">
        <f ca="1">IFERROR(__xludf.DUMMYFUNCTION("""COMPUTED_VALUE"""),"Intel HD Graphics 520")</f>
        <v>Intel HD Graphics 520</v>
      </c>
      <c r="K221" s="2" t="str">
        <f ca="1">IFERROR(__xludf.DUMMYFUNCTION("""COMPUTED_VALUE"""),"Windows 10")</f>
        <v>Windows 10</v>
      </c>
      <c r="L221" s="2" t="str">
        <f ca="1">IFERROR(__xludf.DUMMYFUNCTION("""COMPUTED_VALUE"""),"1.43kg")</f>
        <v>1.43kg</v>
      </c>
      <c r="M221" s="2">
        <f ca="1">IFERROR(__xludf.DUMMYFUNCTION("""COMPUTED_VALUE"""),1500)</f>
        <v>1500</v>
      </c>
    </row>
    <row r="222" spans="1:13">
      <c r="A222" s="2">
        <f ca="1">IFERROR(__xludf.DUMMYFUNCTION("""COMPUTED_VALUE"""),425)</f>
        <v>425</v>
      </c>
      <c r="B222" s="2" t="str">
        <f ca="1">IFERROR(__xludf.DUMMYFUNCTION("""COMPUTED_VALUE"""),"Dell")</f>
        <v>Dell</v>
      </c>
      <c r="C222" s="2" t="str">
        <f ca="1">IFERROR(__xludf.DUMMYFUNCTION("""COMPUTED_VALUE"""),"Inspiron 3567")</f>
        <v>Inspiron 3567</v>
      </c>
      <c r="D222" s="2" t="str">
        <f ca="1">IFERROR(__xludf.DUMMYFUNCTION("""COMPUTED_VALUE"""),"Notebook")</f>
        <v>Notebook</v>
      </c>
      <c r="E222" s="2">
        <f ca="1">IFERROR(__xludf.DUMMYFUNCTION("""COMPUTED_VALUE"""),15.6)</f>
        <v>15.6</v>
      </c>
      <c r="F222" s="2" t="str">
        <f ca="1">IFERROR(__xludf.DUMMYFUNCTION("""COMPUTED_VALUE"""),"1366x768")</f>
        <v>1366x768</v>
      </c>
      <c r="G222" s="2" t="str">
        <f ca="1">IFERROR(__xludf.DUMMYFUNCTION("""COMPUTED_VALUE"""),"Intel Core i5 7200U 2.5GHz")</f>
        <v>Intel Core i5 7200U 2.5GHz</v>
      </c>
      <c r="H222" s="2" t="str">
        <f ca="1">IFERROR(__xludf.DUMMYFUNCTION("""COMPUTED_VALUE"""),"8GB")</f>
        <v>8GB</v>
      </c>
      <c r="I222" s="2" t="str">
        <f ca="1">IFERROR(__xludf.DUMMYFUNCTION("""COMPUTED_VALUE"""),"1TB HDD")</f>
        <v>1TB HDD</v>
      </c>
      <c r="J222" s="2" t="str">
        <f ca="1">IFERROR(__xludf.DUMMYFUNCTION("""COMPUTED_VALUE"""),"Intel HD Graphics 620")</f>
        <v>Intel HD Graphics 620</v>
      </c>
      <c r="K222" s="2" t="str">
        <f ca="1">IFERROR(__xludf.DUMMYFUNCTION("""COMPUTED_VALUE"""),"Windows 10")</f>
        <v>Windows 10</v>
      </c>
      <c r="L222" s="2" t="str">
        <f ca="1">IFERROR(__xludf.DUMMYFUNCTION("""COMPUTED_VALUE"""),"2.14kg")</f>
        <v>2.14kg</v>
      </c>
      <c r="M222" s="2">
        <f ca="1">IFERROR(__xludf.DUMMYFUNCTION("""COMPUTED_VALUE"""),539.95)</f>
        <v>539.95000000000005</v>
      </c>
    </row>
    <row r="223" spans="1:13">
      <c r="A223" s="2">
        <f ca="1">IFERROR(__xludf.DUMMYFUNCTION("""COMPUTED_VALUE"""),426)</f>
        <v>426</v>
      </c>
      <c r="B223" s="2" t="str">
        <f ca="1">IFERROR(__xludf.DUMMYFUNCTION("""COMPUTED_VALUE"""),"Lenovo")</f>
        <v>Lenovo</v>
      </c>
      <c r="C223" s="2" t="str">
        <f ca="1">IFERROR(__xludf.DUMMYFUNCTION("""COMPUTED_VALUE"""),"ThinkPad E480")</f>
        <v>ThinkPad E480</v>
      </c>
      <c r="D223" s="2" t="str">
        <f ca="1">IFERROR(__xludf.DUMMYFUNCTION("""COMPUTED_VALUE"""),"Ultrabook")</f>
        <v>Ultrabook</v>
      </c>
      <c r="E223" s="2">
        <f ca="1">IFERROR(__xludf.DUMMYFUNCTION("""COMPUTED_VALUE"""),14)</f>
        <v>14</v>
      </c>
      <c r="F223" s="2" t="str">
        <f ca="1">IFERROR(__xludf.DUMMYFUNCTION("""COMPUTED_VALUE"""),"IPS Panel Full HD 1920x1080")</f>
        <v>IPS Panel Full HD 1920x1080</v>
      </c>
      <c r="G223" s="2" t="str">
        <f ca="1">IFERROR(__xludf.DUMMYFUNCTION("""COMPUTED_VALUE"""),"Intel Core i7 8550U 1.8GHz")</f>
        <v>Intel Core i7 8550U 1.8GHz</v>
      </c>
      <c r="H223" s="2" t="str">
        <f ca="1">IFERROR(__xludf.DUMMYFUNCTION("""COMPUTED_VALUE"""),"8GB")</f>
        <v>8GB</v>
      </c>
      <c r="I223" s="2" t="str">
        <f ca="1">IFERROR(__xludf.DUMMYFUNCTION("""COMPUTED_VALUE"""),"256GB SSD")</f>
        <v>256GB SSD</v>
      </c>
      <c r="J223" s="2" t="str">
        <f ca="1">IFERROR(__xludf.DUMMYFUNCTION("""COMPUTED_VALUE"""),"AMD Radeon RX 550")</f>
        <v>AMD Radeon RX 550</v>
      </c>
      <c r="K223" s="2" t="str">
        <f ca="1">IFERROR(__xludf.DUMMYFUNCTION("""COMPUTED_VALUE"""),"Windows 10")</f>
        <v>Windows 10</v>
      </c>
      <c r="L223" s="2" t="str">
        <f ca="1">IFERROR(__xludf.DUMMYFUNCTION("""COMPUTED_VALUE"""),"1.75kg")</f>
        <v>1.75kg</v>
      </c>
      <c r="M223" s="2">
        <f ca="1">IFERROR(__xludf.DUMMYFUNCTION("""COMPUTED_VALUE"""),1215.38)</f>
        <v>1215.3800000000001</v>
      </c>
    </row>
    <row r="224" spans="1:13">
      <c r="A224" s="2">
        <f ca="1">IFERROR(__xludf.DUMMYFUNCTION("""COMPUTED_VALUE"""),429)</f>
        <v>429</v>
      </c>
      <c r="B224" s="2" t="str">
        <f ca="1">IFERROR(__xludf.DUMMYFUNCTION("""COMPUTED_VALUE"""),"HP")</f>
        <v>HP</v>
      </c>
      <c r="C224" s="2" t="str">
        <f ca="1">IFERROR(__xludf.DUMMYFUNCTION("""COMPUTED_VALUE"""),"ProBook 650")</f>
        <v>ProBook 650</v>
      </c>
      <c r="D224" s="2" t="str">
        <f ca="1">IFERROR(__xludf.DUMMYFUNCTION("""COMPUTED_VALUE"""),"Notebook")</f>
        <v>Notebook</v>
      </c>
      <c r="E224" s="2">
        <f ca="1">IFERROR(__xludf.DUMMYFUNCTION("""COMPUTED_VALUE"""),15.6)</f>
        <v>15.6</v>
      </c>
      <c r="F224" s="2" t="str">
        <f ca="1">IFERROR(__xludf.DUMMYFUNCTION("""COMPUTED_VALUE"""),"Full HD 1920x1080")</f>
        <v>Full HD 1920x1080</v>
      </c>
      <c r="G224" s="2" t="str">
        <f ca="1">IFERROR(__xludf.DUMMYFUNCTION("""COMPUTED_VALUE"""),"Intel Core i7 7820HQ 2.9GHz")</f>
        <v>Intel Core i7 7820HQ 2.9GHz</v>
      </c>
      <c r="H224" s="2" t="str">
        <f ca="1">IFERROR(__xludf.DUMMYFUNCTION("""COMPUTED_VALUE"""),"8GB")</f>
        <v>8GB</v>
      </c>
      <c r="I224" s="2" t="str">
        <f ca="1">IFERROR(__xludf.DUMMYFUNCTION("""COMPUTED_VALUE"""),"256GB SSD")</f>
        <v>256GB SSD</v>
      </c>
      <c r="J224" s="2" t="str">
        <f ca="1">IFERROR(__xludf.DUMMYFUNCTION("""COMPUTED_VALUE"""),"Intel HD Graphics 630")</f>
        <v>Intel HD Graphics 630</v>
      </c>
      <c r="K224" s="2" t="str">
        <f ca="1">IFERROR(__xludf.DUMMYFUNCTION("""COMPUTED_VALUE"""),"Windows 10")</f>
        <v>Windows 10</v>
      </c>
      <c r="L224" s="2" t="str">
        <f ca="1">IFERROR(__xludf.DUMMYFUNCTION("""COMPUTED_VALUE"""),"2.31kg")</f>
        <v>2.31kg</v>
      </c>
      <c r="M224" s="2">
        <f ca="1">IFERROR(__xludf.DUMMYFUNCTION("""COMPUTED_VALUE"""),1427)</f>
        <v>1427</v>
      </c>
    </row>
    <row r="225" spans="1:13">
      <c r="A225" s="2">
        <f ca="1">IFERROR(__xludf.DUMMYFUNCTION("""COMPUTED_VALUE"""),430)</f>
        <v>430</v>
      </c>
      <c r="B225" s="2" t="str">
        <f ca="1">IFERROR(__xludf.DUMMYFUNCTION("""COMPUTED_VALUE"""),"Asus")</f>
        <v>Asus</v>
      </c>
      <c r="C225" s="2" t="str">
        <f ca="1">IFERROR(__xludf.DUMMYFUNCTION("""COMPUTED_VALUE"""),"X542UQ-DM117 (i3-7100U/8GB/1TB/GeForce")</f>
        <v>X542UQ-DM117 (i3-7100U/8GB/1TB/GeForce</v>
      </c>
      <c r="D225" s="2" t="str">
        <f ca="1">IFERROR(__xludf.DUMMYFUNCTION("""COMPUTED_VALUE"""),"Notebook")</f>
        <v>Notebook</v>
      </c>
      <c r="E225" s="2">
        <f ca="1">IFERROR(__xludf.DUMMYFUNCTION("""COMPUTED_VALUE"""),15.6)</f>
        <v>15.6</v>
      </c>
      <c r="F225" s="2" t="str">
        <f ca="1">IFERROR(__xludf.DUMMYFUNCTION("""COMPUTED_VALUE"""),"Full HD 1920x1080")</f>
        <v>Full HD 1920x1080</v>
      </c>
      <c r="G225" s="2" t="str">
        <f ca="1">IFERROR(__xludf.DUMMYFUNCTION("""COMPUTED_VALUE"""),"Intel Core i3 7100U 2.4GHz")</f>
        <v>Intel Core i3 7100U 2.4GHz</v>
      </c>
      <c r="H225" s="2" t="str">
        <f ca="1">IFERROR(__xludf.DUMMYFUNCTION("""COMPUTED_VALUE"""),"8GB")</f>
        <v>8GB</v>
      </c>
      <c r="I225" s="2" t="str">
        <f ca="1">IFERROR(__xludf.DUMMYFUNCTION("""COMPUTED_VALUE"""),"1TB HDD")</f>
        <v>1TB HDD</v>
      </c>
      <c r="J225" s="2" t="str">
        <f ca="1">IFERROR(__xludf.DUMMYFUNCTION("""COMPUTED_VALUE"""),"Nvidia GeForce 940MX")</f>
        <v>Nvidia GeForce 940MX</v>
      </c>
      <c r="K225" s="2" t="str">
        <f ca="1">IFERROR(__xludf.DUMMYFUNCTION("""COMPUTED_VALUE"""),"Linux")</f>
        <v>Linux</v>
      </c>
      <c r="L225" s="2" t="str">
        <f ca="1">IFERROR(__xludf.DUMMYFUNCTION("""COMPUTED_VALUE"""),"2.3kg")</f>
        <v>2.3kg</v>
      </c>
      <c r="M225" s="2">
        <f ca="1">IFERROR(__xludf.DUMMYFUNCTION("""COMPUTED_VALUE"""),597)</f>
        <v>597</v>
      </c>
    </row>
    <row r="226" spans="1:13">
      <c r="A226" s="2">
        <f ca="1">IFERROR(__xludf.DUMMYFUNCTION("""COMPUTED_VALUE"""),432)</f>
        <v>432</v>
      </c>
      <c r="B226" s="2" t="str">
        <f ca="1">IFERROR(__xludf.DUMMYFUNCTION("""COMPUTED_VALUE"""),"Dell")</f>
        <v>Dell</v>
      </c>
      <c r="C226" s="2" t="str">
        <f ca="1">IFERROR(__xludf.DUMMYFUNCTION("""COMPUTED_VALUE"""),"Inspiron 7577")</f>
        <v>Inspiron 7577</v>
      </c>
      <c r="D226" s="2" t="str">
        <f ca="1">IFERROR(__xludf.DUMMYFUNCTION("""COMPUTED_VALUE"""),"Gaming")</f>
        <v>Gaming</v>
      </c>
      <c r="E226" s="2">
        <f ca="1">IFERROR(__xludf.DUMMYFUNCTION("""COMPUTED_VALUE"""),15.6)</f>
        <v>15.6</v>
      </c>
      <c r="F226" s="2" t="str">
        <f ca="1">IFERROR(__xludf.DUMMYFUNCTION("""COMPUTED_VALUE"""),"IPS Panel Full HD 1920x1080")</f>
        <v>IPS Panel Full HD 1920x1080</v>
      </c>
      <c r="G226" s="2" t="str">
        <f ca="1">IFERROR(__xludf.DUMMYFUNCTION("""COMPUTED_VALUE"""),"Intel Core i7 7700HQ 2.8GHz")</f>
        <v>Intel Core i7 7700HQ 2.8GHz</v>
      </c>
      <c r="H226" s="2" t="str">
        <f ca="1">IFERROR(__xludf.DUMMYFUNCTION("""COMPUTED_VALUE"""),"8GB")</f>
        <v>8GB</v>
      </c>
      <c r="I226" s="2" t="str">
        <f ca="1">IFERROR(__xludf.DUMMYFUNCTION("""COMPUTED_VALUE"""),"128GB SSD +  1TB HDD")</f>
        <v>128GB SSD +  1TB HDD</v>
      </c>
      <c r="J226" s="2" t="str">
        <f ca="1">IFERROR(__xludf.DUMMYFUNCTION("""COMPUTED_VALUE"""),"Nvidia GeForce GTX 1050 Ti")</f>
        <v>Nvidia GeForce GTX 1050 Ti</v>
      </c>
      <c r="K226" s="2" t="str">
        <f ca="1">IFERROR(__xludf.DUMMYFUNCTION("""COMPUTED_VALUE"""),"Windows 10")</f>
        <v>Windows 10</v>
      </c>
      <c r="L226" s="2" t="str">
        <f ca="1">IFERROR(__xludf.DUMMYFUNCTION("""COMPUTED_VALUE"""),"2.62kg")</f>
        <v>2.62kg</v>
      </c>
      <c r="M226" s="2">
        <f ca="1">IFERROR(__xludf.DUMMYFUNCTION("""COMPUTED_VALUE"""),1159)</f>
        <v>1159</v>
      </c>
    </row>
    <row r="227" spans="1:13">
      <c r="A227" s="2">
        <f ca="1">IFERROR(__xludf.DUMMYFUNCTION("""COMPUTED_VALUE"""),433)</f>
        <v>433</v>
      </c>
      <c r="B227" s="2" t="str">
        <f ca="1">IFERROR(__xludf.DUMMYFUNCTION("""COMPUTED_VALUE"""),"Dell")</f>
        <v>Dell</v>
      </c>
      <c r="C227" s="2" t="str">
        <f ca="1">IFERROR(__xludf.DUMMYFUNCTION("""COMPUTED_VALUE"""),"Inspiron 5570")</f>
        <v>Inspiron 5570</v>
      </c>
      <c r="D227" s="2" t="str">
        <f ca="1">IFERROR(__xludf.DUMMYFUNCTION("""COMPUTED_VALUE"""),"Notebook")</f>
        <v>Notebook</v>
      </c>
      <c r="E227" s="2">
        <f ca="1">IFERROR(__xludf.DUMMYFUNCTION("""COMPUTED_VALUE"""),15.6)</f>
        <v>15.6</v>
      </c>
      <c r="F227" s="2" t="str">
        <f ca="1">IFERROR(__xludf.DUMMYFUNCTION("""COMPUTED_VALUE"""),"Full HD 1920x1080")</f>
        <v>Full HD 1920x1080</v>
      </c>
      <c r="G227" s="2" t="str">
        <f ca="1">IFERROR(__xludf.DUMMYFUNCTION("""COMPUTED_VALUE"""),"Intel Core i7 8550U 1.8GHz")</f>
        <v>Intel Core i7 8550U 1.8GHz</v>
      </c>
      <c r="H227" s="2" t="str">
        <f ca="1">IFERROR(__xludf.DUMMYFUNCTION("""COMPUTED_VALUE"""),"8GB")</f>
        <v>8GB</v>
      </c>
      <c r="I227" s="2" t="str">
        <f ca="1">IFERROR(__xludf.DUMMYFUNCTION("""COMPUTED_VALUE"""),"256GB SSD +  2TB HDD")</f>
        <v>256GB SSD +  2TB HDD</v>
      </c>
      <c r="J227" s="2" t="str">
        <f ca="1">IFERROR(__xludf.DUMMYFUNCTION("""COMPUTED_VALUE"""),"AMD Radeon 530")</f>
        <v>AMD Radeon 530</v>
      </c>
      <c r="K227" s="2" t="str">
        <f ca="1">IFERROR(__xludf.DUMMYFUNCTION("""COMPUTED_VALUE"""),"Windows 10")</f>
        <v>Windows 10</v>
      </c>
      <c r="L227" s="2" t="str">
        <f ca="1">IFERROR(__xludf.DUMMYFUNCTION("""COMPUTED_VALUE"""),"2.02kg")</f>
        <v>2.02kg</v>
      </c>
      <c r="M227" s="2">
        <f ca="1">IFERROR(__xludf.DUMMYFUNCTION("""COMPUTED_VALUE"""),1142.4)</f>
        <v>1142.4000000000001</v>
      </c>
    </row>
    <row r="228" spans="1:13">
      <c r="A228" s="2">
        <f ca="1">IFERROR(__xludf.DUMMYFUNCTION("""COMPUTED_VALUE"""),434)</f>
        <v>434</v>
      </c>
      <c r="B228" s="2" t="str">
        <f ca="1">IFERROR(__xludf.DUMMYFUNCTION("""COMPUTED_VALUE"""),"Dell")</f>
        <v>Dell</v>
      </c>
      <c r="C228" s="2" t="str">
        <f ca="1">IFERROR(__xludf.DUMMYFUNCTION("""COMPUTED_VALUE"""),"Latitude 5480")</f>
        <v>Latitude 5480</v>
      </c>
      <c r="D228" s="2" t="str">
        <f ca="1">IFERROR(__xludf.DUMMYFUNCTION("""COMPUTED_VALUE"""),"Ultrabook")</f>
        <v>Ultrabook</v>
      </c>
      <c r="E228" s="2">
        <f ca="1">IFERROR(__xludf.DUMMYFUNCTION("""COMPUTED_VALUE"""),14)</f>
        <v>14</v>
      </c>
      <c r="F228" s="2" t="str">
        <f ca="1">IFERROR(__xludf.DUMMYFUNCTION("""COMPUTED_VALUE"""),"Full HD 1920x1080")</f>
        <v>Full HD 1920x1080</v>
      </c>
      <c r="G228" s="2" t="str">
        <f ca="1">IFERROR(__xludf.DUMMYFUNCTION("""COMPUTED_VALUE"""),"Intel Core i7 7600U 2.8GHz")</f>
        <v>Intel Core i7 7600U 2.8GHz</v>
      </c>
      <c r="H228" s="2" t="str">
        <f ca="1">IFERROR(__xludf.DUMMYFUNCTION("""COMPUTED_VALUE"""),"8GB")</f>
        <v>8GB</v>
      </c>
      <c r="I228" s="2" t="str">
        <f ca="1">IFERROR(__xludf.DUMMYFUNCTION("""COMPUTED_VALUE"""),"256GB SSD")</f>
        <v>256GB SSD</v>
      </c>
      <c r="J228" s="2" t="str">
        <f ca="1">IFERROR(__xludf.DUMMYFUNCTION("""COMPUTED_VALUE"""),"Intel HD Graphics 620")</f>
        <v>Intel HD Graphics 620</v>
      </c>
      <c r="K228" s="2" t="str">
        <f ca="1">IFERROR(__xludf.DUMMYFUNCTION("""COMPUTED_VALUE"""),"Linux")</f>
        <v>Linux</v>
      </c>
      <c r="L228" s="2" t="str">
        <f ca="1">IFERROR(__xludf.DUMMYFUNCTION("""COMPUTED_VALUE"""),"1.6kg")</f>
        <v>1.6kg</v>
      </c>
      <c r="M228" s="2">
        <f ca="1">IFERROR(__xludf.DUMMYFUNCTION("""COMPUTED_VALUE"""),1099)</f>
        <v>1099</v>
      </c>
    </row>
    <row r="229" spans="1:13">
      <c r="A229" s="2">
        <f ca="1">IFERROR(__xludf.DUMMYFUNCTION("""COMPUTED_VALUE"""),438)</f>
        <v>438</v>
      </c>
      <c r="B229" s="2" t="str">
        <f ca="1">IFERROR(__xludf.DUMMYFUNCTION("""COMPUTED_VALUE"""),"Lenovo")</f>
        <v>Lenovo</v>
      </c>
      <c r="C229" s="2" t="str">
        <f ca="1">IFERROR(__xludf.DUMMYFUNCTION("""COMPUTED_VALUE"""),"Thinkpad 13")</f>
        <v>Thinkpad 13</v>
      </c>
      <c r="D229" s="2" t="str">
        <f ca="1">IFERROR(__xludf.DUMMYFUNCTION("""COMPUTED_VALUE"""),"Notebook")</f>
        <v>Notebook</v>
      </c>
      <c r="E229" s="2">
        <f ca="1">IFERROR(__xludf.DUMMYFUNCTION("""COMPUTED_VALUE"""),13.3)</f>
        <v>13.3</v>
      </c>
      <c r="F229" s="2" t="str">
        <f ca="1">IFERROR(__xludf.DUMMYFUNCTION("""COMPUTED_VALUE"""),"IPS Panel Full HD 1920x1080")</f>
        <v>IPS Panel Full HD 1920x1080</v>
      </c>
      <c r="G229" s="2" t="str">
        <f ca="1">IFERROR(__xludf.DUMMYFUNCTION("""COMPUTED_VALUE"""),"Intel Core i7 7500U 2.7GHz")</f>
        <v>Intel Core i7 7500U 2.7GHz</v>
      </c>
      <c r="H229" s="2" t="str">
        <f ca="1">IFERROR(__xludf.DUMMYFUNCTION("""COMPUTED_VALUE"""),"8GB")</f>
        <v>8GB</v>
      </c>
      <c r="I229" s="2" t="str">
        <f ca="1">IFERROR(__xludf.DUMMYFUNCTION("""COMPUTED_VALUE"""),"256GB SSD")</f>
        <v>256GB SSD</v>
      </c>
      <c r="J229" s="2" t="str">
        <f ca="1">IFERROR(__xludf.DUMMYFUNCTION("""COMPUTED_VALUE"""),"Intel HD Graphics 620")</f>
        <v>Intel HD Graphics 620</v>
      </c>
      <c r="K229" s="2" t="str">
        <f ca="1">IFERROR(__xludf.DUMMYFUNCTION("""COMPUTED_VALUE"""),"Windows 10")</f>
        <v>Windows 10</v>
      </c>
      <c r="L229" s="2" t="str">
        <f ca="1">IFERROR(__xludf.DUMMYFUNCTION("""COMPUTED_VALUE"""),"1.4kg")</f>
        <v>1.4kg</v>
      </c>
      <c r="M229" s="2">
        <f ca="1">IFERROR(__xludf.DUMMYFUNCTION("""COMPUTED_VALUE"""),1010)</f>
        <v>1010</v>
      </c>
    </row>
    <row r="230" spans="1:13">
      <c r="A230" s="2">
        <f ca="1">IFERROR(__xludf.DUMMYFUNCTION("""COMPUTED_VALUE"""),442)</f>
        <v>442</v>
      </c>
      <c r="B230" s="2" t="str">
        <f ca="1">IFERROR(__xludf.DUMMYFUNCTION("""COMPUTED_VALUE"""),"Asus")</f>
        <v>Asus</v>
      </c>
      <c r="C230" s="2" t="str">
        <f ca="1">IFERROR(__xludf.DUMMYFUNCTION("""COMPUTED_VALUE"""),"Rog Strix")</f>
        <v>Rog Strix</v>
      </c>
      <c r="D230" s="2" t="str">
        <f ca="1">IFERROR(__xludf.DUMMYFUNCTION("""COMPUTED_VALUE"""),"Gaming")</f>
        <v>Gaming</v>
      </c>
      <c r="E230" s="2">
        <f ca="1">IFERROR(__xludf.DUMMYFUNCTION("""COMPUTED_VALUE"""),17.3)</f>
        <v>17.3</v>
      </c>
      <c r="F230" s="2" t="str">
        <f ca="1">IFERROR(__xludf.DUMMYFUNCTION("""COMPUTED_VALUE"""),"Full HD 1920x1080")</f>
        <v>Full HD 1920x1080</v>
      </c>
      <c r="G230" s="2" t="str">
        <f ca="1">IFERROR(__xludf.DUMMYFUNCTION("""COMPUTED_VALUE"""),"AMD Ryzen 1600 3.2GHz")</f>
        <v>AMD Ryzen 1600 3.2GHz</v>
      </c>
      <c r="H230" s="2" t="str">
        <f ca="1">IFERROR(__xludf.DUMMYFUNCTION("""COMPUTED_VALUE"""),"8GB")</f>
        <v>8GB</v>
      </c>
      <c r="I230" s="2" t="str">
        <f ca="1">IFERROR(__xludf.DUMMYFUNCTION("""COMPUTED_VALUE"""),"256GB SSD +  1TB HDD")</f>
        <v>256GB SSD +  1TB HDD</v>
      </c>
      <c r="J230" s="2" t="str">
        <f ca="1">IFERROR(__xludf.DUMMYFUNCTION("""COMPUTED_VALUE"""),"AMD Radeon RX 580")</f>
        <v>AMD Radeon RX 580</v>
      </c>
      <c r="K230" s="2" t="str">
        <f ca="1">IFERROR(__xludf.DUMMYFUNCTION("""COMPUTED_VALUE"""),"Windows 10")</f>
        <v>Windows 10</v>
      </c>
      <c r="L230" s="2" t="str">
        <f ca="1">IFERROR(__xludf.DUMMYFUNCTION("""COMPUTED_VALUE"""),"3.2kg")</f>
        <v>3.2kg</v>
      </c>
      <c r="M230" s="2">
        <f ca="1">IFERROR(__xludf.DUMMYFUNCTION("""COMPUTED_VALUE"""),1695)</f>
        <v>1695</v>
      </c>
    </row>
    <row r="231" spans="1:13">
      <c r="A231" s="2">
        <f ca="1">IFERROR(__xludf.DUMMYFUNCTION("""COMPUTED_VALUE"""),447)</f>
        <v>447</v>
      </c>
      <c r="B231" s="2" t="str">
        <f ca="1">IFERROR(__xludf.DUMMYFUNCTION("""COMPUTED_VALUE"""),"Lenovo")</f>
        <v>Lenovo</v>
      </c>
      <c r="C231" s="2" t="str">
        <f ca="1">IFERROR(__xludf.DUMMYFUNCTION("""COMPUTED_VALUE"""),"IdeaPad 320-15AST")</f>
        <v>IdeaPad 320-15AST</v>
      </c>
      <c r="D231" s="2" t="str">
        <f ca="1">IFERROR(__xludf.DUMMYFUNCTION("""COMPUTED_VALUE"""),"Notebook")</f>
        <v>Notebook</v>
      </c>
      <c r="E231" s="2">
        <f ca="1">IFERROR(__xludf.DUMMYFUNCTION("""COMPUTED_VALUE"""),17.3)</f>
        <v>17.3</v>
      </c>
      <c r="F231" s="2" t="str">
        <f ca="1">IFERROR(__xludf.DUMMYFUNCTION("""COMPUTED_VALUE"""),"1600x900")</f>
        <v>1600x900</v>
      </c>
      <c r="G231" s="2" t="str">
        <f ca="1">IFERROR(__xludf.DUMMYFUNCTION("""COMPUTED_VALUE"""),"AMD A6-Series 9220 2.5GHz")</f>
        <v>AMD A6-Series 9220 2.5GHz</v>
      </c>
      <c r="H231" s="2" t="str">
        <f ca="1">IFERROR(__xludf.DUMMYFUNCTION("""COMPUTED_VALUE"""),"8GB")</f>
        <v>8GB</v>
      </c>
      <c r="I231" s="2" t="str">
        <f ca="1">IFERROR(__xludf.DUMMYFUNCTION("""COMPUTED_VALUE"""),"1TB HDD")</f>
        <v>1TB HDD</v>
      </c>
      <c r="J231" s="2" t="str">
        <f ca="1">IFERROR(__xludf.DUMMYFUNCTION("""COMPUTED_VALUE"""),"AMD Radeon R4")</f>
        <v>AMD Radeon R4</v>
      </c>
      <c r="K231" s="2" t="str">
        <f ca="1">IFERROR(__xludf.DUMMYFUNCTION("""COMPUTED_VALUE"""),"Windows 10")</f>
        <v>Windows 10</v>
      </c>
      <c r="L231" s="2" t="str">
        <f ca="1">IFERROR(__xludf.DUMMYFUNCTION("""COMPUTED_VALUE"""),"2.8kg")</f>
        <v>2.8kg</v>
      </c>
      <c r="M231" s="2">
        <f ca="1">IFERROR(__xludf.DUMMYFUNCTION("""COMPUTED_VALUE"""),519)</f>
        <v>519</v>
      </c>
    </row>
    <row r="232" spans="1:13">
      <c r="A232" s="2">
        <f ca="1">IFERROR(__xludf.DUMMYFUNCTION("""COMPUTED_VALUE"""),449)</f>
        <v>449</v>
      </c>
      <c r="B232" s="2" t="str">
        <f ca="1">IFERROR(__xludf.DUMMYFUNCTION("""COMPUTED_VALUE"""),"Lenovo")</f>
        <v>Lenovo</v>
      </c>
      <c r="C232" s="2" t="str">
        <f ca="1">IFERROR(__xludf.DUMMYFUNCTION("""COMPUTED_VALUE"""),"ThinkPad X270")</f>
        <v>ThinkPad X270</v>
      </c>
      <c r="D232" s="2" t="str">
        <f ca="1">IFERROR(__xludf.DUMMYFUNCTION("""COMPUTED_VALUE"""),"Ultrabook")</f>
        <v>Ultrabook</v>
      </c>
      <c r="E232" s="2">
        <f ca="1">IFERROR(__xludf.DUMMYFUNCTION("""COMPUTED_VALUE"""),12.5)</f>
        <v>12.5</v>
      </c>
      <c r="F232" s="2" t="str">
        <f ca="1">IFERROR(__xludf.DUMMYFUNCTION("""COMPUTED_VALUE"""),"IPS Panel Full HD 1920x1080")</f>
        <v>IPS Panel Full HD 1920x1080</v>
      </c>
      <c r="G232" s="2" t="str">
        <f ca="1">IFERROR(__xludf.DUMMYFUNCTION("""COMPUTED_VALUE"""),"Intel Core i5 7200U 2.5GHz")</f>
        <v>Intel Core i5 7200U 2.5GHz</v>
      </c>
      <c r="H232" s="2" t="str">
        <f ca="1">IFERROR(__xludf.DUMMYFUNCTION("""COMPUTED_VALUE"""),"8GB")</f>
        <v>8GB</v>
      </c>
      <c r="I232" s="2" t="str">
        <f ca="1">IFERROR(__xludf.DUMMYFUNCTION("""COMPUTED_VALUE"""),"256GB SSD")</f>
        <v>256GB SSD</v>
      </c>
      <c r="J232" s="2" t="str">
        <f ca="1">IFERROR(__xludf.DUMMYFUNCTION("""COMPUTED_VALUE"""),"Intel HD Graphics 620")</f>
        <v>Intel HD Graphics 620</v>
      </c>
      <c r="K232" s="2" t="str">
        <f ca="1">IFERROR(__xludf.DUMMYFUNCTION("""COMPUTED_VALUE"""),"Windows 10")</f>
        <v>Windows 10</v>
      </c>
      <c r="L232" s="2" t="str">
        <f ca="1">IFERROR(__xludf.DUMMYFUNCTION("""COMPUTED_VALUE"""),"1.36kg")</f>
        <v>1.36kg</v>
      </c>
      <c r="M232" s="2">
        <f ca="1">IFERROR(__xludf.DUMMYFUNCTION("""COMPUTED_VALUE"""),1429)</f>
        <v>1429</v>
      </c>
    </row>
    <row r="233" spans="1:13">
      <c r="A233" s="2">
        <f ca="1">IFERROR(__xludf.DUMMYFUNCTION("""COMPUTED_VALUE"""),451)</f>
        <v>451</v>
      </c>
      <c r="B233" s="2" t="str">
        <f ca="1">IFERROR(__xludf.DUMMYFUNCTION("""COMPUTED_VALUE"""),"HP")</f>
        <v>HP</v>
      </c>
      <c r="C233" s="2" t="str">
        <f ca="1">IFERROR(__xludf.DUMMYFUNCTION("""COMPUTED_VALUE"""),"Omen 15-AX205na")</f>
        <v>Omen 15-AX205na</v>
      </c>
      <c r="D233" s="2" t="str">
        <f ca="1">IFERROR(__xludf.DUMMYFUNCTION("""COMPUTED_VALUE"""),"Gaming")</f>
        <v>Gaming</v>
      </c>
      <c r="E233" s="2">
        <f ca="1">IFERROR(__xludf.DUMMYFUNCTION("""COMPUTED_VALUE"""),15.6)</f>
        <v>15.6</v>
      </c>
      <c r="F233" s="2" t="str">
        <f ca="1">IFERROR(__xludf.DUMMYFUNCTION("""COMPUTED_VALUE"""),"IPS Panel Full HD 1920x1080")</f>
        <v>IPS Panel Full HD 1920x1080</v>
      </c>
      <c r="G233" s="2" t="str">
        <f ca="1">IFERROR(__xludf.DUMMYFUNCTION("""COMPUTED_VALUE"""),"Intel Core i7 7700HQ 2.8GHz")</f>
        <v>Intel Core i7 7700HQ 2.8GHz</v>
      </c>
      <c r="H233" s="2" t="str">
        <f ca="1">IFERROR(__xludf.DUMMYFUNCTION("""COMPUTED_VALUE"""),"8GB")</f>
        <v>8GB</v>
      </c>
      <c r="I233" s="2" t="str">
        <f ca="1">IFERROR(__xludf.DUMMYFUNCTION("""COMPUTED_VALUE"""),"128GB SSD +  1TB HDD")</f>
        <v>128GB SSD +  1TB HDD</v>
      </c>
      <c r="J233" s="2" t="str">
        <f ca="1">IFERROR(__xludf.DUMMYFUNCTION("""COMPUTED_VALUE"""),"Nvidia GeForce GTX 1050")</f>
        <v>Nvidia GeForce GTX 1050</v>
      </c>
      <c r="K233" s="2" t="str">
        <f ca="1">IFERROR(__xludf.DUMMYFUNCTION("""COMPUTED_VALUE"""),"Windows 10")</f>
        <v>Windows 10</v>
      </c>
      <c r="L233" s="2" t="str">
        <f ca="1">IFERROR(__xludf.DUMMYFUNCTION("""COMPUTED_VALUE"""),"2.2kg")</f>
        <v>2.2kg</v>
      </c>
      <c r="M233" s="2">
        <f ca="1">IFERROR(__xludf.DUMMYFUNCTION("""COMPUTED_VALUE"""),1099)</f>
        <v>1099</v>
      </c>
    </row>
    <row r="234" spans="1:13">
      <c r="A234" s="2">
        <f ca="1">IFERROR(__xludf.DUMMYFUNCTION("""COMPUTED_VALUE"""),452)</f>
        <v>452</v>
      </c>
      <c r="B234" s="2" t="str">
        <f ca="1">IFERROR(__xludf.DUMMYFUNCTION("""COMPUTED_VALUE"""),"Dell")</f>
        <v>Dell</v>
      </c>
      <c r="C234" s="2" t="str">
        <f ca="1">IFERROR(__xludf.DUMMYFUNCTION("""COMPUTED_VALUE"""),"Latitude 5480")</f>
        <v>Latitude 5480</v>
      </c>
      <c r="D234" s="2" t="str">
        <f ca="1">IFERROR(__xludf.DUMMYFUNCTION("""COMPUTED_VALUE"""),"Notebook")</f>
        <v>Notebook</v>
      </c>
      <c r="E234" s="2">
        <f ca="1">IFERROR(__xludf.DUMMYFUNCTION("""COMPUTED_VALUE"""),14)</f>
        <v>14</v>
      </c>
      <c r="F234" s="2" t="str">
        <f ca="1">IFERROR(__xludf.DUMMYFUNCTION("""COMPUTED_VALUE"""),"Full HD 1920x1080")</f>
        <v>Full HD 1920x1080</v>
      </c>
      <c r="G234" s="2" t="str">
        <f ca="1">IFERROR(__xludf.DUMMYFUNCTION("""COMPUTED_VALUE"""),"Intel Core i5 7440HQ 2.8GHz")</f>
        <v>Intel Core i5 7440HQ 2.8GHz</v>
      </c>
      <c r="H234" s="2" t="str">
        <f ca="1">IFERROR(__xludf.DUMMYFUNCTION("""COMPUTED_VALUE"""),"8GB")</f>
        <v>8GB</v>
      </c>
      <c r="I234" s="2" t="str">
        <f ca="1">IFERROR(__xludf.DUMMYFUNCTION("""COMPUTED_VALUE"""),"256GB SSD")</f>
        <v>256GB SSD</v>
      </c>
      <c r="J234" s="2" t="str">
        <f ca="1">IFERROR(__xludf.DUMMYFUNCTION("""COMPUTED_VALUE"""),"Nvidia GeForce 930MX")</f>
        <v>Nvidia GeForce 930MX</v>
      </c>
      <c r="K234" s="2" t="str">
        <f ca="1">IFERROR(__xludf.DUMMYFUNCTION("""COMPUTED_VALUE"""),"Windows 10")</f>
        <v>Windows 10</v>
      </c>
      <c r="L234" s="2" t="str">
        <f ca="1">IFERROR(__xludf.DUMMYFUNCTION("""COMPUTED_VALUE"""),"1.64kg")</f>
        <v>1.64kg</v>
      </c>
      <c r="M234" s="2">
        <f ca="1">IFERROR(__xludf.DUMMYFUNCTION("""COMPUTED_VALUE"""),1179)</f>
        <v>1179</v>
      </c>
    </row>
    <row r="235" spans="1:13">
      <c r="A235" s="2">
        <f ca="1">IFERROR(__xludf.DUMMYFUNCTION("""COMPUTED_VALUE"""),454)</f>
        <v>454</v>
      </c>
      <c r="B235" s="2" t="str">
        <f ca="1">IFERROR(__xludf.DUMMYFUNCTION("""COMPUTED_VALUE"""),"Dell")</f>
        <v>Dell</v>
      </c>
      <c r="C235" s="2" t="str">
        <f ca="1">IFERROR(__xludf.DUMMYFUNCTION("""COMPUTED_VALUE"""),"Precision 3520")</f>
        <v>Precision 3520</v>
      </c>
      <c r="D235" s="2" t="str">
        <f ca="1">IFERROR(__xludf.DUMMYFUNCTION("""COMPUTED_VALUE"""),"Workstation")</f>
        <v>Workstation</v>
      </c>
      <c r="E235" s="2">
        <f ca="1">IFERROR(__xludf.DUMMYFUNCTION("""COMPUTED_VALUE"""),15.6)</f>
        <v>15.6</v>
      </c>
      <c r="F235" s="2" t="str">
        <f ca="1">IFERROR(__xludf.DUMMYFUNCTION("""COMPUTED_VALUE"""),"Full HD 1920x1080")</f>
        <v>Full HD 1920x1080</v>
      </c>
      <c r="G235" s="2" t="str">
        <f ca="1">IFERROR(__xludf.DUMMYFUNCTION("""COMPUTED_VALUE"""),"Intel Xeon E3-1505M V6 3GHz")</f>
        <v>Intel Xeon E3-1505M V6 3GHz</v>
      </c>
      <c r="H235" s="2" t="str">
        <f ca="1">IFERROR(__xludf.DUMMYFUNCTION("""COMPUTED_VALUE"""),"8GB")</f>
        <v>8GB</v>
      </c>
      <c r="I235" s="2" t="str">
        <f ca="1">IFERROR(__xludf.DUMMYFUNCTION("""COMPUTED_VALUE"""),"64GB Flash Storage +  1TB HDD")</f>
        <v>64GB Flash Storage +  1TB HDD</v>
      </c>
      <c r="J235" s="2" t="str">
        <f ca="1">IFERROR(__xludf.DUMMYFUNCTION("""COMPUTED_VALUE"""),"Nvidia Quadro M620")</f>
        <v>Nvidia Quadro M620</v>
      </c>
      <c r="K235" s="2" t="str">
        <f ca="1">IFERROR(__xludf.DUMMYFUNCTION("""COMPUTED_VALUE"""),"Windows 10")</f>
        <v>Windows 10</v>
      </c>
      <c r="L235" s="2" t="str">
        <f ca="1">IFERROR(__xludf.DUMMYFUNCTION("""COMPUTED_VALUE"""),"2.23kg")</f>
        <v>2.23kg</v>
      </c>
      <c r="M235" s="2">
        <f ca="1">IFERROR(__xludf.DUMMYFUNCTION("""COMPUTED_VALUE"""),1993)</f>
        <v>1993</v>
      </c>
    </row>
    <row r="236" spans="1:13">
      <c r="A236" s="2">
        <f ca="1">IFERROR(__xludf.DUMMYFUNCTION("""COMPUTED_VALUE"""),455)</f>
        <v>455</v>
      </c>
      <c r="B236" s="2" t="str">
        <f ca="1">IFERROR(__xludf.DUMMYFUNCTION("""COMPUTED_VALUE"""),"MSI")</f>
        <v>MSI</v>
      </c>
      <c r="C236" s="2" t="str">
        <f ca="1">IFERROR(__xludf.DUMMYFUNCTION("""COMPUTED_VALUE"""),"GV62 7RD-1686NL")</f>
        <v>GV62 7RD-1686NL</v>
      </c>
      <c r="D236" s="2" t="str">
        <f ca="1">IFERROR(__xludf.DUMMYFUNCTION("""COMPUTED_VALUE"""),"Gaming")</f>
        <v>Gaming</v>
      </c>
      <c r="E236" s="2">
        <f ca="1">IFERROR(__xludf.DUMMYFUNCTION("""COMPUTED_VALUE"""),15.6)</f>
        <v>15.6</v>
      </c>
      <c r="F236" s="2" t="str">
        <f ca="1">IFERROR(__xludf.DUMMYFUNCTION("""COMPUTED_VALUE"""),"Full HD 1920x1080")</f>
        <v>Full HD 1920x1080</v>
      </c>
      <c r="G236" s="2" t="str">
        <f ca="1">IFERROR(__xludf.DUMMYFUNCTION("""COMPUTED_VALUE"""),"Intel Core i5 7300HQ 2.5GHz")</f>
        <v>Intel Core i5 7300HQ 2.5GHz</v>
      </c>
      <c r="H236" s="2" t="str">
        <f ca="1">IFERROR(__xludf.DUMMYFUNCTION("""COMPUTED_VALUE"""),"8GB")</f>
        <v>8GB</v>
      </c>
      <c r="I236" s="2" t="str">
        <f ca="1">IFERROR(__xludf.DUMMYFUNCTION("""COMPUTED_VALUE"""),"256GB SSD")</f>
        <v>256GB SSD</v>
      </c>
      <c r="J236" s="2" t="str">
        <f ca="1">IFERROR(__xludf.DUMMYFUNCTION("""COMPUTED_VALUE"""),"Nvidia GeForce GTX 1050")</f>
        <v>Nvidia GeForce GTX 1050</v>
      </c>
      <c r="K236" s="2" t="str">
        <f ca="1">IFERROR(__xludf.DUMMYFUNCTION("""COMPUTED_VALUE"""),"Windows 10")</f>
        <v>Windows 10</v>
      </c>
      <c r="L236" s="2" t="str">
        <f ca="1">IFERROR(__xludf.DUMMYFUNCTION("""COMPUTED_VALUE"""),"2.2kg")</f>
        <v>2.2kg</v>
      </c>
      <c r="M236" s="2">
        <f ca="1">IFERROR(__xludf.DUMMYFUNCTION("""COMPUTED_VALUE"""),1027.74)</f>
        <v>1027.74</v>
      </c>
    </row>
    <row r="237" spans="1:13">
      <c r="A237" s="2">
        <f ca="1">IFERROR(__xludf.DUMMYFUNCTION("""COMPUTED_VALUE"""),457)</f>
        <v>457</v>
      </c>
      <c r="B237" s="2" t="str">
        <f ca="1">IFERROR(__xludf.DUMMYFUNCTION("""COMPUTED_VALUE"""),"HP")</f>
        <v>HP</v>
      </c>
      <c r="C237" s="2" t="str">
        <f ca="1">IFERROR(__xludf.DUMMYFUNCTION("""COMPUTED_VALUE"""),"15-bs024nv (i5-7200U/8GB/128GB/W10)")</f>
        <v>15-bs024nv (i5-7200U/8GB/128GB/W10)</v>
      </c>
      <c r="D237" s="2" t="str">
        <f ca="1">IFERROR(__xludf.DUMMYFUNCTION("""COMPUTED_VALUE"""),"Notebook")</f>
        <v>Notebook</v>
      </c>
      <c r="E237" s="2">
        <f ca="1">IFERROR(__xludf.DUMMYFUNCTION("""COMPUTED_VALUE"""),15.6)</f>
        <v>15.6</v>
      </c>
      <c r="F237" s="2" t="str">
        <f ca="1">IFERROR(__xludf.DUMMYFUNCTION("""COMPUTED_VALUE"""),"1366x768")</f>
        <v>1366x768</v>
      </c>
      <c r="G237" s="2" t="str">
        <f ca="1">IFERROR(__xludf.DUMMYFUNCTION("""COMPUTED_VALUE"""),"Intel Core i5 7200U 2.5GHz")</f>
        <v>Intel Core i5 7200U 2.5GHz</v>
      </c>
      <c r="H237" s="2" t="str">
        <f ca="1">IFERROR(__xludf.DUMMYFUNCTION("""COMPUTED_VALUE"""),"8GB")</f>
        <v>8GB</v>
      </c>
      <c r="I237" s="2" t="str">
        <f ca="1">IFERROR(__xludf.DUMMYFUNCTION("""COMPUTED_VALUE"""),"128GB SSD")</f>
        <v>128GB SSD</v>
      </c>
      <c r="J237" s="2" t="str">
        <f ca="1">IFERROR(__xludf.DUMMYFUNCTION("""COMPUTED_VALUE"""),"Intel HD Graphics 620")</f>
        <v>Intel HD Graphics 620</v>
      </c>
      <c r="K237" s="2" t="str">
        <f ca="1">IFERROR(__xludf.DUMMYFUNCTION("""COMPUTED_VALUE"""),"Windows 10")</f>
        <v>Windows 10</v>
      </c>
      <c r="L237" s="2" t="str">
        <f ca="1">IFERROR(__xludf.DUMMYFUNCTION("""COMPUTED_VALUE"""),"1.91kg")</f>
        <v>1.91kg</v>
      </c>
      <c r="M237" s="2">
        <f ca="1">IFERROR(__xludf.DUMMYFUNCTION("""COMPUTED_VALUE"""),589)</f>
        <v>589</v>
      </c>
    </row>
    <row r="238" spans="1:13">
      <c r="A238" s="2">
        <f ca="1">IFERROR(__xludf.DUMMYFUNCTION("""COMPUTED_VALUE"""),459)</f>
        <v>459</v>
      </c>
      <c r="B238" s="2" t="str">
        <f ca="1">IFERROR(__xludf.DUMMYFUNCTION("""COMPUTED_VALUE"""),"HP")</f>
        <v>HP</v>
      </c>
      <c r="C238" s="2" t="str">
        <f ca="1">IFERROR(__xludf.DUMMYFUNCTION("""COMPUTED_VALUE"""),"ProBook 650")</f>
        <v>ProBook 650</v>
      </c>
      <c r="D238" s="2" t="str">
        <f ca="1">IFERROR(__xludf.DUMMYFUNCTION("""COMPUTED_VALUE"""),"Workstation")</f>
        <v>Workstation</v>
      </c>
      <c r="E238" s="2">
        <f ca="1">IFERROR(__xludf.DUMMYFUNCTION("""COMPUTED_VALUE"""),15.6)</f>
        <v>15.6</v>
      </c>
      <c r="F238" s="2" t="str">
        <f ca="1">IFERROR(__xludf.DUMMYFUNCTION("""COMPUTED_VALUE"""),"IPS Panel Full HD 1920x1080")</f>
        <v>IPS Panel Full HD 1920x1080</v>
      </c>
      <c r="G238" s="2" t="str">
        <f ca="1">IFERROR(__xludf.DUMMYFUNCTION("""COMPUTED_VALUE"""),"Intel Core i7 7820HQ 2.9GHz")</f>
        <v>Intel Core i7 7820HQ 2.9GHz</v>
      </c>
      <c r="H238" s="2" t="str">
        <f ca="1">IFERROR(__xludf.DUMMYFUNCTION("""COMPUTED_VALUE"""),"8GB")</f>
        <v>8GB</v>
      </c>
      <c r="I238" s="2" t="str">
        <f ca="1">IFERROR(__xludf.DUMMYFUNCTION("""COMPUTED_VALUE"""),"512GB SSD")</f>
        <v>512GB SSD</v>
      </c>
      <c r="J238" s="2" t="str">
        <f ca="1">IFERROR(__xludf.DUMMYFUNCTION("""COMPUTED_VALUE"""),"Intel HD Graphics 620")</f>
        <v>Intel HD Graphics 620</v>
      </c>
      <c r="K238" s="2" t="str">
        <f ca="1">IFERROR(__xludf.DUMMYFUNCTION("""COMPUTED_VALUE"""),"Windows 10")</f>
        <v>Windows 10</v>
      </c>
      <c r="L238" s="2" t="str">
        <f ca="1">IFERROR(__xludf.DUMMYFUNCTION("""COMPUTED_VALUE"""),"2.31kg")</f>
        <v>2.31kg</v>
      </c>
      <c r="M238" s="2">
        <f ca="1">IFERROR(__xludf.DUMMYFUNCTION("""COMPUTED_VALUE"""),1534)</f>
        <v>1534</v>
      </c>
    </row>
    <row r="239" spans="1:13">
      <c r="A239" s="2">
        <f ca="1">IFERROR(__xludf.DUMMYFUNCTION("""COMPUTED_VALUE"""),460)</f>
        <v>460</v>
      </c>
      <c r="B239" s="2" t="str">
        <f ca="1">IFERROR(__xludf.DUMMYFUNCTION("""COMPUTED_VALUE"""),"Lenovo")</f>
        <v>Lenovo</v>
      </c>
      <c r="C239" s="2" t="str">
        <f ca="1">IFERROR(__xludf.DUMMYFUNCTION("""COMPUTED_VALUE"""),"ThinkPad T470")</f>
        <v>ThinkPad T470</v>
      </c>
      <c r="D239" s="2" t="str">
        <f ca="1">IFERROR(__xludf.DUMMYFUNCTION("""COMPUTED_VALUE"""),"Notebook")</f>
        <v>Notebook</v>
      </c>
      <c r="E239" s="2">
        <f ca="1">IFERROR(__xludf.DUMMYFUNCTION("""COMPUTED_VALUE"""),14)</f>
        <v>14</v>
      </c>
      <c r="F239" s="2" t="str">
        <f ca="1">IFERROR(__xludf.DUMMYFUNCTION("""COMPUTED_VALUE"""),"Full HD 1920x1080")</f>
        <v>Full HD 1920x1080</v>
      </c>
      <c r="G239" s="2" t="str">
        <f ca="1">IFERROR(__xludf.DUMMYFUNCTION("""COMPUTED_VALUE"""),"Intel Core i5 7200U 2.5GHz")</f>
        <v>Intel Core i5 7200U 2.5GHz</v>
      </c>
      <c r="H239" s="2" t="str">
        <f ca="1">IFERROR(__xludf.DUMMYFUNCTION("""COMPUTED_VALUE"""),"8GB")</f>
        <v>8GB</v>
      </c>
      <c r="I239" s="2" t="str">
        <f ca="1">IFERROR(__xludf.DUMMYFUNCTION("""COMPUTED_VALUE"""),"256GB SSD")</f>
        <v>256GB SSD</v>
      </c>
      <c r="J239" s="2" t="str">
        <f ca="1">IFERROR(__xludf.DUMMYFUNCTION("""COMPUTED_VALUE"""),"Intel HD Graphics 620")</f>
        <v>Intel HD Graphics 620</v>
      </c>
      <c r="K239" s="2" t="str">
        <f ca="1">IFERROR(__xludf.DUMMYFUNCTION("""COMPUTED_VALUE"""),"Windows 10")</f>
        <v>Windows 10</v>
      </c>
      <c r="L239" s="2" t="str">
        <f ca="1">IFERROR(__xludf.DUMMYFUNCTION("""COMPUTED_VALUE"""),"1.65kg")</f>
        <v>1.65kg</v>
      </c>
      <c r="M239" s="2">
        <f ca="1">IFERROR(__xludf.DUMMYFUNCTION("""COMPUTED_VALUE"""),1345)</f>
        <v>1345</v>
      </c>
    </row>
    <row r="240" spans="1:13">
      <c r="A240" s="2">
        <f ca="1">IFERROR(__xludf.DUMMYFUNCTION("""COMPUTED_VALUE"""),461)</f>
        <v>461</v>
      </c>
      <c r="B240" s="2" t="str">
        <f ca="1">IFERROR(__xludf.DUMMYFUNCTION("""COMPUTED_VALUE"""),"Dell")</f>
        <v>Dell</v>
      </c>
      <c r="C240" s="2" t="str">
        <f ca="1">IFERROR(__xludf.DUMMYFUNCTION("""COMPUTED_VALUE"""),"Inspiron 5570")</f>
        <v>Inspiron 5570</v>
      </c>
      <c r="D240" s="2" t="str">
        <f ca="1">IFERROR(__xludf.DUMMYFUNCTION("""COMPUTED_VALUE"""),"Notebook")</f>
        <v>Notebook</v>
      </c>
      <c r="E240" s="2">
        <f ca="1">IFERROR(__xludf.DUMMYFUNCTION("""COMPUTED_VALUE"""),15.6)</f>
        <v>15.6</v>
      </c>
      <c r="F240" s="2" t="str">
        <f ca="1">IFERROR(__xludf.DUMMYFUNCTION("""COMPUTED_VALUE"""),"Full HD 1920x1080")</f>
        <v>Full HD 1920x1080</v>
      </c>
      <c r="G240" s="2" t="str">
        <f ca="1">IFERROR(__xludf.DUMMYFUNCTION("""COMPUTED_VALUE"""),"Intel Core i7 8550U 1.8GHz")</f>
        <v>Intel Core i7 8550U 1.8GHz</v>
      </c>
      <c r="H240" s="2" t="str">
        <f ca="1">IFERROR(__xludf.DUMMYFUNCTION("""COMPUTED_VALUE"""),"8GB")</f>
        <v>8GB</v>
      </c>
      <c r="I240" s="2" t="str">
        <f ca="1">IFERROR(__xludf.DUMMYFUNCTION("""COMPUTED_VALUE"""),"128GB SSD +  1TB HDD")</f>
        <v>128GB SSD +  1TB HDD</v>
      </c>
      <c r="J240" s="2" t="str">
        <f ca="1">IFERROR(__xludf.DUMMYFUNCTION("""COMPUTED_VALUE"""),"AMD Radeon 530")</f>
        <v>AMD Radeon 530</v>
      </c>
      <c r="K240" s="2" t="str">
        <f ca="1">IFERROR(__xludf.DUMMYFUNCTION("""COMPUTED_VALUE"""),"Windows 10")</f>
        <v>Windows 10</v>
      </c>
      <c r="L240" s="2" t="str">
        <f ca="1">IFERROR(__xludf.DUMMYFUNCTION("""COMPUTED_VALUE"""),"2.36kg")</f>
        <v>2.36kg</v>
      </c>
      <c r="M240" s="2">
        <f ca="1">IFERROR(__xludf.DUMMYFUNCTION("""COMPUTED_VALUE"""),979)</f>
        <v>979</v>
      </c>
    </row>
    <row r="241" spans="1:13">
      <c r="A241" s="2">
        <f ca="1">IFERROR(__xludf.DUMMYFUNCTION("""COMPUTED_VALUE"""),463)</f>
        <v>463</v>
      </c>
      <c r="B241" s="2" t="str">
        <f ca="1">IFERROR(__xludf.DUMMYFUNCTION("""COMPUTED_VALUE"""),"Dell")</f>
        <v>Dell</v>
      </c>
      <c r="C241" s="2" t="str">
        <f ca="1">IFERROR(__xludf.DUMMYFUNCTION("""COMPUTED_VALUE"""),"Alienware 17")</f>
        <v>Alienware 17</v>
      </c>
      <c r="D241" s="2" t="str">
        <f ca="1">IFERROR(__xludf.DUMMYFUNCTION("""COMPUTED_VALUE"""),"Notebook")</f>
        <v>Notebook</v>
      </c>
      <c r="E241" s="2">
        <f ca="1">IFERROR(__xludf.DUMMYFUNCTION("""COMPUTED_VALUE"""),17.3)</f>
        <v>17.3</v>
      </c>
      <c r="F241" s="2" t="str">
        <f ca="1">IFERROR(__xludf.DUMMYFUNCTION("""COMPUTED_VALUE"""),"IPS Panel Full HD 1920x1080")</f>
        <v>IPS Panel Full HD 1920x1080</v>
      </c>
      <c r="G241" s="2" t="str">
        <f ca="1">IFERROR(__xludf.DUMMYFUNCTION("""COMPUTED_VALUE"""),"Intel Core i7 7700HQ 2.7GHz")</f>
        <v>Intel Core i7 7700HQ 2.7GHz</v>
      </c>
      <c r="H241" s="2" t="str">
        <f ca="1">IFERROR(__xludf.DUMMYFUNCTION("""COMPUTED_VALUE"""),"8GB")</f>
        <v>8GB</v>
      </c>
      <c r="I241" s="2" t="str">
        <f ca="1">IFERROR(__xludf.DUMMYFUNCTION("""COMPUTED_VALUE"""),"1TB HDD")</f>
        <v>1TB HDD</v>
      </c>
      <c r="J241" s="2" t="str">
        <f ca="1">IFERROR(__xludf.DUMMYFUNCTION("""COMPUTED_VALUE"""),"Nvidia GeForce GTX 1060")</f>
        <v>Nvidia GeForce GTX 1060</v>
      </c>
      <c r="K241" s="2" t="str">
        <f ca="1">IFERROR(__xludf.DUMMYFUNCTION("""COMPUTED_VALUE"""),"Windows 10")</f>
        <v>Windows 10</v>
      </c>
      <c r="L241" s="2" t="str">
        <f ca="1">IFERROR(__xludf.DUMMYFUNCTION("""COMPUTED_VALUE"""),"4.42kg")</f>
        <v>4.42kg</v>
      </c>
      <c r="M241" s="2">
        <f ca="1">IFERROR(__xludf.DUMMYFUNCTION("""COMPUTED_VALUE"""),2046)</f>
        <v>2046</v>
      </c>
    </row>
    <row r="242" spans="1:13">
      <c r="A242" s="2">
        <f ca="1">IFERROR(__xludf.DUMMYFUNCTION("""COMPUTED_VALUE"""),465)</f>
        <v>465</v>
      </c>
      <c r="B242" s="2" t="str">
        <f ca="1">IFERROR(__xludf.DUMMYFUNCTION("""COMPUTED_VALUE"""),"Microsoft")</f>
        <v>Microsoft</v>
      </c>
      <c r="C242" s="2" t="str">
        <f ca="1">IFERROR(__xludf.DUMMYFUNCTION("""COMPUTED_VALUE"""),"Surface Laptop")</f>
        <v>Surface Laptop</v>
      </c>
      <c r="D242" s="2" t="str">
        <f ca="1">IFERROR(__xludf.DUMMYFUNCTION("""COMPUTED_VALUE"""),"Ultrabook")</f>
        <v>Ultrabook</v>
      </c>
      <c r="E242" s="2">
        <f ca="1">IFERROR(__xludf.DUMMYFUNCTION("""COMPUTED_VALUE"""),13.5)</f>
        <v>13.5</v>
      </c>
      <c r="F242" s="2" t="str">
        <f ca="1">IFERROR(__xludf.DUMMYFUNCTION("""COMPUTED_VALUE"""),"Touchscreen 2256x1504")</f>
        <v>Touchscreen 2256x1504</v>
      </c>
      <c r="G242" s="2" t="str">
        <f ca="1">IFERROR(__xludf.DUMMYFUNCTION("""COMPUTED_VALUE"""),"Intel Core i7 7660U 2.5GHz")</f>
        <v>Intel Core i7 7660U 2.5GHz</v>
      </c>
      <c r="H242" s="2" t="str">
        <f ca="1">IFERROR(__xludf.DUMMYFUNCTION("""COMPUTED_VALUE"""),"8GB")</f>
        <v>8GB</v>
      </c>
      <c r="I242" s="2" t="str">
        <f ca="1">IFERROR(__xludf.DUMMYFUNCTION("""COMPUTED_VALUE"""),"256GB SSD")</f>
        <v>256GB SSD</v>
      </c>
      <c r="J242" s="2" t="str">
        <f ca="1">IFERROR(__xludf.DUMMYFUNCTION("""COMPUTED_VALUE"""),"Intel Iris Plus Graphics 640")</f>
        <v>Intel Iris Plus Graphics 640</v>
      </c>
      <c r="K242" s="2" t="str">
        <f ca="1">IFERROR(__xludf.DUMMYFUNCTION("""COMPUTED_VALUE"""),"Windows 10 S")</f>
        <v>Windows 10 S</v>
      </c>
      <c r="L242" s="2" t="str">
        <f ca="1">IFERROR(__xludf.DUMMYFUNCTION("""COMPUTED_VALUE"""),"1.25kg")</f>
        <v>1.25kg</v>
      </c>
      <c r="M242" s="2">
        <f ca="1">IFERROR(__xludf.DUMMYFUNCTION("""COMPUTED_VALUE"""),1799)</f>
        <v>1799</v>
      </c>
    </row>
    <row r="243" spans="1:13">
      <c r="A243" s="2">
        <f ca="1">IFERROR(__xludf.DUMMYFUNCTION("""COMPUTED_VALUE"""),466)</f>
        <v>466</v>
      </c>
      <c r="B243" s="2" t="str">
        <f ca="1">IFERROR(__xludf.DUMMYFUNCTION("""COMPUTED_VALUE"""),"HP")</f>
        <v>HP</v>
      </c>
      <c r="C243" s="2" t="str">
        <f ca="1">IFERROR(__xludf.DUMMYFUNCTION("""COMPUTED_VALUE"""),"17-BS092ND (i3-6006U/8GB/256GB/W10)")</f>
        <v>17-BS092ND (i3-6006U/8GB/256GB/W10)</v>
      </c>
      <c r="D243" s="2" t="str">
        <f ca="1">IFERROR(__xludf.DUMMYFUNCTION("""COMPUTED_VALUE"""),"Notebook")</f>
        <v>Notebook</v>
      </c>
      <c r="E243" s="2">
        <f ca="1">IFERROR(__xludf.DUMMYFUNCTION("""COMPUTED_VALUE"""),17.3)</f>
        <v>17.3</v>
      </c>
      <c r="F243" s="2" t="str">
        <f ca="1">IFERROR(__xludf.DUMMYFUNCTION("""COMPUTED_VALUE"""),"1600x900")</f>
        <v>1600x900</v>
      </c>
      <c r="G243" s="2" t="str">
        <f ca="1">IFERROR(__xludf.DUMMYFUNCTION("""COMPUTED_VALUE"""),"Intel Core i3 6006U 2GHz")</f>
        <v>Intel Core i3 6006U 2GHz</v>
      </c>
      <c r="H243" s="2" t="str">
        <f ca="1">IFERROR(__xludf.DUMMYFUNCTION("""COMPUTED_VALUE"""),"8GB")</f>
        <v>8GB</v>
      </c>
      <c r="I243" s="2" t="str">
        <f ca="1">IFERROR(__xludf.DUMMYFUNCTION("""COMPUTED_VALUE"""),"256GB SSD")</f>
        <v>256GB SSD</v>
      </c>
      <c r="J243" s="2" t="str">
        <f ca="1">IFERROR(__xludf.DUMMYFUNCTION("""COMPUTED_VALUE"""),"Intel HD Graphics 520")</f>
        <v>Intel HD Graphics 520</v>
      </c>
      <c r="K243" s="2" t="str">
        <f ca="1">IFERROR(__xludf.DUMMYFUNCTION("""COMPUTED_VALUE"""),"Windows 10")</f>
        <v>Windows 10</v>
      </c>
      <c r="L243" s="2" t="str">
        <f ca="1">IFERROR(__xludf.DUMMYFUNCTION("""COMPUTED_VALUE"""),"2.5kg")</f>
        <v>2.5kg</v>
      </c>
      <c r="M243" s="2">
        <f ca="1">IFERROR(__xludf.DUMMYFUNCTION("""COMPUTED_VALUE"""),639.9)</f>
        <v>639.9</v>
      </c>
    </row>
    <row r="244" spans="1:13">
      <c r="A244" s="2">
        <f ca="1">IFERROR(__xludf.DUMMYFUNCTION("""COMPUTED_VALUE"""),469)</f>
        <v>469</v>
      </c>
      <c r="B244" s="2" t="str">
        <f ca="1">IFERROR(__xludf.DUMMYFUNCTION("""COMPUTED_VALUE"""),"Asus")</f>
        <v>Asus</v>
      </c>
      <c r="C244" s="2" t="str">
        <f ca="1">IFERROR(__xludf.DUMMYFUNCTION("""COMPUTED_VALUE"""),"Pro P2540UA-AB51")</f>
        <v>Pro P2540UA-AB51</v>
      </c>
      <c r="D244" s="2" t="str">
        <f ca="1">IFERROR(__xludf.DUMMYFUNCTION("""COMPUTED_VALUE"""),"Notebook")</f>
        <v>Notebook</v>
      </c>
      <c r="E244" s="2">
        <f ca="1">IFERROR(__xludf.DUMMYFUNCTION("""COMPUTED_VALUE"""),15.6)</f>
        <v>15.6</v>
      </c>
      <c r="F244" s="2" t="str">
        <f ca="1">IFERROR(__xludf.DUMMYFUNCTION("""COMPUTED_VALUE"""),"Full HD 1920x1080")</f>
        <v>Full HD 1920x1080</v>
      </c>
      <c r="G244" s="2" t="str">
        <f ca="1">IFERROR(__xludf.DUMMYFUNCTION("""COMPUTED_VALUE"""),"Intel Core i5 7200U 2.5GHz")</f>
        <v>Intel Core i5 7200U 2.5GHz</v>
      </c>
      <c r="H244" s="2" t="str">
        <f ca="1">IFERROR(__xludf.DUMMYFUNCTION("""COMPUTED_VALUE"""),"8GB")</f>
        <v>8GB</v>
      </c>
      <c r="I244" s="2" t="str">
        <f ca="1">IFERROR(__xludf.DUMMYFUNCTION("""COMPUTED_VALUE"""),"1TB HDD")</f>
        <v>1TB HDD</v>
      </c>
      <c r="J244" s="2" t="str">
        <f ca="1">IFERROR(__xludf.DUMMYFUNCTION("""COMPUTED_VALUE"""),"Intel HD Graphics 620")</f>
        <v>Intel HD Graphics 620</v>
      </c>
      <c r="K244" s="2" t="str">
        <f ca="1">IFERROR(__xludf.DUMMYFUNCTION("""COMPUTED_VALUE"""),"Windows 10")</f>
        <v>Windows 10</v>
      </c>
      <c r="L244" s="2" t="str">
        <f ca="1">IFERROR(__xludf.DUMMYFUNCTION("""COMPUTED_VALUE"""),"2.37kg")</f>
        <v>2.37kg</v>
      </c>
      <c r="M244" s="2">
        <f ca="1">IFERROR(__xludf.DUMMYFUNCTION("""COMPUTED_VALUE"""),749)</f>
        <v>749</v>
      </c>
    </row>
    <row r="245" spans="1:13">
      <c r="A245" s="2">
        <f ca="1">IFERROR(__xludf.DUMMYFUNCTION("""COMPUTED_VALUE"""),470)</f>
        <v>470</v>
      </c>
      <c r="B245" s="2" t="str">
        <f ca="1">IFERROR(__xludf.DUMMYFUNCTION("""COMPUTED_VALUE"""),"Lenovo")</f>
        <v>Lenovo</v>
      </c>
      <c r="C245" s="2" t="str">
        <f ca="1">IFERROR(__xludf.DUMMYFUNCTION("""COMPUTED_VALUE"""),"IdeaPad 510s-14IKB")</f>
        <v>IdeaPad 510s-14IKB</v>
      </c>
      <c r="D245" s="2" t="str">
        <f ca="1">IFERROR(__xludf.DUMMYFUNCTION("""COMPUTED_VALUE"""),"Notebook")</f>
        <v>Notebook</v>
      </c>
      <c r="E245" s="2">
        <f ca="1">IFERROR(__xludf.DUMMYFUNCTION("""COMPUTED_VALUE"""),14)</f>
        <v>14</v>
      </c>
      <c r="F245" s="2" t="str">
        <f ca="1">IFERROR(__xludf.DUMMYFUNCTION("""COMPUTED_VALUE"""),"IPS Panel Full HD 1920x1080")</f>
        <v>IPS Panel Full HD 1920x1080</v>
      </c>
      <c r="G245" s="2" t="str">
        <f ca="1">IFERROR(__xludf.DUMMYFUNCTION("""COMPUTED_VALUE"""),"Intel Core i7 7500U 2.7GHz")</f>
        <v>Intel Core i7 7500U 2.7GHz</v>
      </c>
      <c r="H245" s="2" t="str">
        <f ca="1">IFERROR(__xludf.DUMMYFUNCTION("""COMPUTED_VALUE"""),"8GB")</f>
        <v>8GB</v>
      </c>
      <c r="I245" s="2" t="str">
        <f ca="1">IFERROR(__xludf.DUMMYFUNCTION("""COMPUTED_VALUE"""),"512GB SSD")</f>
        <v>512GB SSD</v>
      </c>
      <c r="J245" s="2" t="str">
        <f ca="1">IFERROR(__xludf.DUMMYFUNCTION("""COMPUTED_VALUE"""),"AMD Radeon R7 M460")</f>
        <v>AMD Radeon R7 M460</v>
      </c>
      <c r="K245" s="2" t="str">
        <f ca="1">IFERROR(__xludf.DUMMYFUNCTION("""COMPUTED_VALUE"""),"No OS")</f>
        <v>No OS</v>
      </c>
      <c r="L245" s="2" t="str">
        <f ca="1">IFERROR(__xludf.DUMMYFUNCTION("""COMPUTED_VALUE"""),"1.5kg")</f>
        <v>1.5kg</v>
      </c>
      <c r="M245" s="2">
        <f ca="1">IFERROR(__xludf.DUMMYFUNCTION("""COMPUTED_VALUE"""),799)</f>
        <v>799</v>
      </c>
    </row>
    <row r="246" spans="1:13">
      <c r="A246" s="2">
        <f ca="1">IFERROR(__xludf.DUMMYFUNCTION("""COMPUTED_VALUE"""),471)</f>
        <v>471</v>
      </c>
      <c r="B246" s="2" t="str">
        <f ca="1">IFERROR(__xludf.DUMMYFUNCTION("""COMPUTED_VALUE"""),"Lenovo")</f>
        <v>Lenovo</v>
      </c>
      <c r="C246" s="2" t="str">
        <f ca="1">IFERROR(__xludf.DUMMYFUNCTION("""COMPUTED_VALUE"""),"Thinkpad P51")</f>
        <v>Thinkpad P51</v>
      </c>
      <c r="D246" s="2" t="str">
        <f ca="1">IFERROR(__xludf.DUMMYFUNCTION("""COMPUTED_VALUE"""),"Notebook")</f>
        <v>Notebook</v>
      </c>
      <c r="E246" s="2">
        <f ca="1">IFERROR(__xludf.DUMMYFUNCTION("""COMPUTED_VALUE"""),15.6)</f>
        <v>15.6</v>
      </c>
      <c r="F246" s="2" t="str">
        <f ca="1">IFERROR(__xludf.DUMMYFUNCTION("""COMPUTED_VALUE"""),"Full HD 1920x1080")</f>
        <v>Full HD 1920x1080</v>
      </c>
      <c r="G246" s="2" t="str">
        <f ca="1">IFERROR(__xludf.DUMMYFUNCTION("""COMPUTED_VALUE"""),"Intel Core i7 7820HQ 2.9GHz")</f>
        <v>Intel Core i7 7820HQ 2.9GHz</v>
      </c>
      <c r="H246" s="2" t="str">
        <f ca="1">IFERROR(__xludf.DUMMYFUNCTION("""COMPUTED_VALUE"""),"8GB")</f>
        <v>8GB</v>
      </c>
      <c r="I246" s="2" t="str">
        <f ca="1">IFERROR(__xludf.DUMMYFUNCTION("""COMPUTED_VALUE"""),"256GB SSD")</f>
        <v>256GB SSD</v>
      </c>
      <c r="J246" s="2" t="str">
        <f ca="1">IFERROR(__xludf.DUMMYFUNCTION("""COMPUTED_VALUE"""),"Nvidia Quadro M2200M")</f>
        <v>Nvidia Quadro M2200M</v>
      </c>
      <c r="K246" s="2" t="str">
        <f ca="1">IFERROR(__xludf.DUMMYFUNCTION("""COMPUTED_VALUE"""),"Windows 10")</f>
        <v>Windows 10</v>
      </c>
      <c r="L246" s="2" t="str">
        <f ca="1">IFERROR(__xludf.DUMMYFUNCTION("""COMPUTED_VALUE"""),"2.67kg")</f>
        <v>2.67kg</v>
      </c>
      <c r="M246" s="2">
        <f ca="1">IFERROR(__xludf.DUMMYFUNCTION("""COMPUTED_VALUE"""),2090)</f>
        <v>2090</v>
      </c>
    </row>
    <row r="247" spans="1:13">
      <c r="A247" s="2">
        <f ca="1">IFERROR(__xludf.DUMMYFUNCTION("""COMPUTED_VALUE"""),474)</f>
        <v>474</v>
      </c>
      <c r="B247" s="2" t="str">
        <f ca="1">IFERROR(__xludf.DUMMYFUNCTION("""COMPUTED_VALUE"""),"Dell")</f>
        <v>Dell</v>
      </c>
      <c r="C247" s="2" t="str">
        <f ca="1">IFERROR(__xludf.DUMMYFUNCTION("""COMPUTED_VALUE"""),"Inspiron 5570")</f>
        <v>Inspiron 5570</v>
      </c>
      <c r="D247" s="2" t="str">
        <f ca="1">IFERROR(__xludf.DUMMYFUNCTION("""COMPUTED_VALUE"""),"Notebook")</f>
        <v>Notebook</v>
      </c>
      <c r="E247" s="2">
        <f ca="1">IFERROR(__xludf.DUMMYFUNCTION("""COMPUTED_VALUE"""),15.6)</f>
        <v>15.6</v>
      </c>
      <c r="F247" s="2" t="str">
        <f ca="1">IFERROR(__xludf.DUMMYFUNCTION("""COMPUTED_VALUE"""),"Full HD 1920x1080")</f>
        <v>Full HD 1920x1080</v>
      </c>
      <c r="G247" s="2" t="str">
        <f ca="1">IFERROR(__xludf.DUMMYFUNCTION("""COMPUTED_VALUE"""),"Intel Core i5 8250U 1.6GHz")</f>
        <v>Intel Core i5 8250U 1.6GHz</v>
      </c>
      <c r="H247" s="2" t="str">
        <f ca="1">IFERROR(__xludf.DUMMYFUNCTION("""COMPUTED_VALUE"""),"8GB")</f>
        <v>8GB</v>
      </c>
      <c r="I247" s="2" t="str">
        <f ca="1">IFERROR(__xludf.DUMMYFUNCTION("""COMPUTED_VALUE"""),"2TB HDD")</f>
        <v>2TB HDD</v>
      </c>
      <c r="J247" s="2" t="str">
        <f ca="1">IFERROR(__xludf.DUMMYFUNCTION("""COMPUTED_VALUE"""),"AMD Radeon 530")</f>
        <v>AMD Radeon 530</v>
      </c>
      <c r="K247" s="2" t="str">
        <f ca="1">IFERROR(__xludf.DUMMYFUNCTION("""COMPUTED_VALUE"""),"Windows 10")</f>
        <v>Windows 10</v>
      </c>
      <c r="L247" s="2" t="str">
        <f ca="1">IFERROR(__xludf.DUMMYFUNCTION("""COMPUTED_VALUE"""),"2.02kg")</f>
        <v>2.02kg</v>
      </c>
      <c r="M247" s="2">
        <f ca="1">IFERROR(__xludf.DUMMYFUNCTION("""COMPUTED_VALUE"""),759)</f>
        <v>759</v>
      </c>
    </row>
    <row r="248" spans="1:13">
      <c r="A248" s="2">
        <f ca="1">IFERROR(__xludf.DUMMYFUNCTION("""COMPUTED_VALUE"""),477)</f>
        <v>477</v>
      </c>
      <c r="B248" s="2" t="str">
        <f ca="1">IFERROR(__xludf.DUMMYFUNCTION("""COMPUTED_VALUE"""),"HP")</f>
        <v>HP</v>
      </c>
      <c r="C248" s="2" t="str">
        <f ca="1">IFERROR(__xludf.DUMMYFUNCTION("""COMPUTED_VALUE"""),"Spectre x360")</f>
        <v>Spectre x360</v>
      </c>
      <c r="D248" s="2" t="str">
        <f ca="1">IFERROR(__xludf.DUMMYFUNCTION("""COMPUTED_VALUE"""),"2 in 1 Convertible")</f>
        <v>2 in 1 Convertible</v>
      </c>
      <c r="E248" s="2">
        <f ca="1">IFERROR(__xludf.DUMMYFUNCTION("""COMPUTED_VALUE"""),13.3)</f>
        <v>13.3</v>
      </c>
      <c r="F248" s="2" t="str">
        <f ca="1">IFERROR(__xludf.DUMMYFUNCTION("""COMPUTED_VALUE"""),"IPS Panel 4K Ultra HD / Touchscreen 3840x2160")</f>
        <v>IPS Panel 4K Ultra HD / Touchscreen 3840x2160</v>
      </c>
      <c r="G248" s="2" t="str">
        <f ca="1">IFERROR(__xludf.DUMMYFUNCTION("""COMPUTED_VALUE"""),"Intel Core i7 8550U 1.8GHz")</f>
        <v>Intel Core i7 8550U 1.8GHz</v>
      </c>
      <c r="H248" s="2" t="str">
        <f ca="1">IFERROR(__xludf.DUMMYFUNCTION("""COMPUTED_VALUE"""),"8GB")</f>
        <v>8GB</v>
      </c>
      <c r="I248" s="2" t="str">
        <f ca="1">IFERROR(__xludf.DUMMYFUNCTION("""COMPUTED_VALUE"""),"512GB SSD")</f>
        <v>512GB SSD</v>
      </c>
      <c r="J248" s="2" t="str">
        <f ca="1">IFERROR(__xludf.DUMMYFUNCTION("""COMPUTED_VALUE"""),"Intel UHD Graphics 620")</f>
        <v>Intel UHD Graphics 620</v>
      </c>
      <c r="K248" s="2" t="str">
        <f ca="1">IFERROR(__xludf.DUMMYFUNCTION("""COMPUTED_VALUE"""),"Windows 10")</f>
        <v>Windows 10</v>
      </c>
      <c r="L248" s="2" t="str">
        <f ca="1">IFERROR(__xludf.DUMMYFUNCTION("""COMPUTED_VALUE"""),"1.29kg")</f>
        <v>1.29kg</v>
      </c>
      <c r="M248" s="2">
        <f ca="1">IFERROR(__xludf.DUMMYFUNCTION("""COMPUTED_VALUE"""),1999)</f>
        <v>1999</v>
      </c>
    </row>
    <row r="249" spans="1:13">
      <c r="A249" s="2">
        <f ca="1">IFERROR(__xludf.DUMMYFUNCTION("""COMPUTED_VALUE"""),478)</f>
        <v>478</v>
      </c>
      <c r="B249" s="2" t="str">
        <f ca="1">IFERROR(__xludf.DUMMYFUNCTION("""COMPUTED_VALUE"""),"HP")</f>
        <v>HP</v>
      </c>
      <c r="C249" s="2" t="str">
        <f ca="1">IFERROR(__xludf.DUMMYFUNCTION("""COMPUTED_VALUE"""),"ZBook 15u")</f>
        <v>ZBook 15u</v>
      </c>
      <c r="D249" s="2" t="str">
        <f ca="1">IFERROR(__xludf.DUMMYFUNCTION("""COMPUTED_VALUE"""),"Notebook")</f>
        <v>Notebook</v>
      </c>
      <c r="E249" s="2">
        <f ca="1">IFERROR(__xludf.DUMMYFUNCTION("""COMPUTED_VALUE"""),15.6)</f>
        <v>15.6</v>
      </c>
      <c r="F249" s="2" t="str">
        <f ca="1">IFERROR(__xludf.DUMMYFUNCTION("""COMPUTED_VALUE"""),"Full HD 1920x1080")</f>
        <v>Full HD 1920x1080</v>
      </c>
      <c r="G249" s="2" t="str">
        <f ca="1">IFERROR(__xludf.DUMMYFUNCTION("""COMPUTED_VALUE"""),"Intel Core i5 7200U 2.5GHz")</f>
        <v>Intel Core i5 7200U 2.5GHz</v>
      </c>
      <c r="H249" s="2" t="str">
        <f ca="1">IFERROR(__xludf.DUMMYFUNCTION("""COMPUTED_VALUE"""),"8GB")</f>
        <v>8GB</v>
      </c>
      <c r="I249" s="2" t="str">
        <f ca="1">IFERROR(__xludf.DUMMYFUNCTION("""COMPUTED_VALUE"""),"500GB HDD")</f>
        <v>500GB HDD</v>
      </c>
      <c r="J249" s="2" t="str">
        <f ca="1">IFERROR(__xludf.DUMMYFUNCTION("""COMPUTED_VALUE"""),"AMD FirePro W4190M ")</f>
        <v xml:space="preserve">AMD FirePro W4190M </v>
      </c>
      <c r="K249" s="2" t="str">
        <f ca="1">IFERROR(__xludf.DUMMYFUNCTION("""COMPUTED_VALUE"""),"Windows 10")</f>
        <v>Windows 10</v>
      </c>
      <c r="L249" s="2" t="str">
        <f ca="1">IFERROR(__xludf.DUMMYFUNCTION("""COMPUTED_VALUE"""),"1.9kg")</f>
        <v>1.9kg</v>
      </c>
      <c r="M249" s="2">
        <f ca="1">IFERROR(__xludf.DUMMYFUNCTION("""COMPUTED_VALUE"""),1154)</f>
        <v>1154</v>
      </c>
    </row>
    <row r="250" spans="1:13">
      <c r="A250" s="2">
        <f ca="1">IFERROR(__xludf.DUMMYFUNCTION("""COMPUTED_VALUE"""),479)</f>
        <v>479</v>
      </c>
      <c r="B250" s="2" t="str">
        <f ca="1">IFERROR(__xludf.DUMMYFUNCTION("""COMPUTED_VALUE"""),"Google")</f>
        <v>Google</v>
      </c>
      <c r="C250" s="2" t="str">
        <f ca="1">IFERROR(__xludf.DUMMYFUNCTION("""COMPUTED_VALUE"""),"Pixelbook (Core")</f>
        <v>Pixelbook (Core</v>
      </c>
      <c r="D250" s="2" t="str">
        <f ca="1">IFERROR(__xludf.DUMMYFUNCTION("""COMPUTED_VALUE"""),"Ultrabook")</f>
        <v>Ultrabook</v>
      </c>
      <c r="E250" s="2">
        <f ca="1">IFERROR(__xludf.DUMMYFUNCTION("""COMPUTED_VALUE"""),12.3)</f>
        <v>12.3</v>
      </c>
      <c r="F250" s="2" t="str">
        <f ca="1">IFERROR(__xludf.DUMMYFUNCTION("""COMPUTED_VALUE"""),"Touchscreen 2400x1600")</f>
        <v>Touchscreen 2400x1600</v>
      </c>
      <c r="G250" s="2" t="str">
        <f ca="1">IFERROR(__xludf.DUMMYFUNCTION("""COMPUTED_VALUE"""),"Intel Core i5 7Y57 1.2GHz")</f>
        <v>Intel Core i5 7Y57 1.2GHz</v>
      </c>
      <c r="H250" s="2" t="str">
        <f ca="1">IFERROR(__xludf.DUMMYFUNCTION("""COMPUTED_VALUE"""),"8GB")</f>
        <v>8GB</v>
      </c>
      <c r="I250" s="2" t="str">
        <f ca="1">IFERROR(__xludf.DUMMYFUNCTION("""COMPUTED_VALUE"""),"128GB SSD")</f>
        <v>128GB SSD</v>
      </c>
      <c r="J250" s="2" t="str">
        <f ca="1">IFERROR(__xludf.DUMMYFUNCTION("""COMPUTED_VALUE"""),"Intel HD Graphics 615")</f>
        <v>Intel HD Graphics 615</v>
      </c>
      <c r="K250" s="2" t="str">
        <f ca="1">IFERROR(__xludf.DUMMYFUNCTION("""COMPUTED_VALUE"""),"Chrome OS")</f>
        <v>Chrome OS</v>
      </c>
      <c r="L250" s="2" t="str">
        <f ca="1">IFERROR(__xludf.DUMMYFUNCTION("""COMPUTED_VALUE"""),"1.1kg")</f>
        <v>1.1kg</v>
      </c>
      <c r="M250" s="2">
        <f ca="1">IFERROR(__xludf.DUMMYFUNCTION("""COMPUTED_VALUE"""),1275)</f>
        <v>1275</v>
      </c>
    </row>
    <row r="251" spans="1:13">
      <c r="A251" s="2">
        <f ca="1">IFERROR(__xludf.DUMMYFUNCTION("""COMPUTED_VALUE"""),480)</f>
        <v>480</v>
      </c>
      <c r="B251" s="2" t="str">
        <f ca="1">IFERROR(__xludf.DUMMYFUNCTION("""COMPUTED_VALUE"""),"Dell")</f>
        <v>Dell</v>
      </c>
      <c r="C251" s="2" t="str">
        <f ca="1">IFERROR(__xludf.DUMMYFUNCTION("""COMPUTED_VALUE"""),"Latitude 7390")</f>
        <v>Latitude 7390</v>
      </c>
      <c r="D251" s="2" t="str">
        <f ca="1">IFERROR(__xludf.DUMMYFUNCTION("""COMPUTED_VALUE"""),"Ultrabook")</f>
        <v>Ultrabook</v>
      </c>
      <c r="E251" s="2">
        <f ca="1">IFERROR(__xludf.DUMMYFUNCTION("""COMPUTED_VALUE"""),13.3)</f>
        <v>13.3</v>
      </c>
      <c r="F251" s="2" t="str">
        <f ca="1">IFERROR(__xludf.DUMMYFUNCTION("""COMPUTED_VALUE"""),"Full HD / Touchscreen 1920x1080")</f>
        <v>Full HD / Touchscreen 1920x1080</v>
      </c>
      <c r="G251" s="2" t="str">
        <f ca="1">IFERROR(__xludf.DUMMYFUNCTION("""COMPUTED_VALUE"""),"Intel Core i5 8250U 1.6GHz")</f>
        <v>Intel Core i5 8250U 1.6GHz</v>
      </c>
      <c r="H251" s="2" t="str">
        <f ca="1">IFERROR(__xludf.DUMMYFUNCTION("""COMPUTED_VALUE"""),"8GB")</f>
        <v>8GB</v>
      </c>
      <c r="I251" s="2" t="str">
        <f ca="1">IFERROR(__xludf.DUMMYFUNCTION("""COMPUTED_VALUE"""),"256GB SSD")</f>
        <v>256GB SSD</v>
      </c>
      <c r="J251" s="2" t="str">
        <f ca="1">IFERROR(__xludf.DUMMYFUNCTION("""COMPUTED_VALUE"""),"Intel UHD Graphics 620")</f>
        <v>Intel UHD Graphics 620</v>
      </c>
      <c r="K251" s="2" t="str">
        <f ca="1">IFERROR(__xludf.DUMMYFUNCTION("""COMPUTED_VALUE"""),"Windows 10")</f>
        <v>Windows 10</v>
      </c>
      <c r="L251" s="2" t="str">
        <f ca="1">IFERROR(__xludf.DUMMYFUNCTION("""COMPUTED_VALUE"""),"1.42kg")</f>
        <v>1.42kg</v>
      </c>
      <c r="M251" s="2">
        <f ca="1">IFERROR(__xludf.DUMMYFUNCTION("""COMPUTED_VALUE"""),1841.85)</f>
        <v>1841.85</v>
      </c>
    </row>
    <row r="252" spans="1:13">
      <c r="A252" s="2">
        <f ca="1">IFERROR(__xludf.DUMMYFUNCTION("""COMPUTED_VALUE"""),482)</f>
        <v>482</v>
      </c>
      <c r="B252" s="2" t="str">
        <f ca="1">IFERROR(__xludf.DUMMYFUNCTION("""COMPUTED_VALUE"""),"Dell")</f>
        <v>Dell</v>
      </c>
      <c r="C252" s="2" t="str">
        <f ca="1">IFERROR(__xludf.DUMMYFUNCTION("""COMPUTED_VALUE"""),"Latitude E5470")</f>
        <v>Latitude E5470</v>
      </c>
      <c r="D252" s="2" t="str">
        <f ca="1">IFERROR(__xludf.DUMMYFUNCTION("""COMPUTED_VALUE"""),"Notebook")</f>
        <v>Notebook</v>
      </c>
      <c r="E252" s="2">
        <f ca="1">IFERROR(__xludf.DUMMYFUNCTION("""COMPUTED_VALUE"""),14)</f>
        <v>14</v>
      </c>
      <c r="F252" s="2" t="str">
        <f ca="1">IFERROR(__xludf.DUMMYFUNCTION("""COMPUTED_VALUE"""),"1366x768")</f>
        <v>1366x768</v>
      </c>
      <c r="G252" s="2" t="str">
        <f ca="1">IFERROR(__xludf.DUMMYFUNCTION("""COMPUTED_VALUE"""),"Intel Core i3 6100U 2.3GHz")</f>
        <v>Intel Core i3 6100U 2.3GHz</v>
      </c>
      <c r="H252" s="2" t="str">
        <f ca="1">IFERROR(__xludf.DUMMYFUNCTION("""COMPUTED_VALUE"""),"8GB")</f>
        <v>8GB</v>
      </c>
      <c r="I252" s="2" t="str">
        <f ca="1">IFERROR(__xludf.DUMMYFUNCTION("""COMPUTED_VALUE"""),"128GB SSD")</f>
        <v>128GB SSD</v>
      </c>
      <c r="J252" s="2" t="str">
        <f ca="1">IFERROR(__xludf.DUMMYFUNCTION("""COMPUTED_VALUE"""),"Intel HD Graphics 520")</f>
        <v>Intel HD Graphics 520</v>
      </c>
      <c r="K252" s="2" t="str">
        <f ca="1">IFERROR(__xludf.DUMMYFUNCTION("""COMPUTED_VALUE"""),"Windows 10")</f>
        <v>Windows 10</v>
      </c>
      <c r="L252" s="2" t="str">
        <f ca="1">IFERROR(__xludf.DUMMYFUNCTION("""COMPUTED_VALUE"""),"1.79kg")</f>
        <v>1.79kg</v>
      </c>
      <c r="M252" s="2">
        <f ca="1">IFERROR(__xludf.DUMMYFUNCTION("""COMPUTED_VALUE"""),740)</f>
        <v>740</v>
      </c>
    </row>
    <row r="253" spans="1:13">
      <c r="A253" s="2">
        <f ca="1">IFERROR(__xludf.DUMMYFUNCTION("""COMPUTED_VALUE"""),483)</f>
        <v>483</v>
      </c>
      <c r="B253" s="2" t="str">
        <f ca="1">IFERROR(__xludf.DUMMYFUNCTION("""COMPUTED_VALUE"""),"Dell")</f>
        <v>Dell</v>
      </c>
      <c r="C253" s="2" t="str">
        <f ca="1">IFERROR(__xludf.DUMMYFUNCTION("""COMPUTED_VALUE"""),"Precision M5520")</f>
        <v>Precision M5520</v>
      </c>
      <c r="D253" s="2" t="str">
        <f ca="1">IFERROR(__xludf.DUMMYFUNCTION("""COMPUTED_VALUE"""),"Workstation")</f>
        <v>Workstation</v>
      </c>
      <c r="E253" s="2">
        <f ca="1">IFERROR(__xludf.DUMMYFUNCTION("""COMPUTED_VALUE"""),15.6)</f>
        <v>15.6</v>
      </c>
      <c r="F253" s="2" t="str">
        <f ca="1">IFERROR(__xludf.DUMMYFUNCTION("""COMPUTED_VALUE"""),"Full HD 1920x1080")</f>
        <v>Full HD 1920x1080</v>
      </c>
      <c r="G253" s="2" t="str">
        <f ca="1">IFERROR(__xludf.DUMMYFUNCTION("""COMPUTED_VALUE"""),"Intel Core i7 7700HQ 2.8GHz")</f>
        <v>Intel Core i7 7700HQ 2.8GHz</v>
      </c>
      <c r="H253" s="2" t="str">
        <f ca="1">IFERROR(__xludf.DUMMYFUNCTION("""COMPUTED_VALUE"""),"8GB")</f>
        <v>8GB</v>
      </c>
      <c r="I253" s="2" t="str">
        <f ca="1">IFERROR(__xludf.DUMMYFUNCTION("""COMPUTED_VALUE"""),"256GB SSD")</f>
        <v>256GB SSD</v>
      </c>
      <c r="J253" s="2" t="str">
        <f ca="1">IFERROR(__xludf.DUMMYFUNCTION("""COMPUTED_VALUE"""),"Nvidia Quadro M1200")</f>
        <v>Nvidia Quadro M1200</v>
      </c>
      <c r="K253" s="2" t="str">
        <f ca="1">IFERROR(__xludf.DUMMYFUNCTION("""COMPUTED_VALUE"""),"Windows 10")</f>
        <v>Windows 10</v>
      </c>
      <c r="L253" s="2" t="str">
        <f ca="1">IFERROR(__xludf.DUMMYFUNCTION("""COMPUTED_VALUE"""),"1.78kg")</f>
        <v>1.78kg</v>
      </c>
      <c r="M253" s="2">
        <f ca="1">IFERROR(__xludf.DUMMYFUNCTION("""COMPUTED_VALUE"""),2408)</f>
        <v>2408</v>
      </c>
    </row>
    <row r="254" spans="1:13">
      <c r="A254" s="2">
        <f ca="1">IFERROR(__xludf.DUMMYFUNCTION("""COMPUTED_VALUE"""),484)</f>
        <v>484</v>
      </c>
      <c r="B254" s="2" t="str">
        <f ca="1">IFERROR(__xludf.DUMMYFUNCTION("""COMPUTED_VALUE"""),"Lenovo")</f>
        <v>Lenovo</v>
      </c>
      <c r="C254" s="2" t="str">
        <f ca="1">IFERROR(__xludf.DUMMYFUNCTION("""COMPUTED_VALUE"""),"Thinkpad T470")</f>
        <v>Thinkpad T470</v>
      </c>
      <c r="D254" s="2" t="str">
        <f ca="1">IFERROR(__xludf.DUMMYFUNCTION("""COMPUTED_VALUE"""),"Notebook")</f>
        <v>Notebook</v>
      </c>
      <c r="E254" s="2">
        <f ca="1">IFERROR(__xludf.DUMMYFUNCTION("""COMPUTED_VALUE"""),14)</f>
        <v>14</v>
      </c>
      <c r="F254" s="2" t="str">
        <f ca="1">IFERROR(__xludf.DUMMYFUNCTION("""COMPUTED_VALUE"""),"Full HD 1920x1080")</f>
        <v>Full HD 1920x1080</v>
      </c>
      <c r="G254" s="2" t="str">
        <f ca="1">IFERROR(__xludf.DUMMYFUNCTION("""COMPUTED_VALUE"""),"Intel Core i5 7200U 2.5GHz")</f>
        <v>Intel Core i5 7200U 2.5GHz</v>
      </c>
      <c r="H254" s="2" t="str">
        <f ca="1">IFERROR(__xludf.DUMMYFUNCTION("""COMPUTED_VALUE"""),"8GB")</f>
        <v>8GB</v>
      </c>
      <c r="I254" s="2" t="str">
        <f ca="1">IFERROR(__xludf.DUMMYFUNCTION("""COMPUTED_VALUE"""),"180GB SSD")</f>
        <v>180GB SSD</v>
      </c>
      <c r="J254" s="2" t="str">
        <f ca="1">IFERROR(__xludf.DUMMYFUNCTION("""COMPUTED_VALUE"""),"Intel HD Graphics 620")</f>
        <v>Intel HD Graphics 620</v>
      </c>
      <c r="K254" s="2" t="str">
        <f ca="1">IFERROR(__xludf.DUMMYFUNCTION("""COMPUTED_VALUE"""),"Windows 10")</f>
        <v>Windows 10</v>
      </c>
      <c r="L254" s="2" t="str">
        <f ca="1">IFERROR(__xludf.DUMMYFUNCTION("""COMPUTED_VALUE"""),"1.7kg")</f>
        <v>1.7kg</v>
      </c>
      <c r="M254" s="2">
        <f ca="1">IFERROR(__xludf.DUMMYFUNCTION("""COMPUTED_VALUE"""),1364)</f>
        <v>1364</v>
      </c>
    </row>
    <row r="255" spans="1:13">
      <c r="A255" s="2">
        <f ca="1">IFERROR(__xludf.DUMMYFUNCTION("""COMPUTED_VALUE"""),485)</f>
        <v>485</v>
      </c>
      <c r="B255" s="2" t="str">
        <f ca="1">IFERROR(__xludf.DUMMYFUNCTION("""COMPUTED_VALUE"""),"Dell")</f>
        <v>Dell</v>
      </c>
      <c r="C255" s="2" t="str">
        <f ca="1">IFERROR(__xludf.DUMMYFUNCTION("""COMPUTED_VALUE"""),"Inspiron 3576")</f>
        <v>Inspiron 3576</v>
      </c>
      <c r="D255" s="2" t="str">
        <f ca="1">IFERROR(__xludf.DUMMYFUNCTION("""COMPUTED_VALUE"""),"Notebook")</f>
        <v>Notebook</v>
      </c>
      <c r="E255" s="2">
        <f ca="1">IFERROR(__xludf.DUMMYFUNCTION("""COMPUTED_VALUE"""),15.6)</f>
        <v>15.6</v>
      </c>
      <c r="F255" s="2" t="str">
        <f ca="1">IFERROR(__xludf.DUMMYFUNCTION("""COMPUTED_VALUE"""),"Full HD 1920x1080")</f>
        <v>Full HD 1920x1080</v>
      </c>
      <c r="G255" s="2" t="str">
        <f ca="1">IFERROR(__xludf.DUMMYFUNCTION("""COMPUTED_VALUE"""),"Intel Core i5 8250U 1.6GHz")</f>
        <v>Intel Core i5 8250U 1.6GHz</v>
      </c>
      <c r="H255" s="2" t="str">
        <f ca="1">IFERROR(__xludf.DUMMYFUNCTION("""COMPUTED_VALUE"""),"8GB")</f>
        <v>8GB</v>
      </c>
      <c r="I255" s="2" t="str">
        <f ca="1">IFERROR(__xludf.DUMMYFUNCTION("""COMPUTED_VALUE"""),"1TB HDD")</f>
        <v>1TB HDD</v>
      </c>
      <c r="J255" s="2" t="str">
        <f ca="1">IFERROR(__xludf.DUMMYFUNCTION("""COMPUTED_VALUE"""),"AMD Radeon 520")</f>
        <v>AMD Radeon 520</v>
      </c>
      <c r="K255" s="2" t="str">
        <f ca="1">IFERROR(__xludf.DUMMYFUNCTION("""COMPUTED_VALUE"""),"Windows 10")</f>
        <v>Windows 10</v>
      </c>
      <c r="L255" s="2" t="str">
        <f ca="1">IFERROR(__xludf.DUMMYFUNCTION("""COMPUTED_VALUE"""),"2.2kg")</f>
        <v>2.2kg</v>
      </c>
      <c r="M255" s="2">
        <f ca="1">IFERROR(__xludf.DUMMYFUNCTION("""COMPUTED_VALUE"""),675)</f>
        <v>675</v>
      </c>
    </row>
    <row r="256" spans="1:13">
      <c r="A256" s="2">
        <f ca="1">IFERROR(__xludf.DUMMYFUNCTION("""COMPUTED_VALUE"""),486)</f>
        <v>486</v>
      </c>
      <c r="B256" s="2" t="str">
        <f ca="1">IFERROR(__xludf.DUMMYFUNCTION("""COMPUTED_VALUE"""),"Toshiba")</f>
        <v>Toshiba</v>
      </c>
      <c r="C256" s="2" t="str">
        <f ca="1">IFERROR(__xludf.DUMMYFUNCTION("""COMPUTED_VALUE"""),"Portege X30-D-10J")</f>
        <v>Portege X30-D-10J</v>
      </c>
      <c r="D256" s="2" t="str">
        <f ca="1">IFERROR(__xludf.DUMMYFUNCTION("""COMPUTED_VALUE"""),"Notebook")</f>
        <v>Notebook</v>
      </c>
      <c r="E256" s="2">
        <f ca="1">IFERROR(__xludf.DUMMYFUNCTION("""COMPUTED_VALUE"""),13.3)</f>
        <v>13.3</v>
      </c>
      <c r="F256" s="2" t="str">
        <f ca="1">IFERROR(__xludf.DUMMYFUNCTION("""COMPUTED_VALUE"""),"IPS Panel Full HD 1920x1080")</f>
        <v>IPS Panel Full HD 1920x1080</v>
      </c>
      <c r="G256" s="2" t="str">
        <f ca="1">IFERROR(__xludf.DUMMYFUNCTION("""COMPUTED_VALUE"""),"Intel Core i5 7200U 2.5GHz")</f>
        <v>Intel Core i5 7200U 2.5GHz</v>
      </c>
      <c r="H256" s="2" t="str">
        <f ca="1">IFERROR(__xludf.DUMMYFUNCTION("""COMPUTED_VALUE"""),"8GB")</f>
        <v>8GB</v>
      </c>
      <c r="I256" s="2" t="str">
        <f ca="1">IFERROR(__xludf.DUMMYFUNCTION("""COMPUTED_VALUE"""),"256GB SSD")</f>
        <v>256GB SSD</v>
      </c>
      <c r="J256" s="2" t="str">
        <f ca="1">IFERROR(__xludf.DUMMYFUNCTION("""COMPUTED_VALUE"""),"Intel HD Graphics 620")</f>
        <v>Intel HD Graphics 620</v>
      </c>
      <c r="K256" s="2" t="str">
        <f ca="1">IFERROR(__xludf.DUMMYFUNCTION("""COMPUTED_VALUE"""),"Windows 10")</f>
        <v>Windows 10</v>
      </c>
      <c r="L256" s="2" t="str">
        <f ca="1">IFERROR(__xludf.DUMMYFUNCTION("""COMPUTED_VALUE"""),"1.05kg")</f>
        <v>1.05kg</v>
      </c>
      <c r="M256" s="2">
        <f ca="1">IFERROR(__xludf.DUMMYFUNCTION("""COMPUTED_VALUE"""),1672)</f>
        <v>1672</v>
      </c>
    </row>
    <row r="257" spans="1:13">
      <c r="A257" s="2">
        <f ca="1">IFERROR(__xludf.DUMMYFUNCTION("""COMPUTED_VALUE"""),487)</f>
        <v>487</v>
      </c>
      <c r="B257" s="2" t="str">
        <f ca="1">IFERROR(__xludf.DUMMYFUNCTION("""COMPUTED_VALUE"""),"Dell")</f>
        <v>Dell</v>
      </c>
      <c r="C257" s="2" t="str">
        <f ca="1">IFERROR(__xludf.DUMMYFUNCTION("""COMPUTED_VALUE"""),"Inspiron 7570")</f>
        <v>Inspiron 7570</v>
      </c>
      <c r="D257" s="2" t="str">
        <f ca="1">IFERROR(__xludf.DUMMYFUNCTION("""COMPUTED_VALUE"""),"Notebook")</f>
        <v>Notebook</v>
      </c>
      <c r="E257" s="2">
        <f ca="1">IFERROR(__xludf.DUMMYFUNCTION("""COMPUTED_VALUE"""),15.6)</f>
        <v>15.6</v>
      </c>
      <c r="F257" s="2" t="str">
        <f ca="1">IFERROR(__xludf.DUMMYFUNCTION("""COMPUTED_VALUE"""),"IPS Panel Full HD 1920x1080")</f>
        <v>IPS Panel Full HD 1920x1080</v>
      </c>
      <c r="G257" s="2" t="str">
        <f ca="1">IFERROR(__xludf.DUMMYFUNCTION("""COMPUTED_VALUE"""),"Intel Core i7 8550U 1.8GHz")</f>
        <v>Intel Core i7 8550U 1.8GHz</v>
      </c>
      <c r="H257" s="2" t="str">
        <f ca="1">IFERROR(__xludf.DUMMYFUNCTION("""COMPUTED_VALUE"""),"8GB")</f>
        <v>8GB</v>
      </c>
      <c r="I257" s="2" t="str">
        <f ca="1">IFERROR(__xludf.DUMMYFUNCTION("""COMPUTED_VALUE"""),"512GB SSD")</f>
        <v>512GB SSD</v>
      </c>
      <c r="J257" s="2" t="str">
        <f ca="1">IFERROR(__xludf.DUMMYFUNCTION("""COMPUTED_VALUE"""),"Nvidia GeForce 940MX")</f>
        <v>Nvidia GeForce 940MX</v>
      </c>
      <c r="K257" s="2" t="str">
        <f ca="1">IFERROR(__xludf.DUMMYFUNCTION("""COMPUTED_VALUE"""),"Windows 10")</f>
        <v>Windows 10</v>
      </c>
      <c r="L257" s="2" t="str">
        <f ca="1">IFERROR(__xludf.DUMMYFUNCTION("""COMPUTED_VALUE"""),"2.16kg")</f>
        <v>2.16kg</v>
      </c>
      <c r="M257" s="2">
        <f ca="1">IFERROR(__xludf.DUMMYFUNCTION("""COMPUTED_VALUE"""),1262)</f>
        <v>1262</v>
      </c>
    </row>
    <row r="258" spans="1:13">
      <c r="A258" s="2">
        <f ca="1">IFERROR(__xludf.DUMMYFUNCTION("""COMPUTED_VALUE"""),492)</f>
        <v>492</v>
      </c>
      <c r="B258" s="2" t="str">
        <f ca="1">IFERROR(__xludf.DUMMYFUNCTION("""COMPUTED_VALUE"""),"Lenovo")</f>
        <v>Lenovo</v>
      </c>
      <c r="C258" s="2" t="str">
        <f ca="1">IFERROR(__xludf.DUMMYFUNCTION("""COMPUTED_VALUE"""),"ThinkPad E480")</f>
        <v>ThinkPad E480</v>
      </c>
      <c r="D258" s="2" t="str">
        <f ca="1">IFERROR(__xludf.DUMMYFUNCTION("""COMPUTED_VALUE"""),"Notebook")</f>
        <v>Notebook</v>
      </c>
      <c r="E258" s="2">
        <f ca="1">IFERROR(__xludf.DUMMYFUNCTION("""COMPUTED_VALUE"""),14)</f>
        <v>14</v>
      </c>
      <c r="F258" s="2" t="str">
        <f ca="1">IFERROR(__xludf.DUMMYFUNCTION("""COMPUTED_VALUE"""),"IPS Panel Full HD 1920x1080")</f>
        <v>IPS Panel Full HD 1920x1080</v>
      </c>
      <c r="G258" s="2" t="str">
        <f ca="1">IFERROR(__xludf.DUMMYFUNCTION("""COMPUTED_VALUE"""),"Intel Core i5 8250U 1.6GHz")</f>
        <v>Intel Core i5 8250U 1.6GHz</v>
      </c>
      <c r="H258" s="2" t="str">
        <f ca="1">IFERROR(__xludf.DUMMYFUNCTION("""COMPUTED_VALUE"""),"8GB")</f>
        <v>8GB</v>
      </c>
      <c r="I258" s="2" t="str">
        <f ca="1">IFERROR(__xludf.DUMMYFUNCTION("""COMPUTED_VALUE"""),"256GB SSD")</f>
        <v>256GB SSD</v>
      </c>
      <c r="J258" s="2" t="str">
        <f ca="1">IFERROR(__xludf.DUMMYFUNCTION("""COMPUTED_VALUE"""),"Intel UHD Graphics 620")</f>
        <v>Intel UHD Graphics 620</v>
      </c>
      <c r="K258" s="2" t="str">
        <f ca="1">IFERROR(__xludf.DUMMYFUNCTION("""COMPUTED_VALUE"""),"Windows 10")</f>
        <v>Windows 10</v>
      </c>
      <c r="L258" s="2" t="str">
        <f ca="1">IFERROR(__xludf.DUMMYFUNCTION("""COMPUTED_VALUE"""),"1.75kg")</f>
        <v>1.75kg</v>
      </c>
      <c r="M258" s="2">
        <f ca="1">IFERROR(__xludf.DUMMYFUNCTION("""COMPUTED_VALUE"""),1049)</f>
        <v>1049</v>
      </c>
    </row>
    <row r="259" spans="1:13">
      <c r="A259" s="2">
        <f ca="1">IFERROR(__xludf.DUMMYFUNCTION("""COMPUTED_VALUE"""),497)</f>
        <v>497</v>
      </c>
      <c r="B259" s="2" t="str">
        <f ca="1">IFERROR(__xludf.DUMMYFUNCTION("""COMPUTED_VALUE"""),"Lenovo")</f>
        <v>Lenovo</v>
      </c>
      <c r="C259" s="2" t="str">
        <f ca="1">IFERROR(__xludf.DUMMYFUNCTION("""COMPUTED_VALUE"""),"Thinkpad E570")</f>
        <v>Thinkpad E570</v>
      </c>
      <c r="D259" s="2" t="str">
        <f ca="1">IFERROR(__xludf.DUMMYFUNCTION("""COMPUTED_VALUE"""),"Notebook")</f>
        <v>Notebook</v>
      </c>
      <c r="E259" s="2">
        <f ca="1">IFERROR(__xludf.DUMMYFUNCTION("""COMPUTED_VALUE"""),15.6)</f>
        <v>15.6</v>
      </c>
      <c r="F259" s="2" t="str">
        <f ca="1">IFERROR(__xludf.DUMMYFUNCTION("""COMPUTED_VALUE"""),"IPS Panel Full HD 1920x1080")</f>
        <v>IPS Panel Full HD 1920x1080</v>
      </c>
      <c r="G259" s="2" t="str">
        <f ca="1">IFERROR(__xludf.DUMMYFUNCTION("""COMPUTED_VALUE"""),"Intel Core i5 7200U 2.5GHz")</f>
        <v>Intel Core i5 7200U 2.5GHz</v>
      </c>
      <c r="H259" s="2" t="str">
        <f ca="1">IFERROR(__xludf.DUMMYFUNCTION("""COMPUTED_VALUE"""),"8GB")</f>
        <v>8GB</v>
      </c>
      <c r="I259" s="2" t="str">
        <f ca="1">IFERROR(__xludf.DUMMYFUNCTION("""COMPUTED_VALUE"""),"256GB SSD")</f>
        <v>256GB SSD</v>
      </c>
      <c r="J259" s="2" t="str">
        <f ca="1">IFERROR(__xludf.DUMMYFUNCTION("""COMPUTED_VALUE"""),"Nvidia GeForce 940MX")</f>
        <v>Nvidia GeForce 940MX</v>
      </c>
      <c r="K259" s="2" t="str">
        <f ca="1">IFERROR(__xludf.DUMMYFUNCTION("""COMPUTED_VALUE"""),"Windows 10")</f>
        <v>Windows 10</v>
      </c>
      <c r="L259" s="2" t="str">
        <f ca="1">IFERROR(__xludf.DUMMYFUNCTION("""COMPUTED_VALUE"""),"2.3kg")</f>
        <v>2.3kg</v>
      </c>
      <c r="M259" s="2">
        <f ca="1">IFERROR(__xludf.DUMMYFUNCTION("""COMPUTED_VALUE"""),1011.99)</f>
        <v>1011.99</v>
      </c>
    </row>
    <row r="260" spans="1:13">
      <c r="A260" s="2">
        <f ca="1">IFERROR(__xludf.DUMMYFUNCTION("""COMPUTED_VALUE"""),499)</f>
        <v>499</v>
      </c>
      <c r="B260" s="2" t="str">
        <f ca="1">IFERROR(__xludf.DUMMYFUNCTION("""COMPUTED_VALUE"""),"Asus")</f>
        <v>Asus</v>
      </c>
      <c r="C260" s="2" t="str">
        <f ca="1">IFERROR(__xludf.DUMMYFUNCTION("""COMPUTED_VALUE"""),"VivoBook Pro")</f>
        <v>VivoBook Pro</v>
      </c>
      <c r="D260" s="2" t="str">
        <f ca="1">IFERROR(__xludf.DUMMYFUNCTION("""COMPUTED_VALUE"""),"Gaming")</f>
        <v>Gaming</v>
      </c>
      <c r="E260" s="2">
        <f ca="1">IFERROR(__xludf.DUMMYFUNCTION("""COMPUTED_VALUE"""),15.6)</f>
        <v>15.6</v>
      </c>
      <c r="F260" s="2" t="str">
        <f ca="1">IFERROR(__xludf.DUMMYFUNCTION("""COMPUTED_VALUE"""),"Full HD 1920x1080")</f>
        <v>Full HD 1920x1080</v>
      </c>
      <c r="G260" s="2" t="str">
        <f ca="1">IFERROR(__xludf.DUMMYFUNCTION("""COMPUTED_VALUE"""),"Intel Core i7 7700HQ 2.8GHz")</f>
        <v>Intel Core i7 7700HQ 2.8GHz</v>
      </c>
      <c r="H260" s="2" t="str">
        <f ca="1">IFERROR(__xludf.DUMMYFUNCTION("""COMPUTED_VALUE"""),"8GB")</f>
        <v>8GB</v>
      </c>
      <c r="I260" s="2" t="str">
        <f ca="1">IFERROR(__xludf.DUMMYFUNCTION("""COMPUTED_VALUE"""),"128GB SSD +  1TB HDD")</f>
        <v>128GB SSD +  1TB HDD</v>
      </c>
      <c r="J260" s="2" t="str">
        <f ca="1">IFERROR(__xludf.DUMMYFUNCTION("""COMPUTED_VALUE"""),"Nvidia GeForce GTX 1050")</f>
        <v>Nvidia GeForce GTX 1050</v>
      </c>
      <c r="K260" s="2" t="str">
        <f ca="1">IFERROR(__xludf.DUMMYFUNCTION("""COMPUTED_VALUE"""),"Windows 10")</f>
        <v>Windows 10</v>
      </c>
      <c r="L260" s="2" t="str">
        <f ca="1">IFERROR(__xludf.DUMMYFUNCTION("""COMPUTED_VALUE"""),"1.99kg")</f>
        <v>1.99kg</v>
      </c>
      <c r="M260" s="2">
        <f ca="1">IFERROR(__xludf.DUMMYFUNCTION("""COMPUTED_VALUE"""),1350)</f>
        <v>1350</v>
      </c>
    </row>
    <row r="261" spans="1:13">
      <c r="A261" s="2">
        <f ca="1">IFERROR(__xludf.DUMMYFUNCTION("""COMPUTED_VALUE"""),500)</f>
        <v>500</v>
      </c>
      <c r="B261" s="2" t="str">
        <f ca="1">IFERROR(__xludf.DUMMYFUNCTION("""COMPUTED_VALUE"""),"Acer")</f>
        <v>Acer</v>
      </c>
      <c r="C261" s="2" t="str">
        <f ca="1">IFERROR(__xludf.DUMMYFUNCTION("""COMPUTED_VALUE"""),"Aspire 5")</f>
        <v>Aspire 5</v>
      </c>
      <c r="D261" s="2" t="str">
        <f ca="1">IFERROR(__xludf.DUMMYFUNCTION("""COMPUTED_VALUE"""),"Notebook")</f>
        <v>Notebook</v>
      </c>
      <c r="E261" s="2">
        <f ca="1">IFERROR(__xludf.DUMMYFUNCTION("""COMPUTED_VALUE"""),15.6)</f>
        <v>15.6</v>
      </c>
      <c r="F261" s="2" t="str">
        <f ca="1">IFERROR(__xludf.DUMMYFUNCTION("""COMPUTED_VALUE"""),"1366x768")</f>
        <v>1366x768</v>
      </c>
      <c r="G261" s="2" t="str">
        <f ca="1">IFERROR(__xludf.DUMMYFUNCTION("""COMPUTED_VALUE"""),"AMD A10-Series 9620P 2.5GHz")</f>
        <v>AMD A10-Series 9620P 2.5GHz</v>
      </c>
      <c r="H261" s="2" t="str">
        <f ca="1">IFERROR(__xludf.DUMMYFUNCTION("""COMPUTED_VALUE"""),"8GB")</f>
        <v>8GB</v>
      </c>
      <c r="I261" s="2" t="str">
        <f ca="1">IFERROR(__xludf.DUMMYFUNCTION("""COMPUTED_VALUE"""),"1TB HDD")</f>
        <v>1TB HDD</v>
      </c>
      <c r="J261" s="2" t="str">
        <f ca="1">IFERROR(__xludf.DUMMYFUNCTION("""COMPUTED_VALUE"""),"AMD Radeon RX 540")</f>
        <v>AMD Radeon RX 540</v>
      </c>
      <c r="K261" s="2" t="str">
        <f ca="1">IFERROR(__xludf.DUMMYFUNCTION("""COMPUTED_VALUE"""),"Windows 10")</f>
        <v>Windows 10</v>
      </c>
      <c r="L261" s="2" t="str">
        <f ca="1">IFERROR(__xludf.DUMMYFUNCTION("""COMPUTED_VALUE"""),"2.2kg")</f>
        <v>2.2kg</v>
      </c>
      <c r="M261" s="2">
        <f ca="1">IFERROR(__xludf.DUMMYFUNCTION("""COMPUTED_VALUE"""),579)</f>
        <v>579</v>
      </c>
    </row>
    <row r="262" spans="1:13">
      <c r="A262" s="2">
        <f ca="1">IFERROR(__xludf.DUMMYFUNCTION("""COMPUTED_VALUE"""),502)</f>
        <v>502</v>
      </c>
      <c r="B262" s="2" t="str">
        <f ca="1">IFERROR(__xludf.DUMMYFUNCTION("""COMPUTED_VALUE"""),"Lenovo")</f>
        <v>Lenovo</v>
      </c>
      <c r="C262" s="2" t="str">
        <f ca="1">IFERROR(__xludf.DUMMYFUNCTION("""COMPUTED_VALUE"""),"Thinkpad X260")</f>
        <v>Thinkpad X260</v>
      </c>
      <c r="D262" s="2" t="str">
        <f ca="1">IFERROR(__xludf.DUMMYFUNCTION("""COMPUTED_VALUE"""),"Ultrabook")</f>
        <v>Ultrabook</v>
      </c>
      <c r="E262" s="2">
        <f ca="1">IFERROR(__xludf.DUMMYFUNCTION("""COMPUTED_VALUE"""),12.5)</f>
        <v>12.5</v>
      </c>
      <c r="F262" s="2" t="str">
        <f ca="1">IFERROR(__xludf.DUMMYFUNCTION("""COMPUTED_VALUE"""),"IPS Panel 1366x768")</f>
        <v>IPS Panel 1366x768</v>
      </c>
      <c r="G262" s="2" t="str">
        <f ca="1">IFERROR(__xludf.DUMMYFUNCTION("""COMPUTED_VALUE"""),"Intel Core i5 6200U 2.3GHz")</f>
        <v>Intel Core i5 6200U 2.3GHz</v>
      </c>
      <c r="H262" s="2" t="str">
        <f ca="1">IFERROR(__xludf.DUMMYFUNCTION("""COMPUTED_VALUE"""),"8GB")</f>
        <v>8GB</v>
      </c>
      <c r="I262" s="2" t="str">
        <f ca="1">IFERROR(__xludf.DUMMYFUNCTION("""COMPUTED_VALUE"""),"180GB SSD")</f>
        <v>180GB SSD</v>
      </c>
      <c r="J262" s="2" t="str">
        <f ca="1">IFERROR(__xludf.DUMMYFUNCTION("""COMPUTED_VALUE"""),"Intel HD Graphics 520")</f>
        <v>Intel HD Graphics 520</v>
      </c>
      <c r="K262" s="2" t="str">
        <f ca="1">IFERROR(__xludf.DUMMYFUNCTION("""COMPUTED_VALUE"""),"Windows 10")</f>
        <v>Windows 10</v>
      </c>
      <c r="L262" s="2" t="str">
        <f ca="1">IFERROR(__xludf.DUMMYFUNCTION("""COMPUTED_VALUE"""),"1.3kg")</f>
        <v>1.3kg</v>
      </c>
      <c r="M262" s="2">
        <f ca="1">IFERROR(__xludf.DUMMYFUNCTION("""COMPUTED_VALUE"""),1099)</f>
        <v>1099</v>
      </c>
    </row>
    <row r="263" spans="1:13">
      <c r="A263" s="2">
        <f ca="1">IFERROR(__xludf.DUMMYFUNCTION("""COMPUTED_VALUE"""),503)</f>
        <v>503</v>
      </c>
      <c r="B263" s="2" t="str">
        <f ca="1">IFERROR(__xludf.DUMMYFUNCTION("""COMPUTED_VALUE"""),"Lenovo")</f>
        <v>Lenovo</v>
      </c>
      <c r="C263" s="2" t="str">
        <f ca="1">IFERROR(__xludf.DUMMYFUNCTION("""COMPUTED_VALUE"""),"Ideapad 520-15IKBR")</f>
        <v>Ideapad 520-15IKBR</v>
      </c>
      <c r="D263" s="2" t="str">
        <f ca="1">IFERROR(__xludf.DUMMYFUNCTION("""COMPUTED_VALUE"""),"Notebook")</f>
        <v>Notebook</v>
      </c>
      <c r="E263" s="2">
        <f ca="1">IFERROR(__xludf.DUMMYFUNCTION("""COMPUTED_VALUE"""),15.6)</f>
        <v>15.6</v>
      </c>
      <c r="F263" s="2" t="str">
        <f ca="1">IFERROR(__xludf.DUMMYFUNCTION("""COMPUTED_VALUE"""),"Full HD 1920x1080")</f>
        <v>Full HD 1920x1080</v>
      </c>
      <c r="G263" s="2" t="str">
        <f ca="1">IFERROR(__xludf.DUMMYFUNCTION("""COMPUTED_VALUE"""),"Intel Core i7 8550U 1.8GHz")</f>
        <v>Intel Core i7 8550U 1.8GHz</v>
      </c>
      <c r="H263" s="2" t="str">
        <f ca="1">IFERROR(__xludf.DUMMYFUNCTION("""COMPUTED_VALUE"""),"8GB")</f>
        <v>8GB</v>
      </c>
      <c r="I263" s="2" t="str">
        <f ca="1">IFERROR(__xludf.DUMMYFUNCTION("""COMPUTED_VALUE"""),"256GB SSD")</f>
        <v>256GB SSD</v>
      </c>
      <c r="J263" s="2" t="str">
        <f ca="1">IFERROR(__xludf.DUMMYFUNCTION("""COMPUTED_VALUE"""),"Intel UHD Graphics 620")</f>
        <v>Intel UHD Graphics 620</v>
      </c>
      <c r="K263" s="2" t="str">
        <f ca="1">IFERROR(__xludf.DUMMYFUNCTION("""COMPUTED_VALUE"""),"Windows 10")</f>
        <v>Windows 10</v>
      </c>
      <c r="L263" s="2" t="str">
        <f ca="1">IFERROR(__xludf.DUMMYFUNCTION("""COMPUTED_VALUE"""),"2.17kg")</f>
        <v>2.17kg</v>
      </c>
      <c r="M263" s="2">
        <f ca="1">IFERROR(__xludf.DUMMYFUNCTION("""COMPUTED_VALUE"""),898.9)</f>
        <v>898.9</v>
      </c>
    </row>
    <row r="264" spans="1:13">
      <c r="A264" s="2">
        <f ca="1">IFERROR(__xludf.DUMMYFUNCTION("""COMPUTED_VALUE"""),504)</f>
        <v>504</v>
      </c>
      <c r="B264" s="2" t="str">
        <f ca="1">IFERROR(__xludf.DUMMYFUNCTION("""COMPUTED_VALUE"""),"HP")</f>
        <v>HP</v>
      </c>
      <c r="C264" s="2" t="str">
        <f ca="1">IFERROR(__xludf.DUMMYFUNCTION("""COMPUTED_VALUE"""),"EliteBook 840")</f>
        <v>EliteBook 840</v>
      </c>
      <c r="D264" s="2" t="str">
        <f ca="1">IFERROR(__xludf.DUMMYFUNCTION("""COMPUTED_VALUE"""),"Notebook")</f>
        <v>Notebook</v>
      </c>
      <c r="E264" s="2">
        <f ca="1">IFERROR(__xludf.DUMMYFUNCTION("""COMPUTED_VALUE"""),14)</f>
        <v>14</v>
      </c>
      <c r="F264" s="2" t="str">
        <f ca="1">IFERROR(__xludf.DUMMYFUNCTION("""COMPUTED_VALUE"""),"Full HD 1920x1080")</f>
        <v>Full HD 1920x1080</v>
      </c>
      <c r="G264" s="2" t="str">
        <f ca="1">IFERROR(__xludf.DUMMYFUNCTION("""COMPUTED_VALUE"""),"Intel Core i7 7600U 2.8GHz")</f>
        <v>Intel Core i7 7600U 2.8GHz</v>
      </c>
      <c r="H264" s="2" t="str">
        <f ca="1">IFERROR(__xludf.DUMMYFUNCTION("""COMPUTED_VALUE"""),"8GB")</f>
        <v>8GB</v>
      </c>
      <c r="I264" s="2" t="str">
        <f ca="1">IFERROR(__xludf.DUMMYFUNCTION("""COMPUTED_VALUE"""),"1TB SSD")</f>
        <v>1TB SSD</v>
      </c>
      <c r="J264" s="2" t="str">
        <f ca="1">IFERROR(__xludf.DUMMYFUNCTION("""COMPUTED_VALUE"""),"Intel HD Graphics 620")</f>
        <v>Intel HD Graphics 620</v>
      </c>
      <c r="K264" s="2" t="str">
        <f ca="1">IFERROR(__xludf.DUMMYFUNCTION("""COMPUTED_VALUE"""),"Windows 10")</f>
        <v>Windows 10</v>
      </c>
      <c r="L264" s="2" t="str">
        <f ca="1">IFERROR(__xludf.DUMMYFUNCTION("""COMPUTED_VALUE"""),"1.48kg")</f>
        <v>1.48kg</v>
      </c>
      <c r="M264" s="2">
        <f ca="1">IFERROR(__xludf.DUMMYFUNCTION("""COMPUTED_VALUE"""),1749)</f>
        <v>1749</v>
      </c>
    </row>
    <row r="265" spans="1:13">
      <c r="A265" s="2">
        <f ca="1">IFERROR(__xludf.DUMMYFUNCTION("""COMPUTED_VALUE"""),505)</f>
        <v>505</v>
      </c>
      <c r="B265" s="2" t="str">
        <f ca="1">IFERROR(__xludf.DUMMYFUNCTION("""COMPUTED_VALUE"""),"Lenovo")</f>
        <v>Lenovo</v>
      </c>
      <c r="C265" s="2" t="str">
        <f ca="1">IFERROR(__xludf.DUMMYFUNCTION("""COMPUTED_VALUE"""),"ThinkPad 13")</f>
        <v>ThinkPad 13</v>
      </c>
      <c r="D265" s="2" t="str">
        <f ca="1">IFERROR(__xludf.DUMMYFUNCTION("""COMPUTED_VALUE"""),"Notebook")</f>
        <v>Notebook</v>
      </c>
      <c r="E265" s="2">
        <f ca="1">IFERROR(__xludf.DUMMYFUNCTION("""COMPUTED_VALUE"""),13.3)</f>
        <v>13.3</v>
      </c>
      <c r="F265" s="2" t="str">
        <f ca="1">IFERROR(__xludf.DUMMYFUNCTION("""COMPUTED_VALUE"""),"IPS Panel Full HD 1920x1080")</f>
        <v>IPS Panel Full HD 1920x1080</v>
      </c>
      <c r="G265" s="2" t="str">
        <f ca="1">IFERROR(__xludf.DUMMYFUNCTION("""COMPUTED_VALUE"""),"Intel Core i3 7100U 2.4GHz")</f>
        <v>Intel Core i3 7100U 2.4GHz</v>
      </c>
      <c r="H265" s="2" t="str">
        <f ca="1">IFERROR(__xludf.DUMMYFUNCTION("""COMPUTED_VALUE"""),"8GB")</f>
        <v>8GB</v>
      </c>
      <c r="I265" s="2" t="str">
        <f ca="1">IFERROR(__xludf.DUMMYFUNCTION("""COMPUTED_VALUE"""),"256GB SSD")</f>
        <v>256GB SSD</v>
      </c>
      <c r="J265" s="2" t="str">
        <f ca="1">IFERROR(__xludf.DUMMYFUNCTION("""COMPUTED_VALUE"""),"Intel HD Graphics 620")</f>
        <v>Intel HD Graphics 620</v>
      </c>
      <c r="K265" s="2" t="str">
        <f ca="1">IFERROR(__xludf.DUMMYFUNCTION("""COMPUTED_VALUE"""),"Windows 10")</f>
        <v>Windows 10</v>
      </c>
      <c r="L265" s="2" t="str">
        <f ca="1">IFERROR(__xludf.DUMMYFUNCTION("""COMPUTED_VALUE"""),"1.4kg")</f>
        <v>1.4kg</v>
      </c>
      <c r="M265" s="2">
        <f ca="1">IFERROR(__xludf.DUMMYFUNCTION("""COMPUTED_VALUE"""),949)</f>
        <v>949</v>
      </c>
    </row>
    <row r="266" spans="1:13">
      <c r="A266" s="2">
        <f ca="1">IFERROR(__xludf.DUMMYFUNCTION("""COMPUTED_VALUE"""),506)</f>
        <v>506</v>
      </c>
      <c r="B266" s="2" t="str">
        <f ca="1">IFERROR(__xludf.DUMMYFUNCTION("""COMPUTED_VALUE"""),"Lenovo")</f>
        <v>Lenovo</v>
      </c>
      <c r="C266" s="2" t="str">
        <f ca="1">IFERROR(__xludf.DUMMYFUNCTION("""COMPUTED_VALUE"""),"ThinkPad L570")</f>
        <v>ThinkPad L570</v>
      </c>
      <c r="D266" s="2" t="str">
        <f ca="1">IFERROR(__xludf.DUMMYFUNCTION("""COMPUTED_VALUE"""),"Notebook")</f>
        <v>Notebook</v>
      </c>
      <c r="E266" s="2">
        <f ca="1">IFERROR(__xludf.DUMMYFUNCTION("""COMPUTED_VALUE"""),15.6)</f>
        <v>15.6</v>
      </c>
      <c r="F266" s="2" t="str">
        <f ca="1">IFERROR(__xludf.DUMMYFUNCTION("""COMPUTED_VALUE"""),"IPS Panel Full HD 1920x1080")</f>
        <v>IPS Panel Full HD 1920x1080</v>
      </c>
      <c r="G266" s="2" t="str">
        <f ca="1">IFERROR(__xludf.DUMMYFUNCTION("""COMPUTED_VALUE"""),"Intel Core i5 7200U 2.5GHz")</f>
        <v>Intel Core i5 7200U 2.5GHz</v>
      </c>
      <c r="H266" s="2" t="str">
        <f ca="1">IFERROR(__xludf.DUMMYFUNCTION("""COMPUTED_VALUE"""),"8GB")</f>
        <v>8GB</v>
      </c>
      <c r="I266" s="2" t="str">
        <f ca="1">IFERROR(__xludf.DUMMYFUNCTION("""COMPUTED_VALUE"""),"256GB SSD")</f>
        <v>256GB SSD</v>
      </c>
      <c r="J266" s="2" t="str">
        <f ca="1">IFERROR(__xludf.DUMMYFUNCTION("""COMPUTED_VALUE"""),"Intel HD Graphics 620")</f>
        <v>Intel HD Graphics 620</v>
      </c>
      <c r="K266" s="2" t="str">
        <f ca="1">IFERROR(__xludf.DUMMYFUNCTION("""COMPUTED_VALUE"""),"Windows 10")</f>
        <v>Windows 10</v>
      </c>
      <c r="L266" s="2" t="str">
        <f ca="1">IFERROR(__xludf.DUMMYFUNCTION("""COMPUTED_VALUE"""),"2.3kg")</f>
        <v>2.3kg</v>
      </c>
      <c r="M266" s="2">
        <f ca="1">IFERROR(__xludf.DUMMYFUNCTION("""COMPUTED_VALUE"""),911)</f>
        <v>911</v>
      </c>
    </row>
    <row r="267" spans="1:13">
      <c r="A267" s="2">
        <f ca="1">IFERROR(__xludf.DUMMYFUNCTION("""COMPUTED_VALUE"""),508)</f>
        <v>508</v>
      </c>
      <c r="B267" s="2" t="str">
        <f ca="1">IFERROR(__xludf.DUMMYFUNCTION("""COMPUTED_VALUE"""),"HP")</f>
        <v>HP</v>
      </c>
      <c r="C267" s="2" t="str">
        <f ca="1">IFERROR(__xludf.DUMMYFUNCTION("""COMPUTED_VALUE"""),"15-BS026nv (i5-7200U/8GB/256GB/Radeon")</f>
        <v>15-BS026nv (i5-7200U/8GB/256GB/Radeon</v>
      </c>
      <c r="D267" s="2" t="str">
        <f ca="1">IFERROR(__xludf.DUMMYFUNCTION("""COMPUTED_VALUE"""),"Notebook")</f>
        <v>Notebook</v>
      </c>
      <c r="E267" s="2">
        <f ca="1">IFERROR(__xludf.DUMMYFUNCTION("""COMPUTED_VALUE"""),15.6)</f>
        <v>15.6</v>
      </c>
      <c r="F267" s="2" t="str">
        <f ca="1">IFERROR(__xludf.DUMMYFUNCTION("""COMPUTED_VALUE"""),"1366x768")</f>
        <v>1366x768</v>
      </c>
      <c r="G267" s="2" t="str">
        <f ca="1">IFERROR(__xludf.DUMMYFUNCTION("""COMPUTED_VALUE"""),"Intel Core i5 7200U 2.5GHz")</f>
        <v>Intel Core i5 7200U 2.5GHz</v>
      </c>
      <c r="H267" s="2" t="str">
        <f ca="1">IFERROR(__xludf.DUMMYFUNCTION("""COMPUTED_VALUE"""),"8GB")</f>
        <v>8GB</v>
      </c>
      <c r="I267" s="2" t="str">
        <f ca="1">IFERROR(__xludf.DUMMYFUNCTION("""COMPUTED_VALUE"""),"256GB SSD")</f>
        <v>256GB SSD</v>
      </c>
      <c r="J267" s="2" t="str">
        <f ca="1">IFERROR(__xludf.DUMMYFUNCTION("""COMPUTED_VALUE"""),"AMD Radeon 520")</f>
        <v>AMD Radeon 520</v>
      </c>
      <c r="K267" s="2" t="str">
        <f ca="1">IFERROR(__xludf.DUMMYFUNCTION("""COMPUTED_VALUE"""),"Windows 10")</f>
        <v>Windows 10</v>
      </c>
      <c r="L267" s="2" t="str">
        <f ca="1">IFERROR(__xludf.DUMMYFUNCTION("""COMPUTED_VALUE"""),"1.91kg")</f>
        <v>1.91kg</v>
      </c>
      <c r="M267" s="2">
        <f ca="1">IFERROR(__xludf.DUMMYFUNCTION("""COMPUTED_VALUE"""),618.99)</f>
        <v>618.99</v>
      </c>
    </row>
    <row r="268" spans="1:13">
      <c r="A268" s="2">
        <f ca="1">IFERROR(__xludf.DUMMYFUNCTION("""COMPUTED_VALUE"""),509)</f>
        <v>509</v>
      </c>
      <c r="B268" s="2" t="str">
        <f ca="1">IFERROR(__xludf.DUMMYFUNCTION("""COMPUTED_VALUE"""),"Lenovo")</f>
        <v>Lenovo</v>
      </c>
      <c r="C268" s="2" t="str">
        <f ca="1">IFERROR(__xludf.DUMMYFUNCTION("""COMPUTED_VALUE"""),"Yoga 920-13IKB")</f>
        <v>Yoga 920-13IKB</v>
      </c>
      <c r="D268" s="2" t="str">
        <f ca="1">IFERROR(__xludf.DUMMYFUNCTION("""COMPUTED_VALUE"""),"2 in 1 Convertible")</f>
        <v>2 in 1 Convertible</v>
      </c>
      <c r="E268" s="2">
        <f ca="1">IFERROR(__xludf.DUMMYFUNCTION("""COMPUTED_VALUE"""),13.9)</f>
        <v>13.9</v>
      </c>
      <c r="F268" s="2" t="str">
        <f ca="1">IFERROR(__xludf.DUMMYFUNCTION("""COMPUTED_VALUE"""),"IPS Panel Full HD / Touchscreen 1920x1080")</f>
        <v>IPS Panel Full HD / Touchscreen 1920x1080</v>
      </c>
      <c r="G268" s="2" t="str">
        <f ca="1">IFERROR(__xludf.DUMMYFUNCTION("""COMPUTED_VALUE"""),"Intel Core i5 8250U 1.6GHz")</f>
        <v>Intel Core i5 8250U 1.6GHz</v>
      </c>
      <c r="H268" s="2" t="str">
        <f ca="1">IFERROR(__xludf.DUMMYFUNCTION("""COMPUTED_VALUE"""),"8GB")</f>
        <v>8GB</v>
      </c>
      <c r="I268" s="2" t="str">
        <f ca="1">IFERROR(__xludf.DUMMYFUNCTION("""COMPUTED_VALUE"""),"256GB SSD")</f>
        <v>256GB SSD</v>
      </c>
      <c r="J268" s="2" t="str">
        <f ca="1">IFERROR(__xludf.DUMMYFUNCTION("""COMPUTED_VALUE"""),"Intel UHD Graphics 620")</f>
        <v>Intel UHD Graphics 620</v>
      </c>
      <c r="K268" s="2" t="str">
        <f ca="1">IFERROR(__xludf.DUMMYFUNCTION("""COMPUTED_VALUE"""),"Windows 10")</f>
        <v>Windows 10</v>
      </c>
      <c r="L268" s="2" t="str">
        <f ca="1">IFERROR(__xludf.DUMMYFUNCTION("""COMPUTED_VALUE"""),"1.4kg")</f>
        <v>1.4kg</v>
      </c>
      <c r="M268" s="2">
        <f ca="1">IFERROR(__xludf.DUMMYFUNCTION("""COMPUTED_VALUE"""),1599)</f>
        <v>1599</v>
      </c>
    </row>
    <row r="269" spans="1:13">
      <c r="A269" s="2">
        <f ca="1">IFERROR(__xludf.DUMMYFUNCTION("""COMPUTED_VALUE"""),512)</f>
        <v>512</v>
      </c>
      <c r="B269" s="2" t="str">
        <f ca="1">IFERROR(__xludf.DUMMYFUNCTION("""COMPUTED_VALUE"""),"Lenovo")</f>
        <v>Lenovo</v>
      </c>
      <c r="C269" s="2" t="str">
        <f ca="1">IFERROR(__xludf.DUMMYFUNCTION("""COMPUTED_VALUE"""),"ThinkPad 13")</f>
        <v>ThinkPad 13</v>
      </c>
      <c r="D269" s="2" t="str">
        <f ca="1">IFERROR(__xludf.DUMMYFUNCTION("""COMPUTED_VALUE"""),"Notebook")</f>
        <v>Notebook</v>
      </c>
      <c r="E269" s="2">
        <f ca="1">IFERROR(__xludf.DUMMYFUNCTION("""COMPUTED_VALUE"""),13.3)</f>
        <v>13.3</v>
      </c>
      <c r="F269" s="2" t="str">
        <f ca="1">IFERROR(__xludf.DUMMYFUNCTION("""COMPUTED_VALUE"""),"Full HD 1920x1080")</f>
        <v>Full HD 1920x1080</v>
      </c>
      <c r="G269" s="2" t="str">
        <f ca="1">IFERROR(__xludf.DUMMYFUNCTION("""COMPUTED_VALUE"""),"Intel Core i5 7200U 2.5GHz")</f>
        <v>Intel Core i5 7200U 2.5GHz</v>
      </c>
      <c r="H269" s="2" t="str">
        <f ca="1">IFERROR(__xludf.DUMMYFUNCTION("""COMPUTED_VALUE"""),"8GB")</f>
        <v>8GB</v>
      </c>
      <c r="I269" s="2" t="str">
        <f ca="1">IFERROR(__xludf.DUMMYFUNCTION("""COMPUTED_VALUE"""),"256GB SSD")</f>
        <v>256GB SSD</v>
      </c>
      <c r="J269" s="2" t="str">
        <f ca="1">IFERROR(__xludf.DUMMYFUNCTION("""COMPUTED_VALUE"""),"Intel HD Graphics 620")</f>
        <v>Intel HD Graphics 620</v>
      </c>
      <c r="K269" s="2" t="str">
        <f ca="1">IFERROR(__xludf.DUMMYFUNCTION("""COMPUTED_VALUE"""),"Windows 10")</f>
        <v>Windows 10</v>
      </c>
      <c r="L269" s="2" t="str">
        <f ca="1">IFERROR(__xludf.DUMMYFUNCTION("""COMPUTED_VALUE"""),"1.44kg")</f>
        <v>1.44kg</v>
      </c>
      <c r="M269" s="2">
        <f ca="1">IFERROR(__xludf.DUMMYFUNCTION("""COMPUTED_VALUE"""),949)</f>
        <v>949</v>
      </c>
    </row>
    <row r="270" spans="1:13">
      <c r="A270" s="2">
        <f ca="1">IFERROR(__xludf.DUMMYFUNCTION("""COMPUTED_VALUE"""),513)</f>
        <v>513</v>
      </c>
      <c r="B270" s="2" t="str">
        <f ca="1">IFERROR(__xludf.DUMMYFUNCTION("""COMPUTED_VALUE"""),"Asus")</f>
        <v>Asus</v>
      </c>
      <c r="C270" s="2" t="str">
        <f ca="1">IFERROR(__xludf.DUMMYFUNCTION("""COMPUTED_VALUE"""),"ZenBook UX510UX-CN211T")</f>
        <v>ZenBook UX510UX-CN211T</v>
      </c>
      <c r="D270" s="2" t="str">
        <f ca="1">IFERROR(__xludf.DUMMYFUNCTION("""COMPUTED_VALUE"""),"Notebook")</f>
        <v>Notebook</v>
      </c>
      <c r="E270" s="2">
        <f ca="1">IFERROR(__xludf.DUMMYFUNCTION("""COMPUTED_VALUE"""),15.6)</f>
        <v>15.6</v>
      </c>
      <c r="F270" s="2" t="str">
        <f ca="1">IFERROR(__xludf.DUMMYFUNCTION("""COMPUTED_VALUE"""),"Full HD 1920x1080")</f>
        <v>Full HD 1920x1080</v>
      </c>
      <c r="G270" s="2" t="str">
        <f ca="1">IFERROR(__xludf.DUMMYFUNCTION("""COMPUTED_VALUE"""),"Intel Core i7 7500U 2.7GHz")</f>
        <v>Intel Core i7 7500U 2.7GHz</v>
      </c>
      <c r="H270" s="2" t="str">
        <f ca="1">IFERROR(__xludf.DUMMYFUNCTION("""COMPUTED_VALUE"""),"8GB")</f>
        <v>8GB</v>
      </c>
      <c r="I270" s="2" t="str">
        <f ca="1">IFERROR(__xludf.DUMMYFUNCTION("""COMPUTED_VALUE"""),"256GB SSD +  1TB HDD")</f>
        <v>256GB SSD +  1TB HDD</v>
      </c>
      <c r="J270" s="2" t="str">
        <f ca="1">IFERROR(__xludf.DUMMYFUNCTION("""COMPUTED_VALUE"""),"Intel HD Graphics 620")</f>
        <v>Intel HD Graphics 620</v>
      </c>
      <c r="K270" s="2" t="str">
        <f ca="1">IFERROR(__xludf.DUMMYFUNCTION("""COMPUTED_VALUE"""),"Windows 10")</f>
        <v>Windows 10</v>
      </c>
      <c r="L270" s="2" t="str">
        <f ca="1">IFERROR(__xludf.DUMMYFUNCTION("""COMPUTED_VALUE"""),"2kg")</f>
        <v>2kg</v>
      </c>
      <c r="M270" s="2">
        <f ca="1">IFERROR(__xludf.DUMMYFUNCTION("""COMPUTED_VALUE"""),1224)</f>
        <v>1224</v>
      </c>
    </row>
    <row r="271" spans="1:13">
      <c r="A271" s="2">
        <f ca="1">IFERROR(__xludf.DUMMYFUNCTION("""COMPUTED_VALUE"""),515)</f>
        <v>515</v>
      </c>
      <c r="B271" s="2" t="str">
        <f ca="1">IFERROR(__xludf.DUMMYFUNCTION("""COMPUTED_VALUE"""),"HP")</f>
        <v>HP</v>
      </c>
      <c r="C271" s="2" t="str">
        <f ca="1">IFERROR(__xludf.DUMMYFUNCTION("""COMPUTED_VALUE"""),"Envy 13-AB002nv")</f>
        <v>Envy 13-AB002nv</v>
      </c>
      <c r="D271" s="2" t="str">
        <f ca="1">IFERROR(__xludf.DUMMYFUNCTION("""COMPUTED_VALUE"""),"Ultrabook")</f>
        <v>Ultrabook</v>
      </c>
      <c r="E271" s="2">
        <f ca="1">IFERROR(__xludf.DUMMYFUNCTION("""COMPUTED_VALUE"""),13.3)</f>
        <v>13.3</v>
      </c>
      <c r="F271" s="2" t="str">
        <f ca="1">IFERROR(__xludf.DUMMYFUNCTION("""COMPUTED_VALUE"""),"IPS Panel Full HD 1920x1080")</f>
        <v>IPS Panel Full HD 1920x1080</v>
      </c>
      <c r="G271" s="2" t="str">
        <f ca="1">IFERROR(__xludf.DUMMYFUNCTION("""COMPUTED_VALUE"""),"Intel Core i7 7500U 2.7GHz")</f>
        <v>Intel Core i7 7500U 2.7GHz</v>
      </c>
      <c r="H271" s="2" t="str">
        <f ca="1">IFERROR(__xludf.DUMMYFUNCTION("""COMPUTED_VALUE"""),"8GB")</f>
        <v>8GB</v>
      </c>
      <c r="I271" s="2" t="str">
        <f ca="1">IFERROR(__xludf.DUMMYFUNCTION("""COMPUTED_VALUE"""),"512GB SSD")</f>
        <v>512GB SSD</v>
      </c>
      <c r="J271" s="2" t="str">
        <f ca="1">IFERROR(__xludf.DUMMYFUNCTION("""COMPUTED_VALUE"""),"Intel HD Graphics 620")</f>
        <v>Intel HD Graphics 620</v>
      </c>
      <c r="K271" s="2" t="str">
        <f ca="1">IFERROR(__xludf.DUMMYFUNCTION("""COMPUTED_VALUE"""),"Windows 10")</f>
        <v>Windows 10</v>
      </c>
      <c r="L271" s="2" t="str">
        <f ca="1">IFERROR(__xludf.DUMMYFUNCTION("""COMPUTED_VALUE"""),"1.34kg")</f>
        <v>1.34kg</v>
      </c>
      <c r="M271" s="2">
        <f ca="1">IFERROR(__xludf.DUMMYFUNCTION("""COMPUTED_VALUE"""),1323)</f>
        <v>1323</v>
      </c>
    </row>
    <row r="272" spans="1:13">
      <c r="A272" s="2">
        <f ca="1">IFERROR(__xludf.DUMMYFUNCTION("""COMPUTED_VALUE"""),516)</f>
        <v>516</v>
      </c>
      <c r="B272" s="2" t="str">
        <f ca="1">IFERROR(__xludf.DUMMYFUNCTION("""COMPUTED_VALUE"""),"Lenovo")</f>
        <v>Lenovo</v>
      </c>
      <c r="C272" s="2" t="str">
        <f ca="1">IFERROR(__xludf.DUMMYFUNCTION("""COMPUTED_VALUE"""),"Legion Y520-15IKBN")</f>
        <v>Legion Y520-15IKBN</v>
      </c>
      <c r="D272" s="2" t="str">
        <f ca="1">IFERROR(__xludf.DUMMYFUNCTION("""COMPUTED_VALUE"""),"Gaming")</f>
        <v>Gaming</v>
      </c>
      <c r="E272" s="2">
        <f ca="1">IFERROR(__xludf.DUMMYFUNCTION("""COMPUTED_VALUE"""),15.6)</f>
        <v>15.6</v>
      </c>
      <c r="F272" s="2" t="str">
        <f ca="1">IFERROR(__xludf.DUMMYFUNCTION("""COMPUTED_VALUE"""),"IPS Panel Full HD 1920x1080")</f>
        <v>IPS Panel Full HD 1920x1080</v>
      </c>
      <c r="G272" s="2" t="str">
        <f ca="1">IFERROR(__xludf.DUMMYFUNCTION("""COMPUTED_VALUE"""),"Intel Core i7 7700HQ 2.8GHz")</f>
        <v>Intel Core i7 7700HQ 2.8GHz</v>
      </c>
      <c r="H272" s="2" t="str">
        <f ca="1">IFERROR(__xludf.DUMMYFUNCTION("""COMPUTED_VALUE"""),"8GB")</f>
        <v>8GB</v>
      </c>
      <c r="I272" s="2" t="str">
        <f ca="1">IFERROR(__xludf.DUMMYFUNCTION("""COMPUTED_VALUE"""),"256GB SSD +  1TB HDD")</f>
        <v>256GB SSD +  1TB HDD</v>
      </c>
      <c r="J272" s="2" t="str">
        <f ca="1">IFERROR(__xludf.DUMMYFUNCTION("""COMPUTED_VALUE"""),"Nvidia GeForce GTX 1060")</f>
        <v>Nvidia GeForce GTX 1060</v>
      </c>
      <c r="K272" s="2" t="str">
        <f ca="1">IFERROR(__xludf.DUMMYFUNCTION("""COMPUTED_VALUE"""),"No OS")</f>
        <v>No OS</v>
      </c>
      <c r="L272" s="2" t="str">
        <f ca="1">IFERROR(__xludf.DUMMYFUNCTION("""COMPUTED_VALUE"""),"2.4kg")</f>
        <v>2.4kg</v>
      </c>
      <c r="M272" s="2">
        <f ca="1">IFERROR(__xludf.DUMMYFUNCTION("""COMPUTED_VALUE"""),1149)</f>
        <v>1149</v>
      </c>
    </row>
    <row r="273" spans="1:13">
      <c r="A273" s="2">
        <f ca="1">IFERROR(__xludf.DUMMYFUNCTION("""COMPUTED_VALUE"""),517)</f>
        <v>517</v>
      </c>
      <c r="B273" s="2" t="str">
        <f ca="1">IFERROR(__xludf.DUMMYFUNCTION("""COMPUTED_VALUE"""),"Dell")</f>
        <v>Dell</v>
      </c>
      <c r="C273" s="2" t="str">
        <f ca="1">IFERROR(__xludf.DUMMYFUNCTION("""COMPUTED_VALUE"""),"XPS 13")</f>
        <v>XPS 13</v>
      </c>
      <c r="D273" s="2" t="str">
        <f ca="1">IFERROR(__xludf.DUMMYFUNCTION("""COMPUTED_VALUE"""),"Ultrabook")</f>
        <v>Ultrabook</v>
      </c>
      <c r="E273" s="2">
        <f ca="1">IFERROR(__xludf.DUMMYFUNCTION("""COMPUTED_VALUE"""),13.3)</f>
        <v>13.3</v>
      </c>
      <c r="F273" s="2" t="str">
        <f ca="1">IFERROR(__xludf.DUMMYFUNCTION("""COMPUTED_VALUE"""),"IPS Panel Full HD / Touchscreen 1920x1080")</f>
        <v>IPS Panel Full HD / Touchscreen 1920x1080</v>
      </c>
      <c r="G273" s="2" t="str">
        <f ca="1">IFERROR(__xludf.DUMMYFUNCTION("""COMPUTED_VALUE"""),"Intel Core i5 7200U 2.5GHz")</f>
        <v>Intel Core i5 7200U 2.5GHz</v>
      </c>
      <c r="H273" s="2" t="str">
        <f ca="1">IFERROR(__xludf.DUMMYFUNCTION("""COMPUTED_VALUE"""),"8GB")</f>
        <v>8GB</v>
      </c>
      <c r="I273" s="2" t="str">
        <f ca="1">IFERROR(__xludf.DUMMYFUNCTION("""COMPUTED_VALUE"""),"128GB SSD")</f>
        <v>128GB SSD</v>
      </c>
      <c r="J273" s="2" t="str">
        <f ca="1">IFERROR(__xludf.DUMMYFUNCTION("""COMPUTED_VALUE"""),"Intel HD Graphics 620")</f>
        <v>Intel HD Graphics 620</v>
      </c>
      <c r="K273" s="2" t="str">
        <f ca="1">IFERROR(__xludf.DUMMYFUNCTION("""COMPUTED_VALUE"""),"Windows 10")</f>
        <v>Windows 10</v>
      </c>
      <c r="L273" s="2" t="str">
        <f ca="1">IFERROR(__xludf.DUMMYFUNCTION("""COMPUTED_VALUE"""),"1.29kg")</f>
        <v>1.29kg</v>
      </c>
      <c r="M273" s="2">
        <f ca="1">IFERROR(__xludf.DUMMYFUNCTION("""COMPUTED_VALUE"""),899)</f>
        <v>899</v>
      </c>
    </row>
    <row r="274" spans="1:13">
      <c r="A274" s="2">
        <f ca="1">IFERROR(__xludf.DUMMYFUNCTION("""COMPUTED_VALUE"""),519)</f>
        <v>519</v>
      </c>
      <c r="B274" s="2" t="str">
        <f ca="1">IFERROR(__xludf.DUMMYFUNCTION("""COMPUTED_VALUE"""),"Dell")</f>
        <v>Dell</v>
      </c>
      <c r="C274" s="2" t="str">
        <f ca="1">IFERROR(__xludf.DUMMYFUNCTION("""COMPUTED_VALUE"""),"Vostro 5568")</f>
        <v>Vostro 5568</v>
      </c>
      <c r="D274" s="2" t="str">
        <f ca="1">IFERROR(__xludf.DUMMYFUNCTION("""COMPUTED_VALUE"""),"Notebook")</f>
        <v>Notebook</v>
      </c>
      <c r="E274" s="2">
        <f ca="1">IFERROR(__xludf.DUMMYFUNCTION("""COMPUTED_VALUE"""),15.6)</f>
        <v>15.6</v>
      </c>
      <c r="F274" s="2" t="str">
        <f ca="1">IFERROR(__xludf.DUMMYFUNCTION("""COMPUTED_VALUE"""),"Full HD 1920x1080")</f>
        <v>Full HD 1920x1080</v>
      </c>
      <c r="G274" s="2" t="str">
        <f ca="1">IFERROR(__xludf.DUMMYFUNCTION("""COMPUTED_VALUE"""),"Intel Core i5 7200U 2.5GHz")</f>
        <v>Intel Core i5 7200U 2.5GHz</v>
      </c>
      <c r="H274" s="2" t="str">
        <f ca="1">IFERROR(__xludf.DUMMYFUNCTION("""COMPUTED_VALUE"""),"8GB")</f>
        <v>8GB</v>
      </c>
      <c r="I274" s="2" t="str">
        <f ca="1">IFERROR(__xludf.DUMMYFUNCTION("""COMPUTED_VALUE"""),"1TB HDD")</f>
        <v>1TB HDD</v>
      </c>
      <c r="J274" s="2" t="str">
        <f ca="1">IFERROR(__xludf.DUMMYFUNCTION("""COMPUTED_VALUE"""),"Intel HD Graphics 620")</f>
        <v>Intel HD Graphics 620</v>
      </c>
      <c r="K274" s="2" t="str">
        <f ca="1">IFERROR(__xludf.DUMMYFUNCTION("""COMPUTED_VALUE"""),"Windows 10")</f>
        <v>Windows 10</v>
      </c>
      <c r="L274" s="2" t="str">
        <f ca="1">IFERROR(__xludf.DUMMYFUNCTION("""COMPUTED_VALUE"""),"2.18kg")</f>
        <v>2.18kg</v>
      </c>
      <c r="M274" s="2">
        <f ca="1">IFERROR(__xludf.DUMMYFUNCTION("""COMPUTED_VALUE"""),836)</f>
        <v>836</v>
      </c>
    </row>
    <row r="275" spans="1:13">
      <c r="A275" s="2">
        <f ca="1">IFERROR(__xludf.DUMMYFUNCTION("""COMPUTED_VALUE"""),525)</f>
        <v>525</v>
      </c>
      <c r="B275" s="2" t="str">
        <f ca="1">IFERROR(__xludf.DUMMYFUNCTION("""COMPUTED_VALUE"""),"HP")</f>
        <v>HP</v>
      </c>
      <c r="C275" s="2" t="str">
        <f ca="1">IFERROR(__xludf.DUMMYFUNCTION("""COMPUTED_VALUE"""),"Probook 450")</f>
        <v>Probook 450</v>
      </c>
      <c r="D275" s="2" t="str">
        <f ca="1">IFERROR(__xludf.DUMMYFUNCTION("""COMPUTED_VALUE"""),"Notebook")</f>
        <v>Notebook</v>
      </c>
      <c r="E275" s="2">
        <f ca="1">IFERROR(__xludf.DUMMYFUNCTION("""COMPUTED_VALUE"""),15.6)</f>
        <v>15.6</v>
      </c>
      <c r="F275" s="2" t="str">
        <f ca="1">IFERROR(__xludf.DUMMYFUNCTION("""COMPUTED_VALUE"""),"Full HD 1920x1080")</f>
        <v>Full HD 1920x1080</v>
      </c>
      <c r="G275" s="2" t="str">
        <f ca="1">IFERROR(__xludf.DUMMYFUNCTION("""COMPUTED_VALUE"""),"Intel Core i5 7200U 2.5GHz")</f>
        <v>Intel Core i5 7200U 2.5GHz</v>
      </c>
      <c r="H275" s="2" t="str">
        <f ca="1">IFERROR(__xludf.DUMMYFUNCTION("""COMPUTED_VALUE"""),"8GB")</f>
        <v>8GB</v>
      </c>
      <c r="I275" s="2" t="str">
        <f ca="1">IFERROR(__xludf.DUMMYFUNCTION("""COMPUTED_VALUE"""),"256GB SSD")</f>
        <v>256GB SSD</v>
      </c>
      <c r="J275" s="2" t="str">
        <f ca="1">IFERROR(__xludf.DUMMYFUNCTION("""COMPUTED_VALUE"""),"Nvidia GeForce 930MX")</f>
        <v>Nvidia GeForce 930MX</v>
      </c>
      <c r="K275" s="2" t="str">
        <f ca="1">IFERROR(__xludf.DUMMYFUNCTION("""COMPUTED_VALUE"""),"Windows 10")</f>
        <v>Windows 10</v>
      </c>
      <c r="L275" s="2" t="str">
        <f ca="1">IFERROR(__xludf.DUMMYFUNCTION("""COMPUTED_VALUE"""),"2.04kg")</f>
        <v>2.04kg</v>
      </c>
      <c r="M275" s="2">
        <f ca="1">IFERROR(__xludf.DUMMYFUNCTION("""COMPUTED_VALUE"""),889)</f>
        <v>889</v>
      </c>
    </row>
    <row r="276" spans="1:13">
      <c r="A276" s="2">
        <f ca="1">IFERROR(__xludf.DUMMYFUNCTION("""COMPUTED_VALUE"""),527)</f>
        <v>527</v>
      </c>
      <c r="B276" s="2" t="str">
        <f ca="1">IFERROR(__xludf.DUMMYFUNCTION("""COMPUTED_VALUE"""),"Lenovo")</f>
        <v>Lenovo</v>
      </c>
      <c r="C276" s="2" t="str">
        <f ca="1">IFERROR(__xludf.DUMMYFUNCTION("""COMPUTED_VALUE"""),"Legion Y720-15IKB")</f>
        <v>Legion Y720-15IKB</v>
      </c>
      <c r="D276" s="2" t="str">
        <f ca="1">IFERROR(__xludf.DUMMYFUNCTION("""COMPUTED_VALUE"""),"Gaming")</f>
        <v>Gaming</v>
      </c>
      <c r="E276" s="2">
        <f ca="1">IFERROR(__xludf.DUMMYFUNCTION("""COMPUTED_VALUE"""),15.6)</f>
        <v>15.6</v>
      </c>
      <c r="F276" s="2" t="str">
        <f ca="1">IFERROR(__xludf.DUMMYFUNCTION("""COMPUTED_VALUE"""),"IPS Panel Full HD 1920x1080")</f>
        <v>IPS Panel Full HD 1920x1080</v>
      </c>
      <c r="G276" s="2" t="str">
        <f ca="1">IFERROR(__xludf.DUMMYFUNCTION("""COMPUTED_VALUE"""),"Intel Core i7 7700HQ 2.8GHz")</f>
        <v>Intel Core i7 7700HQ 2.8GHz</v>
      </c>
      <c r="H276" s="2" t="str">
        <f ca="1">IFERROR(__xludf.DUMMYFUNCTION("""COMPUTED_VALUE"""),"8GB")</f>
        <v>8GB</v>
      </c>
      <c r="I276" s="2" t="str">
        <f ca="1">IFERROR(__xludf.DUMMYFUNCTION("""COMPUTED_VALUE"""),"256GB SSD +  1TB HDD")</f>
        <v>256GB SSD +  1TB HDD</v>
      </c>
      <c r="J276" s="2" t="str">
        <f ca="1">IFERROR(__xludf.DUMMYFUNCTION("""COMPUTED_VALUE"""),"Nvidia GeForce GTX 1060")</f>
        <v>Nvidia GeForce GTX 1060</v>
      </c>
      <c r="K276" s="2" t="str">
        <f ca="1">IFERROR(__xludf.DUMMYFUNCTION("""COMPUTED_VALUE"""),"Windows 10")</f>
        <v>Windows 10</v>
      </c>
      <c r="L276" s="2" t="str">
        <f ca="1">IFERROR(__xludf.DUMMYFUNCTION("""COMPUTED_VALUE"""),"3.2kg")</f>
        <v>3.2kg</v>
      </c>
      <c r="M276" s="2">
        <f ca="1">IFERROR(__xludf.DUMMYFUNCTION("""COMPUTED_VALUE"""),1399)</f>
        <v>1399</v>
      </c>
    </row>
    <row r="277" spans="1:13">
      <c r="A277" s="2">
        <f ca="1">IFERROR(__xludf.DUMMYFUNCTION("""COMPUTED_VALUE"""),528)</f>
        <v>528</v>
      </c>
      <c r="B277" s="2" t="str">
        <f ca="1">IFERROR(__xludf.DUMMYFUNCTION("""COMPUTED_VALUE"""),"HP")</f>
        <v>HP</v>
      </c>
      <c r="C277" s="2" t="str">
        <f ca="1">IFERROR(__xludf.DUMMYFUNCTION("""COMPUTED_VALUE"""),"Spectre X360")</f>
        <v>Spectre X360</v>
      </c>
      <c r="D277" s="2" t="str">
        <f ca="1">IFERROR(__xludf.DUMMYFUNCTION("""COMPUTED_VALUE"""),"Ultrabook")</f>
        <v>Ultrabook</v>
      </c>
      <c r="E277" s="2">
        <f ca="1">IFERROR(__xludf.DUMMYFUNCTION("""COMPUTED_VALUE"""),13.3)</f>
        <v>13.3</v>
      </c>
      <c r="F277" s="2" t="str">
        <f ca="1">IFERROR(__xludf.DUMMYFUNCTION("""COMPUTED_VALUE"""),"IPS Panel Full HD 1920x1080")</f>
        <v>IPS Panel Full HD 1920x1080</v>
      </c>
      <c r="G277" s="2" t="str">
        <f ca="1">IFERROR(__xludf.DUMMYFUNCTION("""COMPUTED_VALUE"""),"Intel Core i7 7500U 2.7GHz")</f>
        <v>Intel Core i7 7500U 2.7GHz</v>
      </c>
      <c r="H277" s="2" t="str">
        <f ca="1">IFERROR(__xludf.DUMMYFUNCTION("""COMPUTED_VALUE"""),"8GB")</f>
        <v>8GB</v>
      </c>
      <c r="I277" s="2" t="str">
        <f ca="1">IFERROR(__xludf.DUMMYFUNCTION("""COMPUTED_VALUE"""),"256GB SSD")</f>
        <v>256GB SSD</v>
      </c>
      <c r="J277" s="2" t="str">
        <f ca="1">IFERROR(__xludf.DUMMYFUNCTION("""COMPUTED_VALUE"""),"Intel HD Graphics 620")</f>
        <v>Intel HD Graphics 620</v>
      </c>
      <c r="K277" s="2" t="str">
        <f ca="1">IFERROR(__xludf.DUMMYFUNCTION("""COMPUTED_VALUE"""),"Windows 10")</f>
        <v>Windows 10</v>
      </c>
      <c r="L277" s="2" t="str">
        <f ca="1">IFERROR(__xludf.DUMMYFUNCTION("""COMPUTED_VALUE"""),"1.32kg")</f>
        <v>1.32kg</v>
      </c>
      <c r="M277" s="2">
        <f ca="1">IFERROR(__xludf.DUMMYFUNCTION("""COMPUTED_VALUE"""),1399)</f>
        <v>1399</v>
      </c>
    </row>
    <row r="278" spans="1:13">
      <c r="A278" s="2">
        <f ca="1">IFERROR(__xludf.DUMMYFUNCTION("""COMPUTED_VALUE"""),529)</f>
        <v>529</v>
      </c>
      <c r="B278" s="2" t="str">
        <f ca="1">IFERROR(__xludf.DUMMYFUNCTION("""COMPUTED_VALUE"""),"Dell")</f>
        <v>Dell</v>
      </c>
      <c r="C278" s="2" t="str">
        <f ca="1">IFERROR(__xludf.DUMMYFUNCTION("""COMPUTED_VALUE"""),"Latitude 5480")</f>
        <v>Latitude 5480</v>
      </c>
      <c r="D278" s="2" t="str">
        <f ca="1">IFERROR(__xludf.DUMMYFUNCTION("""COMPUTED_VALUE"""),"Notebook")</f>
        <v>Notebook</v>
      </c>
      <c r="E278" s="2">
        <f ca="1">IFERROR(__xludf.DUMMYFUNCTION("""COMPUTED_VALUE"""),14)</f>
        <v>14</v>
      </c>
      <c r="F278" s="2" t="str">
        <f ca="1">IFERROR(__xludf.DUMMYFUNCTION("""COMPUTED_VALUE"""),"Full HD 1920x1080")</f>
        <v>Full HD 1920x1080</v>
      </c>
      <c r="G278" s="2" t="str">
        <f ca="1">IFERROR(__xludf.DUMMYFUNCTION("""COMPUTED_VALUE"""),"Intel Core i5 7300U 2.6GHz")</f>
        <v>Intel Core i5 7300U 2.6GHz</v>
      </c>
      <c r="H278" s="2" t="str">
        <f ca="1">IFERROR(__xludf.DUMMYFUNCTION("""COMPUTED_VALUE"""),"8GB")</f>
        <v>8GB</v>
      </c>
      <c r="I278" s="2" t="str">
        <f ca="1">IFERROR(__xludf.DUMMYFUNCTION("""COMPUTED_VALUE"""),"256GB SSD")</f>
        <v>256GB SSD</v>
      </c>
      <c r="J278" s="2" t="str">
        <f ca="1">IFERROR(__xludf.DUMMYFUNCTION("""COMPUTED_VALUE"""),"Intel HD Graphics 620")</f>
        <v>Intel HD Graphics 620</v>
      </c>
      <c r="K278" s="2" t="str">
        <f ca="1">IFERROR(__xludf.DUMMYFUNCTION("""COMPUTED_VALUE"""),"Windows 10")</f>
        <v>Windows 10</v>
      </c>
      <c r="L278" s="2" t="str">
        <f ca="1">IFERROR(__xludf.DUMMYFUNCTION("""COMPUTED_VALUE"""),"1.64kg")</f>
        <v>1.64kg</v>
      </c>
      <c r="M278" s="2">
        <f ca="1">IFERROR(__xludf.DUMMYFUNCTION("""COMPUTED_VALUE"""),1279.73)</f>
        <v>1279.73</v>
      </c>
    </row>
    <row r="279" spans="1:13">
      <c r="A279" s="2">
        <f ca="1">IFERROR(__xludf.DUMMYFUNCTION("""COMPUTED_VALUE"""),531)</f>
        <v>531</v>
      </c>
      <c r="B279" s="2" t="str">
        <f ca="1">IFERROR(__xludf.DUMMYFUNCTION("""COMPUTED_VALUE"""),"Dell")</f>
        <v>Dell</v>
      </c>
      <c r="C279" s="2" t="str">
        <f ca="1">IFERROR(__xludf.DUMMYFUNCTION("""COMPUTED_VALUE"""),"Inspiron 5770")</f>
        <v>Inspiron 5770</v>
      </c>
      <c r="D279" s="2" t="str">
        <f ca="1">IFERROR(__xludf.DUMMYFUNCTION("""COMPUTED_VALUE"""),"Notebook")</f>
        <v>Notebook</v>
      </c>
      <c r="E279" s="2">
        <f ca="1">IFERROR(__xludf.DUMMYFUNCTION("""COMPUTED_VALUE"""),17.3)</f>
        <v>17.3</v>
      </c>
      <c r="F279" s="2" t="str">
        <f ca="1">IFERROR(__xludf.DUMMYFUNCTION("""COMPUTED_VALUE"""),"IPS Panel Full HD 1920x1080")</f>
        <v>IPS Panel Full HD 1920x1080</v>
      </c>
      <c r="G279" s="2" t="str">
        <f ca="1">IFERROR(__xludf.DUMMYFUNCTION("""COMPUTED_VALUE"""),"Intel Core i5 8250U 1.6GHz")</f>
        <v>Intel Core i5 8250U 1.6GHz</v>
      </c>
      <c r="H279" s="2" t="str">
        <f ca="1">IFERROR(__xludf.DUMMYFUNCTION("""COMPUTED_VALUE"""),"8GB")</f>
        <v>8GB</v>
      </c>
      <c r="I279" s="2" t="str">
        <f ca="1">IFERROR(__xludf.DUMMYFUNCTION("""COMPUTED_VALUE"""),"128GB SSD +  1TB HDD")</f>
        <v>128GB SSD +  1TB HDD</v>
      </c>
      <c r="J279" s="2" t="str">
        <f ca="1">IFERROR(__xludf.DUMMYFUNCTION("""COMPUTED_VALUE"""),"AMD Radeon 530")</f>
        <v>AMD Radeon 530</v>
      </c>
      <c r="K279" s="2" t="str">
        <f ca="1">IFERROR(__xludf.DUMMYFUNCTION("""COMPUTED_VALUE"""),"Linux")</f>
        <v>Linux</v>
      </c>
      <c r="L279" s="2" t="str">
        <f ca="1">IFERROR(__xludf.DUMMYFUNCTION("""COMPUTED_VALUE"""),"2.8kg")</f>
        <v>2.8kg</v>
      </c>
      <c r="M279" s="2">
        <f ca="1">IFERROR(__xludf.DUMMYFUNCTION("""COMPUTED_VALUE"""),889)</f>
        <v>889</v>
      </c>
    </row>
    <row r="280" spans="1:13">
      <c r="A280" s="2">
        <f ca="1">IFERROR(__xludf.DUMMYFUNCTION("""COMPUTED_VALUE"""),532)</f>
        <v>532</v>
      </c>
      <c r="B280" s="2" t="str">
        <f ca="1">IFERROR(__xludf.DUMMYFUNCTION("""COMPUTED_VALUE"""),"Lenovo")</f>
        <v>Lenovo</v>
      </c>
      <c r="C280" s="2" t="str">
        <f ca="1">IFERROR(__xludf.DUMMYFUNCTION("""COMPUTED_VALUE"""),"ThinkPad L470")</f>
        <v>ThinkPad L470</v>
      </c>
      <c r="D280" s="2" t="str">
        <f ca="1">IFERROR(__xludf.DUMMYFUNCTION("""COMPUTED_VALUE"""),"Notebook")</f>
        <v>Notebook</v>
      </c>
      <c r="E280" s="2">
        <f ca="1">IFERROR(__xludf.DUMMYFUNCTION("""COMPUTED_VALUE"""),14)</f>
        <v>14</v>
      </c>
      <c r="F280" s="2" t="str">
        <f ca="1">IFERROR(__xludf.DUMMYFUNCTION("""COMPUTED_VALUE"""),"Full HD 1920x1080")</f>
        <v>Full HD 1920x1080</v>
      </c>
      <c r="G280" s="2" t="str">
        <f ca="1">IFERROR(__xludf.DUMMYFUNCTION("""COMPUTED_VALUE"""),"Intel Core i5 6200U 2.3GHz")</f>
        <v>Intel Core i5 6200U 2.3GHz</v>
      </c>
      <c r="H280" s="2" t="str">
        <f ca="1">IFERROR(__xludf.DUMMYFUNCTION("""COMPUTED_VALUE"""),"8GB")</f>
        <v>8GB</v>
      </c>
      <c r="I280" s="2" t="str">
        <f ca="1">IFERROR(__xludf.DUMMYFUNCTION("""COMPUTED_VALUE"""),"256GB SSD")</f>
        <v>256GB SSD</v>
      </c>
      <c r="J280" s="2" t="str">
        <f ca="1">IFERROR(__xludf.DUMMYFUNCTION("""COMPUTED_VALUE"""),"Intel HD Graphics 520")</f>
        <v>Intel HD Graphics 520</v>
      </c>
      <c r="K280" s="2" t="str">
        <f ca="1">IFERROR(__xludf.DUMMYFUNCTION("""COMPUTED_VALUE"""),"Windows 7")</f>
        <v>Windows 7</v>
      </c>
      <c r="L280" s="2" t="str">
        <f ca="1">IFERROR(__xludf.DUMMYFUNCTION("""COMPUTED_VALUE"""),"2.02kg")</f>
        <v>2.02kg</v>
      </c>
      <c r="M280" s="2">
        <f ca="1">IFERROR(__xludf.DUMMYFUNCTION("""COMPUTED_VALUE"""),1340)</f>
        <v>1340</v>
      </c>
    </row>
    <row r="281" spans="1:13">
      <c r="A281" s="2">
        <f ca="1">IFERROR(__xludf.DUMMYFUNCTION("""COMPUTED_VALUE"""),534)</f>
        <v>534</v>
      </c>
      <c r="B281" s="2" t="str">
        <f ca="1">IFERROR(__xludf.DUMMYFUNCTION("""COMPUTED_VALUE"""),"Lenovo")</f>
        <v>Lenovo</v>
      </c>
      <c r="C281" s="2" t="str">
        <f ca="1">IFERROR(__xludf.DUMMYFUNCTION("""COMPUTED_VALUE"""),"IdeaPad 320-15ISK")</f>
        <v>IdeaPad 320-15ISK</v>
      </c>
      <c r="D281" s="2" t="str">
        <f ca="1">IFERROR(__xludf.DUMMYFUNCTION("""COMPUTED_VALUE"""),"Notebook")</f>
        <v>Notebook</v>
      </c>
      <c r="E281" s="2">
        <f ca="1">IFERROR(__xludf.DUMMYFUNCTION("""COMPUTED_VALUE"""),15.6)</f>
        <v>15.6</v>
      </c>
      <c r="F281" s="2" t="str">
        <f ca="1">IFERROR(__xludf.DUMMYFUNCTION("""COMPUTED_VALUE"""),"1366x768")</f>
        <v>1366x768</v>
      </c>
      <c r="G281" s="2" t="str">
        <f ca="1">IFERROR(__xludf.DUMMYFUNCTION("""COMPUTED_VALUE"""),"Intel Core i3 6006U 2GHz")</f>
        <v>Intel Core i3 6006U 2GHz</v>
      </c>
      <c r="H281" s="2" t="str">
        <f ca="1">IFERROR(__xludf.DUMMYFUNCTION("""COMPUTED_VALUE"""),"8GB")</f>
        <v>8GB</v>
      </c>
      <c r="I281" s="2" t="str">
        <f ca="1">IFERROR(__xludf.DUMMYFUNCTION("""COMPUTED_VALUE"""),"2TB HDD")</f>
        <v>2TB HDD</v>
      </c>
      <c r="J281" s="2" t="str">
        <f ca="1">IFERROR(__xludf.DUMMYFUNCTION("""COMPUTED_VALUE"""),"Nvidia GeForce 920MX ")</f>
        <v xml:space="preserve">Nvidia GeForce 920MX </v>
      </c>
      <c r="K281" s="2" t="str">
        <f ca="1">IFERROR(__xludf.DUMMYFUNCTION("""COMPUTED_VALUE"""),"No OS")</f>
        <v>No OS</v>
      </c>
      <c r="L281" s="2" t="str">
        <f ca="1">IFERROR(__xludf.DUMMYFUNCTION("""COMPUTED_VALUE"""),"2.2kg")</f>
        <v>2.2kg</v>
      </c>
      <c r="M281" s="2">
        <f ca="1">IFERROR(__xludf.DUMMYFUNCTION("""COMPUTED_VALUE"""),459)</f>
        <v>459</v>
      </c>
    </row>
    <row r="282" spans="1:13">
      <c r="A282" s="2">
        <f ca="1">IFERROR(__xludf.DUMMYFUNCTION("""COMPUTED_VALUE"""),536)</f>
        <v>536</v>
      </c>
      <c r="B282" s="2" t="str">
        <f ca="1">IFERROR(__xludf.DUMMYFUNCTION("""COMPUTED_VALUE"""),"Dell")</f>
        <v>Dell</v>
      </c>
      <c r="C282" s="2" t="str">
        <f ca="1">IFERROR(__xludf.DUMMYFUNCTION("""COMPUTED_VALUE"""),"Latitude 5580")</f>
        <v>Latitude 5580</v>
      </c>
      <c r="D282" s="2" t="str">
        <f ca="1">IFERROR(__xludf.DUMMYFUNCTION("""COMPUTED_VALUE"""),"Notebook")</f>
        <v>Notebook</v>
      </c>
      <c r="E282" s="2">
        <f ca="1">IFERROR(__xludf.DUMMYFUNCTION("""COMPUTED_VALUE"""),15.6)</f>
        <v>15.6</v>
      </c>
      <c r="F282" s="2" t="str">
        <f ca="1">IFERROR(__xludf.DUMMYFUNCTION("""COMPUTED_VALUE"""),"Full HD 1920x1080")</f>
        <v>Full HD 1920x1080</v>
      </c>
      <c r="G282" s="2" t="str">
        <f ca="1">IFERROR(__xludf.DUMMYFUNCTION("""COMPUTED_VALUE"""),"Intel Core i5 7440HQ 2.8GHz")</f>
        <v>Intel Core i5 7440HQ 2.8GHz</v>
      </c>
      <c r="H282" s="2" t="str">
        <f ca="1">IFERROR(__xludf.DUMMYFUNCTION("""COMPUTED_VALUE"""),"8GB")</f>
        <v>8GB</v>
      </c>
      <c r="I282" s="2" t="str">
        <f ca="1">IFERROR(__xludf.DUMMYFUNCTION("""COMPUTED_VALUE"""),"256GB SSD")</f>
        <v>256GB SSD</v>
      </c>
      <c r="J282" s="2" t="str">
        <f ca="1">IFERROR(__xludf.DUMMYFUNCTION("""COMPUTED_VALUE"""),"Intel HD Graphics 620")</f>
        <v>Intel HD Graphics 620</v>
      </c>
      <c r="K282" s="2" t="str">
        <f ca="1">IFERROR(__xludf.DUMMYFUNCTION("""COMPUTED_VALUE"""),"Windows 10")</f>
        <v>Windows 10</v>
      </c>
      <c r="L282" s="2" t="str">
        <f ca="1">IFERROR(__xludf.DUMMYFUNCTION("""COMPUTED_VALUE"""),"1.9kg")</f>
        <v>1.9kg</v>
      </c>
      <c r="M282" s="2">
        <f ca="1">IFERROR(__xludf.DUMMYFUNCTION("""COMPUTED_VALUE"""),1377)</f>
        <v>1377</v>
      </c>
    </row>
    <row r="283" spans="1:13">
      <c r="A283" s="2">
        <f ca="1">IFERROR(__xludf.DUMMYFUNCTION("""COMPUTED_VALUE"""),538)</f>
        <v>538</v>
      </c>
      <c r="B283" s="2" t="str">
        <f ca="1">IFERROR(__xludf.DUMMYFUNCTION("""COMPUTED_VALUE"""),"Toshiba")</f>
        <v>Toshiba</v>
      </c>
      <c r="C283" s="2" t="str">
        <f ca="1">IFERROR(__xludf.DUMMYFUNCTION("""COMPUTED_VALUE"""),"Satellite Pro")</f>
        <v>Satellite Pro</v>
      </c>
      <c r="D283" s="2" t="str">
        <f ca="1">IFERROR(__xludf.DUMMYFUNCTION("""COMPUTED_VALUE"""),"Notebook")</f>
        <v>Notebook</v>
      </c>
      <c r="E283" s="2">
        <f ca="1">IFERROR(__xludf.DUMMYFUNCTION("""COMPUTED_VALUE"""),15.6)</f>
        <v>15.6</v>
      </c>
      <c r="F283" s="2" t="str">
        <f ca="1">IFERROR(__xludf.DUMMYFUNCTION("""COMPUTED_VALUE"""),"IPS Panel Full HD 1920x1080")</f>
        <v>IPS Panel Full HD 1920x1080</v>
      </c>
      <c r="G283" s="2" t="str">
        <f ca="1">IFERROR(__xludf.DUMMYFUNCTION("""COMPUTED_VALUE"""),"Intel Core i5 7200U 2.5GHz")</f>
        <v>Intel Core i5 7200U 2.5GHz</v>
      </c>
      <c r="H283" s="2" t="str">
        <f ca="1">IFERROR(__xludf.DUMMYFUNCTION("""COMPUTED_VALUE"""),"8GB")</f>
        <v>8GB</v>
      </c>
      <c r="I283" s="2" t="str">
        <f ca="1">IFERROR(__xludf.DUMMYFUNCTION("""COMPUTED_VALUE"""),"500GB HDD")</f>
        <v>500GB HDD</v>
      </c>
      <c r="J283" s="2" t="str">
        <f ca="1">IFERROR(__xludf.DUMMYFUNCTION("""COMPUTED_VALUE"""),"Intel HD Graphics 620")</f>
        <v>Intel HD Graphics 620</v>
      </c>
      <c r="K283" s="2" t="str">
        <f ca="1">IFERROR(__xludf.DUMMYFUNCTION("""COMPUTED_VALUE"""),"Windows 10")</f>
        <v>Windows 10</v>
      </c>
      <c r="L283" s="2" t="str">
        <f ca="1">IFERROR(__xludf.DUMMYFUNCTION("""COMPUTED_VALUE"""),"2.0kg")</f>
        <v>2.0kg</v>
      </c>
      <c r="M283" s="2">
        <f ca="1">IFERROR(__xludf.DUMMYFUNCTION("""COMPUTED_VALUE"""),860)</f>
        <v>860</v>
      </c>
    </row>
    <row r="284" spans="1:13">
      <c r="A284" s="2">
        <f ca="1">IFERROR(__xludf.DUMMYFUNCTION("""COMPUTED_VALUE"""),539)</f>
        <v>539</v>
      </c>
      <c r="B284" s="2" t="str">
        <f ca="1">IFERROR(__xludf.DUMMYFUNCTION("""COMPUTED_VALUE"""),"Asus")</f>
        <v>Asus</v>
      </c>
      <c r="C284" s="2" t="str">
        <f ca="1">IFERROR(__xludf.DUMMYFUNCTION("""COMPUTED_VALUE"""),"Zenbook UX510UW-FI095T")</f>
        <v>Zenbook UX510UW-FI095T</v>
      </c>
      <c r="D284" s="2" t="str">
        <f ca="1">IFERROR(__xludf.DUMMYFUNCTION("""COMPUTED_VALUE"""),"Notebook")</f>
        <v>Notebook</v>
      </c>
      <c r="E284" s="2">
        <f ca="1">IFERROR(__xludf.DUMMYFUNCTION("""COMPUTED_VALUE"""),15.6)</f>
        <v>15.6</v>
      </c>
      <c r="F284" s="2" t="str">
        <f ca="1">IFERROR(__xludf.DUMMYFUNCTION("""COMPUTED_VALUE"""),"IPS Panel 4K Ultra HD 3840x2160")</f>
        <v>IPS Panel 4K Ultra HD 3840x2160</v>
      </c>
      <c r="G284" s="2" t="str">
        <f ca="1">IFERROR(__xludf.DUMMYFUNCTION("""COMPUTED_VALUE"""),"Intel Core i7 7500U 2.7GHz")</f>
        <v>Intel Core i7 7500U 2.7GHz</v>
      </c>
      <c r="H284" s="2" t="str">
        <f ca="1">IFERROR(__xludf.DUMMYFUNCTION("""COMPUTED_VALUE"""),"8GB")</f>
        <v>8GB</v>
      </c>
      <c r="I284" s="2" t="str">
        <f ca="1">IFERROR(__xludf.DUMMYFUNCTION("""COMPUTED_VALUE"""),"256GB SSD +  1TB HDD")</f>
        <v>256GB SSD +  1TB HDD</v>
      </c>
      <c r="J284" s="2" t="str">
        <f ca="1">IFERROR(__xludf.DUMMYFUNCTION("""COMPUTED_VALUE"""),"Nvidia GeForce GTX 960M")</f>
        <v>Nvidia GeForce GTX 960M</v>
      </c>
      <c r="K284" s="2" t="str">
        <f ca="1">IFERROR(__xludf.DUMMYFUNCTION("""COMPUTED_VALUE"""),"Windows 10")</f>
        <v>Windows 10</v>
      </c>
      <c r="L284" s="2" t="str">
        <f ca="1">IFERROR(__xludf.DUMMYFUNCTION("""COMPUTED_VALUE"""),"2kg")</f>
        <v>2kg</v>
      </c>
      <c r="M284" s="2">
        <f ca="1">IFERROR(__xludf.DUMMYFUNCTION("""COMPUTED_VALUE"""),1299)</f>
        <v>1299</v>
      </c>
    </row>
    <row r="285" spans="1:13">
      <c r="A285" s="2">
        <f ca="1">IFERROR(__xludf.DUMMYFUNCTION("""COMPUTED_VALUE"""),541)</f>
        <v>541</v>
      </c>
      <c r="B285" s="2" t="str">
        <f ca="1">IFERROR(__xludf.DUMMYFUNCTION("""COMPUTED_VALUE"""),"Asus")</f>
        <v>Asus</v>
      </c>
      <c r="C285" s="2" t="str">
        <f ca="1">IFERROR(__xludf.DUMMYFUNCTION("""COMPUTED_VALUE"""),"ROG Strix")</f>
        <v>ROG Strix</v>
      </c>
      <c r="D285" s="2" t="str">
        <f ca="1">IFERROR(__xludf.DUMMYFUNCTION("""COMPUTED_VALUE"""),"Gaming")</f>
        <v>Gaming</v>
      </c>
      <c r="E285" s="2">
        <f ca="1">IFERROR(__xludf.DUMMYFUNCTION("""COMPUTED_VALUE"""),15.6)</f>
        <v>15.6</v>
      </c>
      <c r="F285" s="2" t="str">
        <f ca="1">IFERROR(__xludf.DUMMYFUNCTION("""COMPUTED_VALUE"""),"IPS Panel Full HD 1920x1080")</f>
        <v>IPS Panel Full HD 1920x1080</v>
      </c>
      <c r="G285" s="2" t="str">
        <f ca="1">IFERROR(__xludf.DUMMYFUNCTION("""COMPUTED_VALUE"""),"Intel Core i5 7300HQ 2.5GHz")</f>
        <v>Intel Core i5 7300HQ 2.5GHz</v>
      </c>
      <c r="H285" s="2" t="str">
        <f ca="1">IFERROR(__xludf.DUMMYFUNCTION("""COMPUTED_VALUE"""),"8GB")</f>
        <v>8GB</v>
      </c>
      <c r="I285" s="2" t="str">
        <f ca="1">IFERROR(__xludf.DUMMYFUNCTION("""COMPUTED_VALUE"""),"128GB SSD +  1TB HDD")</f>
        <v>128GB SSD +  1TB HDD</v>
      </c>
      <c r="J285" s="2" t="str">
        <f ca="1">IFERROR(__xludf.DUMMYFUNCTION("""COMPUTED_VALUE"""),"Nvidia GeForce GTX 1060")</f>
        <v>Nvidia GeForce GTX 1060</v>
      </c>
      <c r="K285" s="2" t="str">
        <f ca="1">IFERROR(__xludf.DUMMYFUNCTION("""COMPUTED_VALUE"""),"Windows 10")</f>
        <v>Windows 10</v>
      </c>
      <c r="L285" s="2" t="str">
        <f ca="1">IFERROR(__xludf.DUMMYFUNCTION("""COMPUTED_VALUE"""),"2.3kg")</f>
        <v>2.3kg</v>
      </c>
      <c r="M285" s="2">
        <f ca="1">IFERROR(__xludf.DUMMYFUNCTION("""COMPUTED_VALUE"""),1649)</f>
        <v>1649</v>
      </c>
    </row>
    <row r="286" spans="1:13">
      <c r="A286" s="2">
        <f ca="1">IFERROR(__xludf.DUMMYFUNCTION("""COMPUTED_VALUE"""),542)</f>
        <v>542</v>
      </c>
      <c r="B286" s="2" t="str">
        <f ca="1">IFERROR(__xludf.DUMMYFUNCTION("""COMPUTED_VALUE"""),"Dell")</f>
        <v>Dell</v>
      </c>
      <c r="C286" s="2" t="str">
        <f ca="1">IFERROR(__xludf.DUMMYFUNCTION("""COMPUTED_VALUE"""),"Latitude 5580")</f>
        <v>Latitude 5580</v>
      </c>
      <c r="D286" s="2" t="str">
        <f ca="1">IFERROR(__xludf.DUMMYFUNCTION("""COMPUTED_VALUE"""),"Notebook")</f>
        <v>Notebook</v>
      </c>
      <c r="E286" s="2">
        <f ca="1">IFERROR(__xludf.DUMMYFUNCTION("""COMPUTED_VALUE"""),15.6)</f>
        <v>15.6</v>
      </c>
      <c r="F286" s="2" t="str">
        <f ca="1">IFERROR(__xludf.DUMMYFUNCTION("""COMPUTED_VALUE"""),"Full HD 1920x1080")</f>
        <v>Full HD 1920x1080</v>
      </c>
      <c r="G286" s="2" t="str">
        <f ca="1">IFERROR(__xludf.DUMMYFUNCTION("""COMPUTED_VALUE"""),"Intel Core i7 7600U 2.8GHz")</f>
        <v>Intel Core i7 7600U 2.8GHz</v>
      </c>
      <c r="H286" s="2" t="str">
        <f ca="1">IFERROR(__xludf.DUMMYFUNCTION("""COMPUTED_VALUE"""),"8GB")</f>
        <v>8GB</v>
      </c>
      <c r="I286" s="2" t="str">
        <f ca="1">IFERROR(__xludf.DUMMYFUNCTION("""COMPUTED_VALUE"""),"256GB SSD")</f>
        <v>256GB SSD</v>
      </c>
      <c r="J286" s="2" t="str">
        <f ca="1">IFERROR(__xludf.DUMMYFUNCTION("""COMPUTED_VALUE"""),"Nvidia GeForce 930MX")</f>
        <v>Nvidia GeForce 930MX</v>
      </c>
      <c r="K286" s="2" t="str">
        <f ca="1">IFERROR(__xludf.DUMMYFUNCTION("""COMPUTED_VALUE"""),"Windows 10")</f>
        <v>Windows 10</v>
      </c>
      <c r="L286" s="2" t="str">
        <f ca="1">IFERROR(__xludf.DUMMYFUNCTION("""COMPUTED_VALUE"""),"1.93kg")</f>
        <v>1.93kg</v>
      </c>
      <c r="M286" s="2">
        <f ca="1">IFERROR(__xludf.DUMMYFUNCTION("""COMPUTED_VALUE"""),1369)</f>
        <v>1369</v>
      </c>
    </row>
    <row r="287" spans="1:13">
      <c r="A287" s="2">
        <f ca="1">IFERROR(__xludf.DUMMYFUNCTION("""COMPUTED_VALUE"""),543)</f>
        <v>543</v>
      </c>
      <c r="B287" s="2" t="str">
        <f ca="1">IFERROR(__xludf.DUMMYFUNCTION("""COMPUTED_VALUE"""),"Dell")</f>
        <v>Dell</v>
      </c>
      <c r="C287" s="2" t="str">
        <f ca="1">IFERROR(__xludf.DUMMYFUNCTION("""COMPUTED_VALUE"""),"Inspiron 5570")</f>
        <v>Inspiron 5570</v>
      </c>
      <c r="D287" s="2" t="str">
        <f ca="1">IFERROR(__xludf.DUMMYFUNCTION("""COMPUTED_VALUE"""),"Notebook")</f>
        <v>Notebook</v>
      </c>
      <c r="E287" s="2">
        <f ca="1">IFERROR(__xludf.DUMMYFUNCTION("""COMPUTED_VALUE"""),15.6)</f>
        <v>15.6</v>
      </c>
      <c r="F287" s="2" t="str">
        <f ca="1">IFERROR(__xludf.DUMMYFUNCTION("""COMPUTED_VALUE"""),"Full HD 1920x1080")</f>
        <v>Full HD 1920x1080</v>
      </c>
      <c r="G287" s="2" t="str">
        <f ca="1">IFERROR(__xludf.DUMMYFUNCTION("""COMPUTED_VALUE"""),"Intel Core i5 8250U 1.6GHz")</f>
        <v>Intel Core i5 8250U 1.6GHz</v>
      </c>
      <c r="H287" s="2" t="str">
        <f ca="1">IFERROR(__xludf.DUMMYFUNCTION("""COMPUTED_VALUE"""),"8GB")</f>
        <v>8GB</v>
      </c>
      <c r="I287" s="2" t="str">
        <f ca="1">IFERROR(__xludf.DUMMYFUNCTION("""COMPUTED_VALUE"""),"256GB SSD")</f>
        <v>256GB SSD</v>
      </c>
      <c r="J287" s="2" t="str">
        <f ca="1">IFERROR(__xludf.DUMMYFUNCTION("""COMPUTED_VALUE"""),"AMD Radeon 530")</f>
        <v>AMD Radeon 530</v>
      </c>
      <c r="K287" s="2" t="str">
        <f ca="1">IFERROR(__xludf.DUMMYFUNCTION("""COMPUTED_VALUE"""),"Windows 10")</f>
        <v>Windows 10</v>
      </c>
      <c r="L287" s="2" t="str">
        <f ca="1">IFERROR(__xludf.DUMMYFUNCTION("""COMPUTED_VALUE"""),"2.2kg")</f>
        <v>2.2kg</v>
      </c>
      <c r="M287" s="2">
        <f ca="1">IFERROR(__xludf.DUMMYFUNCTION("""COMPUTED_VALUE"""),797.41)</f>
        <v>797.41</v>
      </c>
    </row>
    <row r="288" spans="1:13">
      <c r="A288" s="2">
        <f ca="1">IFERROR(__xludf.DUMMYFUNCTION("""COMPUTED_VALUE"""),546)</f>
        <v>546</v>
      </c>
      <c r="B288" s="2" t="str">
        <f ca="1">IFERROR(__xludf.DUMMYFUNCTION("""COMPUTED_VALUE"""),"Lenovo")</f>
        <v>Lenovo</v>
      </c>
      <c r="C288" s="2" t="str">
        <f ca="1">IFERROR(__xludf.DUMMYFUNCTION("""COMPUTED_VALUE"""),"Thinkpad E470")</f>
        <v>Thinkpad E470</v>
      </c>
      <c r="D288" s="2" t="str">
        <f ca="1">IFERROR(__xludf.DUMMYFUNCTION("""COMPUTED_VALUE"""),"Notebook")</f>
        <v>Notebook</v>
      </c>
      <c r="E288" s="2">
        <f ca="1">IFERROR(__xludf.DUMMYFUNCTION("""COMPUTED_VALUE"""),14)</f>
        <v>14</v>
      </c>
      <c r="F288" s="2" t="str">
        <f ca="1">IFERROR(__xludf.DUMMYFUNCTION("""COMPUTED_VALUE"""),"IPS Panel Full HD 1920x1080")</f>
        <v>IPS Panel Full HD 1920x1080</v>
      </c>
      <c r="G288" s="2" t="str">
        <f ca="1">IFERROR(__xludf.DUMMYFUNCTION("""COMPUTED_VALUE"""),"Intel Core i7 7500U 2.7GHz")</f>
        <v>Intel Core i7 7500U 2.7GHz</v>
      </c>
      <c r="H288" s="2" t="str">
        <f ca="1">IFERROR(__xludf.DUMMYFUNCTION("""COMPUTED_VALUE"""),"8GB")</f>
        <v>8GB</v>
      </c>
      <c r="I288" s="2" t="str">
        <f ca="1">IFERROR(__xludf.DUMMYFUNCTION("""COMPUTED_VALUE"""),"256GB SSD")</f>
        <v>256GB SSD</v>
      </c>
      <c r="J288" s="2" t="str">
        <f ca="1">IFERROR(__xludf.DUMMYFUNCTION("""COMPUTED_VALUE"""),"Nvidia GeForce 940MX")</f>
        <v>Nvidia GeForce 940MX</v>
      </c>
      <c r="K288" s="2" t="str">
        <f ca="1">IFERROR(__xludf.DUMMYFUNCTION("""COMPUTED_VALUE"""),"Windows 10")</f>
        <v>Windows 10</v>
      </c>
      <c r="L288" s="2" t="str">
        <f ca="1">IFERROR(__xludf.DUMMYFUNCTION("""COMPUTED_VALUE"""),"1.87kg")</f>
        <v>1.87kg</v>
      </c>
      <c r="M288" s="2">
        <f ca="1">IFERROR(__xludf.DUMMYFUNCTION("""COMPUTED_VALUE"""),859)</f>
        <v>859</v>
      </c>
    </row>
    <row r="289" spans="1:13">
      <c r="A289" s="2">
        <f ca="1">IFERROR(__xludf.DUMMYFUNCTION("""COMPUTED_VALUE"""),547)</f>
        <v>547</v>
      </c>
      <c r="B289" s="2" t="str">
        <f ca="1">IFERROR(__xludf.DUMMYFUNCTION("""COMPUTED_VALUE"""),"Dell")</f>
        <v>Dell</v>
      </c>
      <c r="C289" s="2" t="str">
        <f ca="1">IFERROR(__xludf.DUMMYFUNCTION("""COMPUTED_VALUE"""),"XPS 13")</f>
        <v>XPS 13</v>
      </c>
      <c r="D289" s="2" t="str">
        <f ca="1">IFERROR(__xludf.DUMMYFUNCTION("""COMPUTED_VALUE"""),"Ultrabook")</f>
        <v>Ultrabook</v>
      </c>
      <c r="E289" s="2">
        <f ca="1">IFERROR(__xludf.DUMMYFUNCTION("""COMPUTED_VALUE"""),13.3)</f>
        <v>13.3</v>
      </c>
      <c r="F289" s="2" t="str">
        <f ca="1">IFERROR(__xludf.DUMMYFUNCTION("""COMPUTED_VALUE"""),"Quad HD+ / Touchscreen 3200x1800")</f>
        <v>Quad HD+ / Touchscreen 3200x1800</v>
      </c>
      <c r="G289" s="2" t="str">
        <f ca="1">IFERROR(__xludf.DUMMYFUNCTION("""COMPUTED_VALUE"""),"Intel Core i7 8550U 1.8GHz")</f>
        <v>Intel Core i7 8550U 1.8GHz</v>
      </c>
      <c r="H289" s="2" t="str">
        <f ca="1">IFERROR(__xludf.DUMMYFUNCTION("""COMPUTED_VALUE"""),"8GB")</f>
        <v>8GB</v>
      </c>
      <c r="I289" s="2" t="str">
        <f ca="1">IFERROR(__xludf.DUMMYFUNCTION("""COMPUTED_VALUE"""),"256GB SSD")</f>
        <v>256GB SSD</v>
      </c>
      <c r="J289" s="2" t="str">
        <f ca="1">IFERROR(__xludf.DUMMYFUNCTION("""COMPUTED_VALUE"""),"Intel UHD Graphics 620")</f>
        <v>Intel UHD Graphics 620</v>
      </c>
      <c r="K289" s="2" t="str">
        <f ca="1">IFERROR(__xludf.DUMMYFUNCTION("""COMPUTED_VALUE"""),"Windows 10")</f>
        <v>Windows 10</v>
      </c>
      <c r="L289" s="2" t="str">
        <f ca="1">IFERROR(__xludf.DUMMYFUNCTION("""COMPUTED_VALUE"""),"1.2kg")</f>
        <v>1.2kg</v>
      </c>
      <c r="M289" s="2">
        <f ca="1">IFERROR(__xludf.DUMMYFUNCTION("""COMPUTED_VALUE"""),1399)</f>
        <v>1399</v>
      </c>
    </row>
    <row r="290" spans="1:13">
      <c r="A290" s="2">
        <f ca="1">IFERROR(__xludf.DUMMYFUNCTION("""COMPUTED_VALUE"""),549)</f>
        <v>549</v>
      </c>
      <c r="B290" s="2" t="str">
        <f ca="1">IFERROR(__xludf.DUMMYFUNCTION("""COMPUTED_VALUE"""),"HP")</f>
        <v>HP</v>
      </c>
      <c r="C290" s="2" t="str">
        <f ca="1">IFERROR(__xludf.DUMMYFUNCTION("""COMPUTED_VALUE"""),"Envy 13-AB020nr")</f>
        <v>Envy 13-AB020nr</v>
      </c>
      <c r="D290" s="2" t="str">
        <f ca="1">IFERROR(__xludf.DUMMYFUNCTION("""COMPUTED_VALUE"""),"Ultrabook")</f>
        <v>Ultrabook</v>
      </c>
      <c r="E290" s="2">
        <f ca="1">IFERROR(__xludf.DUMMYFUNCTION("""COMPUTED_VALUE"""),13.3)</f>
        <v>13.3</v>
      </c>
      <c r="F290" s="2" t="str">
        <f ca="1">IFERROR(__xludf.DUMMYFUNCTION("""COMPUTED_VALUE"""),"IPS Panel Quad HD+ 3200x1800")</f>
        <v>IPS Panel Quad HD+ 3200x1800</v>
      </c>
      <c r="G290" s="2" t="str">
        <f ca="1">IFERROR(__xludf.DUMMYFUNCTION("""COMPUTED_VALUE"""),"Intel Core i7 7500U 2.7GHz")</f>
        <v>Intel Core i7 7500U 2.7GHz</v>
      </c>
      <c r="H290" s="2" t="str">
        <f ca="1">IFERROR(__xludf.DUMMYFUNCTION("""COMPUTED_VALUE"""),"8GB")</f>
        <v>8GB</v>
      </c>
      <c r="I290" s="2" t="str">
        <f ca="1">IFERROR(__xludf.DUMMYFUNCTION("""COMPUTED_VALUE"""),"256GB SSD")</f>
        <v>256GB SSD</v>
      </c>
      <c r="J290" s="2" t="str">
        <f ca="1">IFERROR(__xludf.DUMMYFUNCTION("""COMPUTED_VALUE"""),"Intel HD Graphics 620")</f>
        <v>Intel HD Graphics 620</v>
      </c>
      <c r="K290" s="2" t="str">
        <f ca="1">IFERROR(__xludf.DUMMYFUNCTION("""COMPUTED_VALUE"""),"Windows 10")</f>
        <v>Windows 10</v>
      </c>
      <c r="L290" s="2" t="str">
        <f ca="1">IFERROR(__xludf.DUMMYFUNCTION("""COMPUTED_VALUE"""),"1.34kg")</f>
        <v>1.34kg</v>
      </c>
      <c r="M290" s="2">
        <f ca="1">IFERROR(__xludf.DUMMYFUNCTION("""COMPUTED_VALUE"""),1145)</f>
        <v>1145</v>
      </c>
    </row>
    <row r="291" spans="1:13">
      <c r="A291" s="2">
        <f ca="1">IFERROR(__xludf.DUMMYFUNCTION("""COMPUTED_VALUE"""),550)</f>
        <v>550</v>
      </c>
      <c r="B291" s="2" t="str">
        <f ca="1">IFERROR(__xludf.DUMMYFUNCTION("""COMPUTED_VALUE"""),"Acer")</f>
        <v>Acer</v>
      </c>
      <c r="C291" s="2" t="str">
        <f ca="1">IFERROR(__xludf.DUMMYFUNCTION("""COMPUTED_VALUE"""),"Aspire 7")</f>
        <v>Aspire 7</v>
      </c>
      <c r="D291" s="2" t="str">
        <f ca="1">IFERROR(__xludf.DUMMYFUNCTION("""COMPUTED_VALUE"""),"Gaming")</f>
        <v>Gaming</v>
      </c>
      <c r="E291" s="2">
        <f ca="1">IFERROR(__xludf.DUMMYFUNCTION("""COMPUTED_VALUE"""),15.6)</f>
        <v>15.6</v>
      </c>
      <c r="F291" s="2" t="str">
        <f ca="1">IFERROR(__xludf.DUMMYFUNCTION("""COMPUTED_VALUE"""),"Full HD 1920x1080")</f>
        <v>Full HD 1920x1080</v>
      </c>
      <c r="G291" s="2" t="str">
        <f ca="1">IFERROR(__xludf.DUMMYFUNCTION("""COMPUTED_VALUE"""),"Intel Core i5 7300HQ 2.5GHz")</f>
        <v>Intel Core i5 7300HQ 2.5GHz</v>
      </c>
      <c r="H291" s="2" t="str">
        <f ca="1">IFERROR(__xludf.DUMMYFUNCTION("""COMPUTED_VALUE"""),"8GB")</f>
        <v>8GB</v>
      </c>
      <c r="I291" s="2" t="str">
        <f ca="1">IFERROR(__xludf.DUMMYFUNCTION("""COMPUTED_VALUE"""),"1TB HDD")</f>
        <v>1TB HDD</v>
      </c>
      <c r="J291" s="2" t="str">
        <f ca="1">IFERROR(__xludf.DUMMYFUNCTION("""COMPUTED_VALUE"""),"Nvidia GeForce GTX 1050")</f>
        <v>Nvidia GeForce GTX 1050</v>
      </c>
      <c r="K291" s="2" t="str">
        <f ca="1">IFERROR(__xludf.DUMMYFUNCTION("""COMPUTED_VALUE"""),"Linux")</f>
        <v>Linux</v>
      </c>
      <c r="L291" s="2" t="str">
        <f ca="1">IFERROR(__xludf.DUMMYFUNCTION("""COMPUTED_VALUE"""),"2.4kg")</f>
        <v>2.4kg</v>
      </c>
      <c r="M291" s="2">
        <f ca="1">IFERROR(__xludf.DUMMYFUNCTION("""COMPUTED_VALUE"""),798)</f>
        <v>798</v>
      </c>
    </row>
    <row r="292" spans="1:13">
      <c r="A292" s="2">
        <f ca="1">IFERROR(__xludf.DUMMYFUNCTION("""COMPUTED_VALUE"""),556)</f>
        <v>556</v>
      </c>
      <c r="B292" s="2" t="str">
        <f ca="1">IFERROR(__xludf.DUMMYFUNCTION("""COMPUTED_VALUE"""),"Lenovo")</f>
        <v>Lenovo</v>
      </c>
      <c r="C292" s="2" t="str">
        <f ca="1">IFERROR(__xludf.DUMMYFUNCTION("""COMPUTED_VALUE"""),"ThinkPad T570")</f>
        <v>ThinkPad T570</v>
      </c>
      <c r="D292" s="2" t="str">
        <f ca="1">IFERROR(__xludf.DUMMYFUNCTION("""COMPUTED_VALUE"""),"Notebook")</f>
        <v>Notebook</v>
      </c>
      <c r="E292" s="2">
        <f ca="1">IFERROR(__xludf.DUMMYFUNCTION("""COMPUTED_VALUE"""),15.6)</f>
        <v>15.6</v>
      </c>
      <c r="F292" s="2" t="str">
        <f ca="1">IFERROR(__xludf.DUMMYFUNCTION("""COMPUTED_VALUE"""),"IPS Panel Full HD 1920x1080")</f>
        <v>IPS Panel Full HD 1920x1080</v>
      </c>
      <c r="G292" s="2" t="str">
        <f ca="1">IFERROR(__xludf.DUMMYFUNCTION("""COMPUTED_VALUE"""),"Intel Core i7 7500U 2.7GHz")</f>
        <v>Intel Core i7 7500U 2.7GHz</v>
      </c>
      <c r="H292" s="2" t="str">
        <f ca="1">IFERROR(__xludf.DUMMYFUNCTION("""COMPUTED_VALUE"""),"8GB")</f>
        <v>8GB</v>
      </c>
      <c r="I292" s="2" t="str">
        <f ca="1">IFERROR(__xludf.DUMMYFUNCTION("""COMPUTED_VALUE"""),"512GB SSD")</f>
        <v>512GB SSD</v>
      </c>
      <c r="J292" s="2" t="str">
        <f ca="1">IFERROR(__xludf.DUMMYFUNCTION("""COMPUTED_VALUE"""),"Intel HD Graphics 620")</f>
        <v>Intel HD Graphics 620</v>
      </c>
      <c r="K292" s="2" t="str">
        <f ca="1">IFERROR(__xludf.DUMMYFUNCTION("""COMPUTED_VALUE"""),"Windows 10")</f>
        <v>Windows 10</v>
      </c>
      <c r="L292" s="2" t="str">
        <f ca="1">IFERROR(__xludf.DUMMYFUNCTION("""COMPUTED_VALUE"""),"1.99kg")</f>
        <v>1.99kg</v>
      </c>
      <c r="M292" s="2">
        <f ca="1">IFERROR(__xludf.DUMMYFUNCTION("""COMPUTED_VALUE"""),1729)</f>
        <v>1729</v>
      </c>
    </row>
    <row r="293" spans="1:13">
      <c r="A293" s="2">
        <f ca="1">IFERROR(__xludf.DUMMYFUNCTION("""COMPUTED_VALUE"""),558)</f>
        <v>558</v>
      </c>
      <c r="B293" s="2" t="str">
        <f ca="1">IFERROR(__xludf.DUMMYFUNCTION("""COMPUTED_VALUE"""),"Dell")</f>
        <v>Dell</v>
      </c>
      <c r="C293" s="2" t="str">
        <f ca="1">IFERROR(__xludf.DUMMYFUNCTION("""COMPUTED_VALUE"""),"Latitude 5580")</f>
        <v>Latitude 5580</v>
      </c>
      <c r="D293" s="2" t="str">
        <f ca="1">IFERROR(__xludf.DUMMYFUNCTION("""COMPUTED_VALUE"""),"Notebook")</f>
        <v>Notebook</v>
      </c>
      <c r="E293" s="2">
        <f ca="1">IFERROR(__xludf.DUMMYFUNCTION("""COMPUTED_VALUE"""),15.6)</f>
        <v>15.6</v>
      </c>
      <c r="F293" s="2" t="str">
        <f ca="1">IFERROR(__xludf.DUMMYFUNCTION("""COMPUTED_VALUE"""),"Full HD 1920x1080")</f>
        <v>Full HD 1920x1080</v>
      </c>
      <c r="G293" s="2" t="str">
        <f ca="1">IFERROR(__xludf.DUMMYFUNCTION("""COMPUTED_VALUE"""),"Intel Core i5 7200U 2.5GHz")</f>
        <v>Intel Core i5 7200U 2.5GHz</v>
      </c>
      <c r="H293" s="2" t="str">
        <f ca="1">IFERROR(__xludf.DUMMYFUNCTION("""COMPUTED_VALUE"""),"8GB")</f>
        <v>8GB</v>
      </c>
      <c r="I293" s="2" t="str">
        <f ca="1">IFERROR(__xludf.DUMMYFUNCTION("""COMPUTED_VALUE"""),"256GB SSD")</f>
        <v>256GB SSD</v>
      </c>
      <c r="J293" s="2" t="str">
        <f ca="1">IFERROR(__xludf.DUMMYFUNCTION("""COMPUTED_VALUE"""),"Intel HD Graphics 620")</f>
        <v>Intel HD Graphics 620</v>
      </c>
      <c r="K293" s="2" t="str">
        <f ca="1">IFERROR(__xludf.DUMMYFUNCTION("""COMPUTED_VALUE"""),"Windows 10")</f>
        <v>Windows 10</v>
      </c>
      <c r="L293" s="2" t="str">
        <f ca="1">IFERROR(__xludf.DUMMYFUNCTION("""COMPUTED_VALUE"""),"1.9kg")</f>
        <v>1.9kg</v>
      </c>
      <c r="M293" s="2">
        <f ca="1">IFERROR(__xludf.DUMMYFUNCTION("""COMPUTED_VALUE"""),1116.99)</f>
        <v>1116.99</v>
      </c>
    </row>
    <row r="294" spans="1:13">
      <c r="A294" s="2">
        <f ca="1">IFERROR(__xludf.DUMMYFUNCTION("""COMPUTED_VALUE"""),560)</f>
        <v>560</v>
      </c>
      <c r="B294" s="2" t="str">
        <f ca="1">IFERROR(__xludf.DUMMYFUNCTION("""COMPUTED_VALUE"""),"HP")</f>
        <v>HP</v>
      </c>
      <c r="C294" s="2" t="str">
        <f ca="1">IFERROR(__xludf.DUMMYFUNCTION("""COMPUTED_VALUE"""),"17-X047na (i3-6006U/8GB/1TB/W10)")</f>
        <v>17-X047na (i3-6006U/8GB/1TB/W10)</v>
      </c>
      <c r="D294" s="2" t="str">
        <f ca="1">IFERROR(__xludf.DUMMYFUNCTION("""COMPUTED_VALUE"""),"Notebook")</f>
        <v>Notebook</v>
      </c>
      <c r="E294" s="2">
        <f ca="1">IFERROR(__xludf.DUMMYFUNCTION("""COMPUTED_VALUE"""),17.3)</f>
        <v>17.3</v>
      </c>
      <c r="F294" s="2" t="str">
        <f ca="1">IFERROR(__xludf.DUMMYFUNCTION("""COMPUTED_VALUE"""),"1600x900")</f>
        <v>1600x900</v>
      </c>
      <c r="G294" s="2" t="str">
        <f ca="1">IFERROR(__xludf.DUMMYFUNCTION("""COMPUTED_VALUE"""),"Intel Core i3 6006U 2GHz")</f>
        <v>Intel Core i3 6006U 2GHz</v>
      </c>
      <c r="H294" s="2" t="str">
        <f ca="1">IFERROR(__xludf.DUMMYFUNCTION("""COMPUTED_VALUE"""),"8GB")</f>
        <v>8GB</v>
      </c>
      <c r="I294" s="2" t="str">
        <f ca="1">IFERROR(__xludf.DUMMYFUNCTION("""COMPUTED_VALUE"""),"1TB HDD")</f>
        <v>1TB HDD</v>
      </c>
      <c r="J294" s="2" t="str">
        <f ca="1">IFERROR(__xludf.DUMMYFUNCTION("""COMPUTED_VALUE"""),"Intel HD Graphics 520")</f>
        <v>Intel HD Graphics 520</v>
      </c>
      <c r="K294" s="2" t="str">
        <f ca="1">IFERROR(__xludf.DUMMYFUNCTION("""COMPUTED_VALUE"""),"Windows 10")</f>
        <v>Windows 10</v>
      </c>
      <c r="L294" s="2" t="str">
        <f ca="1">IFERROR(__xludf.DUMMYFUNCTION("""COMPUTED_VALUE"""),"2.65kg")</f>
        <v>2.65kg</v>
      </c>
      <c r="M294" s="2">
        <f ca="1">IFERROR(__xludf.DUMMYFUNCTION("""COMPUTED_VALUE"""),544.15)</f>
        <v>544.15</v>
      </c>
    </row>
    <row r="295" spans="1:13">
      <c r="A295" s="2">
        <f ca="1">IFERROR(__xludf.DUMMYFUNCTION("""COMPUTED_VALUE"""),561)</f>
        <v>561</v>
      </c>
      <c r="B295" s="2" t="str">
        <f ca="1">IFERROR(__xludf.DUMMYFUNCTION("""COMPUTED_VALUE"""),"HP")</f>
        <v>HP</v>
      </c>
      <c r="C295" s="2" t="str">
        <f ca="1">IFERROR(__xludf.DUMMYFUNCTION("""COMPUTED_VALUE"""),"ProBook 470")</f>
        <v>ProBook 470</v>
      </c>
      <c r="D295" s="2" t="str">
        <f ca="1">IFERROR(__xludf.DUMMYFUNCTION("""COMPUTED_VALUE"""),"Notebook")</f>
        <v>Notebook</v>
      </c>
      <c r="E295" s="2">
        <f ca="1">IFERROR(__xludf.DUMMYFUNCTION("""COMPUTED_VALUE"""),17.3)</f>
        <v>17.3</v>
      </c>
      <c r="F295" s="2" t="str">
        <f ca="1">IFERROR(__xludf.DUMMYFUNCTION("""COMPUTED_VALUE"""),"Full HD 1920x1080")</f>
        <v>Full HD 1920x1080</v>
      </c>
      <c r="G295" s="2" t="str">
        <f ca="1">IFERROR(__xludf.DUMMYFUNCTION("""COMPUTED_VALUE"""),"Intel Core i7 7500U 2.7GHz")</f>
        <v>Intel Core i7 7500U 2.7GHz</v>
      </c>
      <c r="H295" s="2" t="str">
        <f ca="1">IFERROR(__xludf.DUMMYFUNCTION("""COMPUTED_VALUE"""),"8GB")</f>
        <v>8GB</v>
      </c>
      <c r="I295" s="2" t="str">
        <f ca="1">IFERROR(__xludf.DUMMYFUNCTION("""COMPUTED_VALUE"""),"1TB HDD")</f>
        <v>1TB HDD</v>
      </c>
      <c r="J295" s="2" t="str">
        <f ca="1">IFERROR(__xludf.DUMMYFUNCTION("""COMPUTED_VALUE"""),"Nvidia GeForce 930MX")</f>
        <v>Nvidia GeForce 930MX</v>
      </c>
      <c r="K295" s="2" t="str">
        <f ca="1">IFERROR(__xludf.DUMMYFUNCTION("""COMPUTED_VALUE"""),"Windows 10")</f>
        <v>Windows 10</v>
      </c>
      <c r="L295" s="2" t="str">
        <f ca="1">IFERROR(__xludf.DUMMYFUNCTION("""COMPUTED_VALUE"""),"2.63kg")</f>
        <v>2.63kg</v>
      </c>
      <c r="M295" s="2">
        <f ca="1">IFERROR(__xludf.DUMMYFUNCTION("""COMPUTED_VALUE"""),1280)</f>
        <v>1280</v>
      </c>
    </row>
    <row r="296" spans="1:13">
      <c r="A296" s="2">
        <f ca="1">IFERROR(__xludf.DUMMYFUNCTION("""COMPUTED_VALUE"""),570)</f>
        <v>570</v>
      </c>
      <c r="B296" s="2" t="str">
        <f ca="1">IFERROR(__xludf.DUMMYFUNCTION("""COMPUTED_VALUE"""),"Lenovo")</f>
        <v>Lenovo</v>
      </c>
      <c r="C296" s="2" t="str">
        <f ca="1">IFERROR(__xludf.DUMMYFUNCTION("""COMPUTED_VALUE"""),"Thinkpad P71")</f>
        <v>Thinkpad P71</v>
      </c>
      <c r="D296" s="2" t="str">
        <f ca="1">IFERROR(__xludf.DUMMYFUNCTION("""COMPUTED_VALUE"""),"Notebook")</f>
        <v>Notebook</v>
      </c>
      <c r="E296" s="2">
        <f ca="1">IFERROR(__xludf.DUMMYFUNCTION("""COMPUTED_VALUE"""),17.3)</f>
        <v>17.3</v>
      </c>
      <c r="F296" s="2" t="str">
        <f ca="1">IFERROR(__xludf.DUMMYFUNCTION("""COMPUTED_VALUE"""),"IPS Panel Full HD 1920x1080")</f>
        <v>IPS Panel Full HD 1920x1080</v>
      </c>
      <c r="G296" s="2" t="str">
        <f ca="1">IFERROR(__xludf.DUMMYFUNCTION("""COMPUTED_VALUE"""),"Intel Core i7 7700HQ 2.8GHz")</f>
        <v>Intel Core i7 7700HQ 2.8GHz</v>
      </c>
      <c r="H296" s="2" t="str">
        <f ca="1">IFERROR(__xludf.DUMMYFUNCTION("""COMPUTED_VALUE"""),"8GB")</f>
        <v>8GB</v>
      </c>
      <c r="I296" s="2" t="str">
        <f ca="1">IFERROR(__xludf.DUMMYFUNCTION("""COMPUTED_VALUE"""),"256GB SSD")</f>
        <v>256GB SSD</v>
      </c>
      <c r="J296" s="2" t="str">
        <f ca="1">IFERROR(__xludf.DUMMYFUNCTION("""COMPUTED_VALUE"""),"Nvidia Quadro M620M")</f>
        <v>Nvidia Quadro M620M</v>
      </c>
      <c r="K296" s="2" t="str">
        <f ca="1">IFERROR(__xludf.DUMMYFUNCTION("""COMPUTED_VALUE"""),"Windows 10")</f>
        <v>Windows 10</v>
      </c>
      <c r="L296" s="2" t="str">
        <f ca="1">IFERROR(__xludf.DUMMYFUNCTION("""COMPUTED_VALUE"""),"3.4kg")</f>
        <v>3.4kg</v>
      </c>
      <c r="M296" s="2">
        <f ca="1">IFERROR(__xludf.DUMMYFUNCTION("""COMPUTED_VALUE"""),2999)</f>
        <v>2999</v>
      </c>
    </row>
    <row r="297" spans="1:13">
      <c r="A297" s="2">
        <f ca="1">IFERROR(__xludf.DUMMYFUNCTION("""COMPUTED_VALUE"""),571)</f>
        <v>571</v>
      </c>
      <c r="B297" s="2" t="str">
        <f ca="1">IFERROR(__xludf.DUMMYFUNCTION("""COMPUTED_VALUE"""),"Asus")</f>
        <v>Asus</v>
      </c>
      <c r="C297" s="2" t="str">
        <f ca="1">IFERROR(__xludf.DUMMYFUNCTION("""COMPUTED_VALUE"""),"FX553VD-DM627T (i5-7300HQ/8GB/1TB")</f>
        <v>FX553VD-DM627T (i5-7300HQ/8GB/1TB</v>
      </c>
      <c r="D297" s="2" t="str">
        <f ca="1">IFERROR(__xludf.DUMMYFUNCTION("""COMPUTED_VALUE"""),"Notebook")</f>
        <v>Notebook</v>
      </c>
      <c r="E297" s="2">
        <f ca="1">IFERROR(__xludf.DUMMYFUNCTION("""COMPUTED_VALUE"""),15.6)</f>
        <v>15.6</v>
      </c>
      <c r="F297" s="2" t="str">
        <f ca="1">IFERROR(__xludf.DUMMYFUNCTION("""COMPUTED_VALUE"""),"Full HD 1920x1080")</f>
        <v>Full HD 1920x1080</v>
      </c>
      <c r="G297" s="2" t="str">
        <f ca="1">IFERROR(__xludf.DUMMYFUNCTION("""COMPUTED_VALUE"""),"Intel Core i5 7300HQ 2.5GHz")</f>
        <v>Intel Core i5 7300HQ 2.5GHz</v>
      </c>
      <c r="H297" s="2" t="str">
        <f ca="1">IFERROR(__xludf.DUMMYFUNCTION("""COMPUTED_VALUE"""),"8GB")</f>
        <v>8GB</v>
      </c>
      <c r="I297" s="2" t="str">
        <f ca="1">IFERROR(__xludf.DUMMYFUNCTION("""COMPUTED_VALUE"""),"128GB SSD +  1TB HDD")</f>
        <v>128GB SSD +  1TB HDD</v>
      </c>
      <c r="J297" s="2" t="str">
        <f ca="1">IFERROR(__xludf.DUMMYFUNCTION("""COMPUTED_VALUE"""),"Nvidia GeForce GTX 1050")</f>
        <v>Nvidia GeForce GTX 1050</v>
      </c>
      <c r="K297" s="2" t="str">
        <f ca="1">IFERROR(__xludf.DUMMYFUNCTION("""COMPUTED_VALUE"""),"Windows 10")</f>
        <v>Windows 10</v>
      </c>
      <c r="L297" s="2" t="str">
        <f ca="1">IFERROR(__xludf.DUMMYFUNCTION("""COMPUTED_VALUE"""),"2.5kg")</f>
        <v>2.5kg</v>
      </c>
      <c r="M297" s="2">
        <f ca="1">IFERROR(__xludf.DUMMYFUNCTION("""COMPUTED_VALUE"""),839)</f>
        <v>839</v>
      </c>
    </row>
    <row r="298" spans="1:13">
      <c r="A298" s="2">
        <f ca="1">IFERROR(__xludf.DUMMYFUNCTION("""COMPUTED_VALUE"""),572)</f>
        <v>572</v>
      </c>
      <c r="B298" s="2" t="str">
        <f ca="1">IFERROR(__xludf.DUMMYFUNCTION("""COMPUTED_VALUE"""),"Dell")</f>
        <v>Dell</v>
      </c>
      <c r="C298" s="2" t="str">
        <f ca="1">IFERROR(__xludf.DUMMYFUNCTION("""COMPUTED_VALUE"""),"XPS 13")</f>
        <v>XPS 13</v>
      </c>
      <c r="D298" s="2" t="str">
        <f ca="1">IFERROR(__xludf.DUMMYFUNCTION("""COMPUTED_VALUE"""),"Ultrabook")</f>
        <v>Ultrabook</v>
      </c>
      <c r="E298" s="2">
        <f ca="1">IFERROR(__xludf.DUMMYFUNCTION("""COMPUTED_VALUE"""),13.3)</f>
        <v>13.3</v>
      </c>
      <c r="F298" s="2" t="str">
        <f ca="1">IFERROR(__xludf.DUMMYFUNCTION("""COMPUTED_VALUE"""),"IPS Panel 4K Ultra HD / Touchscreen 3840x2160")</f>
        <v>IPS Panel 4K Ultra HD / Touchscreen 3840x2160</v>
      </c>
      <c r="G298" s="2" t="str">
        <f ca="1">IFERROR(__xludf.DUMMYFUNCTION("""COMPUTED_VALUE"""),"Intel Core i5 8250U 1.6GHz")</f>
        <v>Intel Core i5 8250U 1.6GHz</v>
      </c>
      <c r="H298" s="2" t="str">
        <f ca="1">IFERROR(__xludf.DUMMYFUNCTION("""COMPUTED_VALUE"""),"8GB")</f>
        <v>8GB</v>
      </c>
      <c r="I298" s="2" t="str">
        <f ca="1">IFERROR(__xludf.DUMMYFUNCTION("""COMPUTED_VALUE"""),"128GB SSD")</f>
        <v>128GB SSD</v>
      </c>
      <c r="J298" s="2" t="str">
        <f ca="1">IFERROR(__xludf.DUMMYFUNCTION("""COMPUTED_VALUE"""),"Intel UHD Graphics 620")</f>
        <v>Intel UHD Graphics 620</v>
      </c>
      <c r="K298" s="2" t="str">
        <f ca="1">IFERROR(__xludf.DUMMYFUNCTION("""COMPUTED_VALUE"""),"Windows 10")</f>
        <v>Windows 10</v>
      </c>
      <c r="L298" s="2" t="str">
        <f ca="1">IFERROR(__xludf.DUMMYFUNCTION("""COMPUTED_VALUE"""),"1.21kg")</f>
        <v>1.21kg</v>
      </c>
      <c r="M298" s="2">
        <f ca="1">IFERROR(__xludf.DUMMYFUNCTION("""COMPUTED_VALUE"""),1599)</f>
        <v>1599</v>
      </c>
    </row>
    <row r="299" spans="1:13">
      <c r="A299" s="2">
        <f ca="1">IFERROR(__xludf.DUMMYFUNCTION("""COMPUTED_VALUE"""),574)</f>
        <v>574</v>
      </c>
      <c r="B299" s="2" t="str">
        <f ca="1">IFERROR(__xludf.DUMMYFUNCTION("""COMPUTED_VALUE"""),"Fujitsu")</f>
        <v>Fujitsu</v>
      </c>
      <c r="C299" s="2" t="str">
        <f ca="1">IFERROR(__xludf.DUMMYFUNCTION("""COMPUTED_VALUE"""),"Lifebook A557")</f>
        <v>Lifebook A557</v>
      </c>
      <c r="D299" s="2" t="str">
        <f ca="1">IFERROR(__xludf.DUMMYFUNCTION("""COMPUTED_VALUE"""),"Notebook")</f>
        <v>Notebook</v>
      </c>
      <c r="E299" s="2">
        <f ca="1">IFERROR(__xludf.DUMMYFUNCTION("""COMPUTED_VALUE"""),15.6)</f>
        <v>15.6</v>
      </c>
      <c r="F299" s="2" t="str">
        <f ca="1">IFERROR(__xludf.DUMMYFUNCTION("""COMPUTED_VALUE"""),"1366x768")</f>
        <v>1366x768</v>
      </c>
      <c r="G299" s="2" t="str">
        <f ca="1">IFERROR(__xludf.DUMMYFUNCTION("""COMPUTED_VALUE"""),"Intel Core i5 7200U 2.5GHz")</f>
        <v>Intel Core i5 7200U 2.5GHz</v>
      </c>
      <c r="H299" s="2" t="str">
        <f ca="1">IFERROR(__xludf.DUMMYFUNCTION("""COMPUTED_VALUE"""),"8GB")</f>
        <v>8GB</v>
      </c>
      <c r="I299" s="2" t="str">
        <f ca="1">IFERROR(__xludf.DUMMYFUNCTION("""COMPUTED_VALUE"""),"1TB HDD")</f>
        <v>1TB HDD</v>
      </c>
      <c r="J299" s="2" t="str">
        <f ca="1">IFERROR(__xludf.DUMMYFUNCTION("""COMPUTED_VALUE"""),"Intel HD Graphics 620")</f>
        <v>Intel HD Graphics 620</v>
      </c>
      <c r="K299" s="2" t="str">
        <f ca="1">IFERROR(__xludf.DUMMYFUNCTION("""COMPUTED_VALUE"""),"Windows 10")</f>
        <v>Windows 10</v>
      </c>
      <c r="L299" s="2" t="str">
        <f ca="1">IFERROR(__xludf.DUMMYFUNCTION("""COMPUTED_VALUE"""),"2.2kg")</f>
        <v>2.2kg</v>
      </c>
      <c r="M299" s="2">
        <f ca="1">IFERROR(__xludf.DUMMYFUNCTION("""COMPUTED_VALUE"""),739)</f>
        <v>739</v>
      </c>
    </row>
    <row r="300" spans="1:13">
      <c r="A300" s="2">
        <f ca="1">IFERROR(__xludf.DUMMYFUNCTION("""COMPUTED_VALUE"""),577)</f>
        <v>577</v>
      </c>
      <c r="B300" s="2" t="str">
        <f ca="1">IFERROR(__xludf.DUMMYFUNCTION("""COMPUTED_VALUE"""),"HP")</f>
        <v>HP</v>
      </c>
      <c r="C300" s="2" t="str">
        <f ca="1">IFERROR(__xludf.DUMMYFUNCTION("""COMPUTED_VALUE"""),"ZBook 17")</f>
        <v>ZBook 17</v>
      </c>
      <c r="D300" s="2" t="str">
        <f ca="1">IFERROR(__xludf.DUMMYFUNCTION("""COMPUTED_VALUE"""),"Workstation")</f>
        <v>Workstation</v>
      </c>
      <c r="E300" s="2">
        <f ca="1">IFERROR(__xludf.DUMMYFUNCTION("""COMPUTED_VALUE"""),17.3)</f>
        <v>17.3</v>
      </c>
      <c r="F300" s="2" t="str">
        <f ca="1">IFERROR(__xludf.DUMMYFUNCTION("""COMPUTED_VALUE"""),"1600x900")</f>
        <v>1600x900</v>
      </c>
      <c r="G300" s="2" t="str">
        <f ca="1">IFERROR(__xludf.DUMMYFUNCTION("""COMPUTED_VALUE"""),"Intel Core i5 7440HQ 2.8GHz")</f>
        <v>Intel Core i5 7440HQ 2.8GHz</v>
      </c>
      <c r="H300" s="2" t="str">
        <f ca="1">IFERROR(__xludf.DUMMYFUNCTION("""COMPUTED_VALUE"""),"8GB")</f>
        <v>8GB</v>
      </c>
      <c r="I300" s="2" t="str">
        <f ca="1">IFERROR(__xludf.DUMMYFUNCTION("""COMPUTED_VALUE"""),"500GB HDD")</f>
        <v>500GB HDD</v>
      </c>
      <c r="J300" s="2" t="str">
        <f ca="1">IFERROR(__xludf.DUMMYFUNCTION("""COMPUTED_VALUE"""),"Nvidia Quadro M1200")</f>
        <v>Nvidia Quadro M1200</v>
      </c>
      <c r="K300" s="2" t="str">
        <f ca="1">IFERROR(__xludf.DUMMYFUNCTION("""COMPUTED_VALUE"""),"Windows 10")</f>
        <v>Windows 10</v>
      </c>
      <c r="L300" s="2" t="str">
        <f ca="1">IFERROR(__xludf.DUMMYFUNCTION("""COMPUTED_VALUE"""),"3.14kg")</f>
        <v>3.14kg</v>
      </c>
      <c r="M300" s="2">
        <f ca="1">IFERROR(__xludf.DUMMYFUNCTION("""COMPUTED_VALUE"""),1860.99)</f>
        <v>1860.99</v>
      </c>
    </row>
    <row r="301" spans="1:13">
      <c r="A301" s="2">
        <f ca="1">IFERROR(__xludf.DUMMYFUNCTION("""COMPUTED_VALUE"""),578)</f>
        <v>578</v>
      </c>
      <c r="B301" s="2" t="str">
        <f ca="1">IFERROR(__xludf.DUMMYFUNCTION("""COMPUTED_VALUE"""),"HP")</f>
        <v>HP</v>
      </c>
      <c r="C301" s="2" t="str">
        <f ca="1">IFERROR(__xludf.DUMMYFUNCTION("""COMPUTED_VALUE"""),"14-am079na (N3710/8GB/2TB/W10)")</f>
        <v>14-am079na (N3710/8GB/2TB/W10)</v>
      </c>
      <c r="D301" s="2" t="str">
        <f ca="1">IFERROR(__xludf.DUMMYFUNCTION("""COMPUTED_VALUE"""),"Notebook")</f>
        <v>Notebook</v>
      </c>
      <c r="E301" s="2">
        <f ca="1">IFERROR(__xludf.DUMMYFUNCTION("""COMPUTED_VALUE"""),14)</f>
        <v>14</v>
      </c>
      <c r="F301" s="2" t="str">
        <f ca="1">IFERROR(__xludf.DUMMYFUNCTION("""COMPUTED_VALUE"""),"1366x768")</f>
        <v>1366x768</v>
      </c>
      <c r="G301" s="2" t="str">
        <f ca="1">IFERROR(__xludf.DUMMYFUNCTION("""COMPUTED_VALUE"""),"Intel Pentium Quad Core N3710 1.6GHz")</f>
        <v>Intel Pentium Quad Core N3710 1.6GHz</v>
      </c>
      <c r="H301" s="2" t="str">
        <f ca="1">IFERROR(__xludf.DUMMYFUNCTION("""COMPUTED_VALUE"""),"8GB")</f>
        <v>8GB</v>
      </c>
      <c r="I301" s="2" t="str">
        <f ca="1">IFERROR(__xludf.DUMMYFUNCTION("""COMPUTED_VALUE"""),"2TB HDD")</f>
        <v>2TB HDD</v>
      </c>
      <c r="J301" s="2" t="str">
        <f ca="1">IFERROR(__xludf.DUMMYFUNCTION("""COMPUTED_VALUE"""),"Intel HD Graphics 405")</f>
        <v>Intel HD Graphics 405</v>
      </c>
      <c r="K301" s="2" t="str">
        <f ca="1">IFERROR(__xludf.DUMMYFUNCTION("""COMPUTED_VALUE"""),"Windows 10")</f>
        <v>Windows 10</v>
      </c>
      <c r="L301" s="2" t="str">
        <f ca="1">IFERROR(__xludf.DUMMYFUNCTION("""COMPUTED_VALUE"""),"1.94kg")</f>
        <v>1.94kg</v>
      </c>
      <c r="M301" s="2">
        <f ca="1">IFERROR(__xludf.DUMMYFUNCTION("""COMPUTED_VALUE"""),389)</f>
        <v>389</v>
      </c>
    </row>
    <row r="302" spans="1:13">
      <c r="A302" s="2">
        <f ca="1">IFERROR(__xludf.DUMMYFUNCTION("""COMPUTED_VALUE"""),580)</f>
        <v>580</v>
      </c>
      <c r="B302" s="2" t="str">
        <f ca="1">IFERROR(__xludf.DUMMYFUNCTION("""COMPUTED_VALUE"""),"Lenovo")</f>
        <v>Lenovo</v>
      </c>
      <c r="C302" s="2" t="str">
        <f ca="1">IFERROR(__xludf.DUMMYFUNCTION("""COMPUTED_VALUE"""),"Thinkpad E570")</f>
        <v>Thinkpad E570</v>
      </c>
      <c r="D302" s="2" t="str">
        <f ca="1">IFERROR(__xludf.DUMMYFUNCTION("""COMPUTED_VALUE"""),"Notebook")</f>
        <v>Notebook</v>
      </c>
      <c r="E302" s="2">
        <f ca="1">IFERROR(__xludf.DUMMYFUNCTION("""COMPUTED_VALUE"""),15.6)</f>
        <v>15.6</v>
      </c>
      <c r="F302" s="2" t="str">
        <f ca="1">IFERROR(__xludf.DUMMYFUNCTION("""COMPUTED_VALUE"""),"Full HD 1920x1080")</f>
        <v>Full HD 1920x1080</v>
      </c>
      <c r="G302" s="2" t="str">
        <f ca="1">IFERROR(__xludf.DUMMYFUNCTION("""COMPUTED_VALUE"""),"Intel Core i5 7200U 2.5GHz")</f>
        <v>Intel Core i5 7200U 2.5GHz</v>
      </c>
      <c r="H302" s="2" t="str">
        <f ca="1">IFERROR(__xludf.DUMMYFUNCTION("""COMPUTED_VALUE"""),"8GB")</f>
        <v>8GB</v>
      </c>
      <c r="I302" s="2" t="str">
        <f ca="1">IFERROR(__xludf.DUMMYFUNCTION("""COMPUTED_VALUE"""),"256GB SSD")</f>
        <v>256GB SSD</v>
      </c>
      <c r="J302" s="2" t="str">
        <f ca="1">IFERROR(__xludf.DUMMYFUNCTION("""COMPUTED_VALUE"""),"Intel HD Graphics 620")</f>
        <v>Intel HD Graphics 620</v>
      </c>
      <c r="K302" s="2" t="str">
        <f ca="1">IFERROR(__xludf.DUMMYFUNCTION("""COMPUTED_VALUE"""),"Windows 10")</f>
        <v>Windows 10</v>
      </c>
      <c r="L302" s="2" t="str">
        <f ca="1">IFERROR(__xludf.DUMMYFUNCTION("""COMPUTED_VALUE"""),"2.3kg")</f>
        <v>2.3kg</v>
      </c>
      <c r="M302" s="2">
        <f ca="1">IFERROR(__xludf.DUMMYFUNCTION("""COMPUTED_VALUE"""),830)</f>
        <v>830</v>
      </c>
    </row>
    <row r="303" spans="1:13">
      <c r="A303" s="2">
        <f ca="1">IFERROR(__xludf.DUMMYFUNCTION("""COMPUTED_VALUE"""),586)</f>
        <v>586</v>
      </c>
      <c r="B303" s="2" t="str">
        <f ca="1">IFERROR(__xludf.DUMMYFUNCTION("""COMPUTED_VALUE"""),"Dell")</f>
        <v>Dell</v>
      </c>
      <c r="C303" s="2" t="str">
        <f ca="1">IFERROR(__xludf.DUMMYFUNCTION("""COMPUTED_VALUE"""),"Inspiron 3567")</f>
        <v>Inspiron 3567</v>
      </c>
      <c r="D303" s="2" t="str">
        <f ca="1">IFERROR(__xludf.DUMMYFUNCTION("""COMPUTED_VALUE"""),"Notebook")</f>
        <v>Notebook</v>
      </c>
      <c r="E303" s="2">
        <f ca="1">IFERROR(__xludf.DUMMYFUNCTION("""COMPUTED_VALUE"""),15.6)</f>
        <v>15.6</v>
      </c>
      <c r="F303" s="2" t="str">
        <f ca="1">IFERROR(__xludf.DUMMYFUNCTION("""COMPUTED_VALUE"""),"Full HD 1920x1080")</f>
        <v>Full HD 1920x1080</v>
      </c>
      <c r="G303" s="2" t="str">
        <f ca="1">IFERROR(__xludf.DUMMYFUNCTION("""COMPUTED_VALUE"""),"Intel Core i7 7500U 2.7GHz")</f>
        <v>Intel Core i7 7500U 2.7GHz</v>
      </c>
      <c r="H303" s="2" t="str">
        <f ca="1">IFERROR(__xludf.DUMMYFUNCTION("""COMPUTED_VALUE"""),"8GB")</f>
        <v>8GB</v>
      </c>
      <c r="I303" s="2" t="str">
        <f ca="1">IFERROR(__xludf.DUMMYFUNCTION("""COMPUTED_VALUE"""),"256GB SSD")</f>
        <v>256GB SSD</v>
      </c>
      <c r="J303" s="2" t="str">
        <f ca="1">IFERROR(__xludf.DUMMYFUNCTION("""COMPUTED_VALUE"""),"AMD Radeon R5 M430")</f>
        <v>AMD Radeon R5 M430</v>
      </c>
      <c r="K303" s="2" t="str">
        <f ca="1">IFERROR(__xludf.DUMMYFUNCTION("""COMPUTED_VALUE"""),"Linux")</f>
        <v>Linux</v>
      </c>
      <c r="L303" s="2" t="str">
        <f ca="1">IFERROR(__xludf.DUMMYFUNCTION("""COMPUTED_VALUE"""),"2.2kg")</f>
        <v>2.2kg</v>
      </c>
      <c r="M303" s="2">
        <f ca="1">IFERROR(__xludf.DUMMYFUNCTION("""COMPUTED_VALUE"""),749.01)</f>
        <v>749.01</v>
      </c>
    </row>
    <row r="304" spans="1:13">
      <c r="A304" s="2">
        <f ca="1">IFERROR(__xludf.DUMMYFUNCTION("""COMPUTED_VALUE"""),588)</f>
        <v>588</v>
      </c>
      <c r="B304" s="2" t="str">
        <f ca="1">IFERROR(__xludf.DUMMYFUNCTION("""COMPUTED_VALUE"""),"Dell")</f>
        <v>Dell</v>
      </c>
      <c r="C304" s="2" t="str">
        <f ca="1">IFERROR(__xludf.DUMMYFUNCTION("""COMPUTED_VALUE"""),"Latitude 5580")</f>
        <v>Latitude 5580</v>
      </c>
      <c r="D304" s="2" t="str">
        <f ca="1">IFERROR(__xludf.DUMMYFUNCTION("""COMPUTED_VALUE"""),"Notebook")</f>
        <v>Notebook</v>
      </c>
      <c r="E304" s="2">
        <f ca="1">IFERROR(__xludf.DUMMYFUNCTION("""COMPUTED_VALUE"""),15.6)</f>
        <v>15.6</v>
      </c>
      <c r="F304" s="2" t="str">
        <f ca="1">IFERROR(__xludf.DUMMYFUNCTION("""COMPUTED_VALUE"""),"1366x768")</f>
        <v>1366x768</v>
      </c>
      <c r="G304" s="2" t="str">
        <f ca="1">IFERROR(__xludf.DUMMYFUNCTION("""COMPUTED_VALUE"""),"Intel Core i5 7300U 2.6GHz")</f>
        <v>Intel Core i5 7300U 2.6GHz</v>
      </c>
      <c r="H304" s="2" t="str">
        <f ca="1">IFERROR(__xludf.DUMMYFUNCTION("""COMPUTED_VALUE"""),"8GB")</f>
        <v>8GB</v>
      </c>
      <c r="I304" s="2" t="str">
        <f ca="1">IFERROR(__xludf.DUMMYFUNCTION("""COMPUTED_VALUE"""),"500GB HDD")</f>
        <v>500GB HDD</v>
      </c>
      <c r="J304" s="2" t="str">
        <f ca="1">IFERROR(__xludf.DUMMYFUNCTION("""COMPUTED_VALUE"""),"Intel HD Graphics 620")</f>
        <v>Intel HD Graphics 620</v>
      </c>
      <c r="K304" s="2" t="str">
        <f ca="1">IFERROR(__xludf.DUMMYFUNCTION("""COMPUTED_VALUE"""),"Windows 10")</f>
        <v>Windows 10</v>
      </c>
      <c r="L304" s="2" t="str">
        <f ca="1">IFERROR(__xludf.DUMMYFUNCTION("""COMPUTED_VALUE"""),"1.9kg")</f>
        <v>1.9kg</v>
      </c>
      <c r="M304" s="2">
        <f ca="1">IFERROR(__xludf.DUMMYFUNCTION("""COMPUTED_VALUE"""),1008.52)</f>
        <v>1008.52</v>
      </c>
    </row>
    <row r="305" spans="1:13">
      <c r="A305" s="2">
        <f ca="1">IFERROR(__xludf.DUMMYFUNCTION("""COMPUTED_VALUE"""),596)</f>
        <v>596</v>
      </c>
      <c r="B305" s="2" t="str">
        <f ca="1">IFERROR(__xludf.DUMMYFUNCTION("""COMPUTED_VALUE"""),"Asus")</f>
        <v>Asus</v>
      </c>
      <c r="C305" s="2" t="str">
        <f ca="1">IFERROR(__xludf.DUMMYFUNCTION("""COMPUTED_VALUE"""),"ROG Strix")</f>
        <v>ROG Strix</v>
      </c>
      <c r="D305" s="2" t="str">
        <f ca="1">IFERROR(__xludf.DUMMYFUNCTION("""COMPUTED_VALUE"""),"Gaming")</f>
        <v>Gaming</v>
      </c>
      <c r="E305" s="2">
        <f ca="1">IFERROR(__xludf.DUMMYFUNCTION("""COMPUTED_VALUE"""),17.3)</f>
        <v>17.3</v>
      </c>
      <c r="F305" s="2" t="str">
        <f ca="1">IFERROR(__xludf.DUMMYFUNCTION("""COMPUTED_VALUE"""),"IPS Panel Full HD 1920x1080")</f>
        <v>IPS Panel Full HD 1920x1080</v>
      </c>
      <c r="G305" s="2" t="str">
        <f ca="1">IFERROR(__xludf.DUMMYFUNCTION("""COMPUTED_VALUE"""),"Intel Core i5 7300HQ 2.5GHz")</f>
        <v>Intel Core i5 7300HQ 2.5GHz</v>
      </c>
      <c r="H305" s="2" t="str">
        <f ca="1">IFERROR(__xludf.DUMMYFUNCTION("""COMPUTED_VALUE"""),"8GB")</f>
        <v>8GB</v>
      </c>
      <c r="I305" s="2" t="str">
        <f ca="1">IFERROR(__xludf.DUMMYFUNCTION("""COMPUTED_VALUE"""),"128GB SSD +  1TB HDD")</f>
        <v>128GB SSD +  1TB HDD</v>
      </c>
      <c r="J305" s="2" t="str">
        <f ca="1">IFERROR(__xludf.DUMMYFUNCTION("""COMPUTED_VALUE"""),"Nvidia GeForce GTX 1060")</f>
        <v>Nvidia GeForce GTX 1060</v>
      </c>
      <c r="K305" s="2" t="str">
        <f ca="1">IFERROR(__xludf.DUMMYFUNCTION("""COMPUTED_VALUE"""),"Windows 10")</f>
        <v>Windows 10</v>
      </c>
      <c r="L305" s="2" t="str">
        <f ca="1">IFERROR(__xludf.DUMMYFUNCTION("""COMPUTED_VALUE"""),"2.73kg")</f>
        <v>2.73kg</v>
      </c>
      <c r="M305" s="2">
        <f ca="1">IFERROR(__xludf.DUMMYFUNCTION("""COMPUTED_VALUE"""),1770)</f>
        <v>1770</v>
      </c>
    </row>
    <row r="306" spans="1:13">
      <c r="A306" s="2">
        <f ca="1">IFERROR(__xludf.DUMMYFUNCTION("""COMPUTED_VALUE"""),597)</f>
        <v>597</v>
      </c>
      <c r="B306" s="2" t="str">
        <f ca="1">IFERROR(__xludf.DUMMYFUNCTION("""COMPUTED_VALUE"""),"Asus")</f>
        <v>Asus</v>
      </c>
      <c r="C306" s="2" t="str">
        <f ca="1">IFERROR(__xludf.DUMMYFUNCTION("""COMPUTED_VALUE"""),"TP501UA-CJ131T (i5-7200U/8GB/1TB/W10)")</f>
        <v>TP501UA-CJ131T (i5-7200U/8GB/1TB/W10)</v>
      </c>
      <c r="D306" s="2" t="str">
        <f ca="1">IFERROR(__xludf.DUMMYFUNCTION("""COMPUTED_VALUE"""),"2 in 1 Convertible")</f>
        <v>2 in 1 Convertible</v>
      </c>
      <c r="E306" s="2">
        <f ca="1">IFERROR(__xludf.DUMMYFUNCTION("""COMPUTED_VALUE"""),15.6)</f>
        <v>15.6</v>
      </c>
      <c r="F306" s="2" t="str">
        <f ca="1">IFERROR(__xludf.DUMMYFUNCTION("""COMPUTED_VALUE"""),"Touchscreen 1366x768")</f>
        <v>Touchscreen 1366x768</v>
      </c>
      <c r="G306" s="2" t="str">
        <f ca="1">IFERROR(__xludf.DUMMYFUNCTION("""COMPUTED_VALUE"""),"Intel Core i5 7200U 2.5GHz")</f>
        <v>Intel Core i5 7200U 2.5GHz</v>
      </c>
      <c r="H306" s="2" t="str">
        <f ca="1">IFERROR(__xludf.DUMMYFUNCTION("""COMPUTED_VALUE"""),"8GB")</f>
        <v>8GB</v>
      </c>
      <c r="I306" s="2" t="str">
        <f ca="1">IFERROR(__xludf.DUMMYFUNCTION("""COMPUTED_VALUE"""),"1TB HDD")</f>
        <v>1TB HDD</v>
      </c>
      <c r="J306" s="2" t="str">
        <f ca="1">IFERROR(__xludf.DUMMYFUNCTION("""COMPUTED_VALUE"""),"Intel HD Graphics 520")</f>
        <v>Intel HD Graphics 520</v>
      </c>
      <c r="K306" s="2" t="str">
        <f ca="1">IFERROR(__xludf.DUMMYFUNCTION("""COMPUTED_VALUE"""),"Windows 10")</f>
        <v>Windows 10</v>
      </c>
      <c r="L306" s="2" t="str">
        <f ca="1">IFERROR(__xludf.DUMMYFUNCTION("""COMPUTED_VALUE"""),"2.2kg")</f>
        <v>2.2kg</v>
      </c>
      <c r="M306" s="2">
        <f ca="1">IFERROR(__xludf.DUMMYFUNCTION("""COMPUTED_VALUE"""),739)</f>
        <v>739</v>
      </c>
    </row>
    <row r="307" spans="1:13">
      <c r="A307" s="2">
        <f ca="1">IFERROR(__xludf.DUMMYFUNCTION("""COMPUTED_VALUE"""),602)</f>
        <v>602</v>
      </c>
      <c r="B307" s="2" t="str">
        <f ca="1">IFERROR(__xludf.DUMMYFUNCTION("""COMPUTED_VALUE"""),"Lenovo")</f>
        <v>Lenovo</v>
      </c>
      <c r="C307" s="2" t="str">
        <f ca="1">IFERROR(__xludf.DUMMYFUNCTION("""COMPUTED_VALUE"""),"IdeaPad 110-15ISK")</f>
        <v>IdeaPad 110-15ISK</v>
      </c>
      <c r="D307" s="2" t="str">
        <f ca="1">IFERROR(__xludf.DUMMYFUNCTION("""COMPUTED_VALUE"""),"Notebook")</f>
        <v>Notebook</v>
      </c>
      <c r="E307" s="2">
        <f ca="1">IFERROR(__xludf.DUMMYFUNCTION("""COMPUTED_VALUE"""),15.6)</f>
        <v>15.6</v>
      </c>
      <c r="F307" s="2" t="str">
        <f ca="1">IFERROR(__xludf.DUMMYFUNCTION("""COMPUTED_VALUE"""),"1366x768")</f>
        <v>1366x768</v>
      </c>
      <c r="G307" s="2" t="str">
        <f ca="1">IFERROR(__xludf.DUMMYFUNCTION("""COMPUTED_VALUE"""),"Intel Core i3 6100U 2.3GHz")</f>
        <v>Intel Core i3 6100U 2.3GHz</v>
      </c>
      <c r="H307" s="2" t="str">
        <f ca="1">IFERROR(__xludf.DUMMYFUNCTION("""COMPUTED_VALUE"""),"8GB")</f>
        <v>8GB</v>
      </c>
      <c r="I307" s="2" t="str">
        <f ca="1">IFERROR(__xludf.DUMMYFUNCTION("""COMPUTED_VALUE"""),"1TB HDD")</f>
        <v>1TB HDD</v>
      </c>
      <c r="J307" s="2" t="str">
        <f ca="1">IFERROR(__xludf.DUMMYFUNCTION("""COMPUTED_VALUE"""),"Intel HD Graphics 520")</f>
        <v>Intel HD Graphics 520</v>
      </c>
      <c r="K307" s="2" t="str">
        <f ca="1">IFERROR(__xludf.DUMMYFUNCTION("""COMPUTED_VALUE"""),"Windows 10")</f>
        <v>Windows 10</v>
      </c>
      <c r="L307" s="2" t="str">
        <f ca="1">IFERROR(__xludf.DUMMYFUNCTION("""COMPUTED_VALUE"""),"2.29kg")</f>
        <v>2.29kg</v>
      </c>
      <c r="M307" s="2">
        <f ca="1">IFERROR(__xludf.DUMMYFUNCTION("""COMPUTED_VALUE"""),459)</f>
        <v>459</v>
      </c>
    </row>
    <row r="308" spans="1:13">
      <c r="A308" s="2">
        <f ca="1">IFERROR(__xludf.DUMMYFUNCTION("""COMPUTED_VALUE"""),603)</f>
        <v>603</v>
      </c>
      <c r="B308" s="2" t="str">
        <f ca="1">IFERROR(__xludf.DUMMYFUNCTION("""COMPUTED_VALUE"""),"Lenovo")</f>
        <v>Lenovo</v>
      </c>
      <c r="C308" s="2" t="str">
        <f ca="1">IFERROR(__xludf.DUMMYFUNCTION("""COMPUTED_VALUE"""),"ThinkPad Yoga")</f>
        <v>ThinkPad Yoga</v>
      </c>
      <c r="D308" s="2" t="str">
        <f ca="1">IFERROR(__xludf.DUMMYFUNCTION("""COMPUTED_VALUE"""),"2 in 1 Convertible")</f>
        <v>2 in 1 Convertible</v>
      </c>
      <c r="E308" s="2">
        <f ca="1">IFERROR(__xludf.DUMMYFUNCTION("""COMPUTED_VALUE"""),13.3)</f>
        <v>13.3</v>
      </c>
      <c r="F308" s="2" t="str">
        <f ca="1">IFERROR(__xludf.DUMMYFUNCTION("""COMPUTED_VALUE"""),"IPS Panel Full HD / Touchscreen 1920x1080")</f>
        <v>IPS Panel Full HD / Touchscreen 1920x1080</v>
      </c>
      <c r="G308" s="2" t="str">
        <f ca="1">IFERROR(__xludf.DUMMYFUNCTION("""COMPUTED_VALUE"""),"Intel Core i7 7500U 2.7GHz")</f>
        <v>Intel Core i7 7500U 2.7GHz</v>
      </c>
      <c r="H308" s="2" t="str">
        <f ca="1">IFERROR(__xludf.DUMMYFUNCTION("""COMPUTED_VALUE"""),"8GB")</f>
        <v>8GB</v>
      </c>
      <c r="I308" s="2" t="str">
        <f ca="1">IFERROR(__xludf.DUMMYFUNCTION("""COMPUTED_VALUE"""),"512GB SSD")</f>
        <v>512GB SSD</v>
      </c>
      <c r="J308" s="2" t="str">
        <f ca="1">IFERROR(__xludf.DUMMYFUNCTION("""COMPUTED_VALUE"""),"Intel HD Graphics 620")</f>
        <v>Intel HD Graphics 620</v>
      </c>
      <c r="K308" s="2" t="str">
        <f ca="1">IFERROR(__xludf.DUMMYFUNCTION("""COMPUTED_VALUE"""),"Windows 10")</f>
        <v>Windows 10</v>
      </c>
      <c r="L308" s="2" t="str">
        <f ca="1">IFERROR(__xludf.DUMMYFUNCTION("""COMPUTED_VALUE"""),"1.37kg")</f>
        <v>1.37kg</v>
      </c>
      <c r="M308" s="2">
        <f ca="1">IFERROR(__xludf.DUMMYFUNCTION("""COMPUTED_VALUE"""),2025)</f>
        <v>2025</v>
      </c>
    </row>
    <row r="309" spans="1:13">
      <c r="A309" s="2">
        <f ca="1">IFERROR(__xludf.DUMMYFUNCTION("""COMPUTED_VALUE"""),604)</f>
        <v>604</v>
      </c>
      <c r="B309" s="2" t="str">
        <f ca="1">IFERROR(__xludf.DUMMYFUNCTION("""COMPUTED_VALUE"""),"Lenovo")</f>
        <v>Lenovo</v>
      </c>
      <c r="C309" s="2" t="str">
        <f ca="1">IFERROR(__xludf.DUMMYFUNCTION("""COMPUTED_VALUE"""),"Thinkpad T470p")</f>
        <v>Thinkpad T470p</v>
      </c>
      <c r="D309" s="2" t="str">
        <f ca="1">IFERROR(__xludf.DUMMYFUNCTION("""COMPUTED_VALUE"""),"Notebook")</f>
        <v>Notebook</v>
      </c>
      <c r="E309" s="2">
        <f ca="1">IFERROR(__xludf.DUMMYFUNCTION("""COMPUTED_VALUE"""),14)</f>
        <v>14</v>
      </c>
      <c r="F309" s="2" t="str">
        <f ca="1">IFERROR(__xludf.DUMMYFUNCTION("""COMPUTED_VALUE"""),"IPS Panel Full HD 1920x1080")</f>
        <v>IPS Panel Full HD 1920x1080</v>
      </c>
      <c r="G309" s="2" t="str">
        <f ca="1">IFERROR(__xludf.DUMMYFUNCTION("""COMPUTED_VALUE"""),"Intel Core i5 7300HQ 2.5GHz")</f>
        <v>Intel Core i5 7300HQ 2.5GHz</v>
      </c>
      <c r="H309" s="2" t="str">
        <f ca="1">IFERROR(__xludf.DUMMYFUNCTION("""COMPUTED_VALUE"""),"8GB")</f>
        <v>8GB</v>
      </c>
      <c r="I309" s="2" t="str">
        <f ca="1">IFERROR(__xludf.DUMMYFUNCTION("""COMPUTED_VALUE"""),"256GB SSD")</f>
        <v>256GB SSD</v>
      </c>
      <c r="J309" s="2" t="str">
        <f ca="1">IFERROR(__xludf.DUMMYFUNCTION("""COMPUTED_VALUE"""),"Intel HD Graphics 630")</f>
        <v>Intel HD Graphics 630</v>
      </c>
      <c r="K309" s="2" t="str">
        <f ca="1">IFERROR(__xludf.DUMMYFUNCTION("""COMPUTED_VALUE"""),"Windows 10")</f>
        <v>Windows 10</v>
      </c>
      <c r="L309" s="2" t="str">
        <f ca="1">IFERROR(__xludf.DUMMYFUNCTION("""COMPUTED_VALUE"""),"1.7kg")</f>
        <v>1.7kg</v>
      </c>
      <c r="M309" s="2">
        <f ca="1">IFERROR(__xludf.DUMMYFUNCTION("""COMPUTED_VALUE"""),1474)</f>
        <v>1474</v>
      </c>
    </row>
    <row r="310" spans="1:13">
      <c r="A310" s="2">
        <f ca="1">IFERROR(__xludf.DUMMYFUNCTION("""COMPUTED_VALUE"""),605)</f>
        <v>605</v>
      </c>
      <c r="B310" s="2" t="str">
        <f ca="1">IFERROR(__xludf.DUMMYFUNCTION("""COMPUTED_VALUE"""),"Dell")</f>
        <v>Dell</v>
      </c>
      <c r="C310" s="2" t="str">
        <f ca="1">IFERROR(__xludf.DUMMYFUNCTION("""COMPUTED_VALUE"""),"Latitude 5289")</f>
        <v>Latitude 5289</v>
      </c>
      <c r="D310" s="2" t="str">
        <f ca="1">IFERROR(__xludf.DUMMYFUNCTION("""COMPUTED_VALUE"""),"2 in 1 Convertible")</f>
        <v>2 in 1 Convertible</v>
      </c>
      <c r="E310" s="2">
        <f ca="1">IFERROR(__xludf.DUMMYFUNCTION("""COMPUTED_VALUE"""),12.5)</f>
        <v>12.5</v>
      </c>
      <c r="F310" s="2" t="str">
        <f ca="1">IFERROR(__xludf.DUMMYFUNCTION("""COMPUTED_VALUE"""),"Full HD / Touchscreen 1920x1080")</f>
        <v>Full HD / Touchscreen 1920x1080</v>
      </c>
      <c r="G310" s="2" t="str">
        <f ca="1">IFERROR(__xludf.DUMMYFUNCTION("""COMPUTED_VALUE"""),"Intel Core i5 7200U 2.5GHz")</f>
        <v>Intel Core i5 7200U 2.5GHz</v>
      </c>
      <c r="H310" s="2" t="str">
        <f ca="1">IFERROR(__xludf.DUMMYFUNCTION("""COMPUTED_VALUE"""),"8GB")</f>
        <v>8GB</v>
      </c>
      <c r="I310" s="2" t="str">
        <f ca="1">IFERROR(__xludf.DUMMYFUNCTION("""COMPUTED_VALUE"""),"256GB SSD")</f>
        <v>256GB SSD</v>
      </c>
      <c r="J310" s="2" t="str">
        <f ca="1">IFERROR(__xludf.DUMMYFUNCTION("""COMPUTED_VALUE"""),"Intel HD Graphics 620")</f>
        <v>Intel HD Graphics 620</v>
      </c>
      <c r="K310" s="2" t="str">
        <f ca="1">IFERROR(__xludf.DUMMYFUNCTION("""COMPUTED_VALUE"""),"Windows 10")</f>
        <v>Windows 10</v>
      </c>
      <c r="L310" s="2" t="str">
        <f ca="1">IFERROR(__xludf.DUMMYFUNCTION("""COMPUTED_VALUE"""),"1.34kg")</f>
        <v>1.34kg</v>
      </c>
      <c r="M310" s="2">
        <f ca="1">IFERROR(__xludf.DUMMYFUNCTION("""COMPUTED_VALUE"""),1670)</f>
        <v>1670</v>
      </c>
    </row>
    <row r="311" spans="1:13">
      <c r="A311" s="2">
        <f ca="1">IFERROR(__xludf.DUMMYFUNCTION("""COMPUTED_VALUE"""),606)</f>
        <v>606</v>
      </c>
      <c r="B311" s="2" t="str">
        <f ca="1">IFERROR(__xludf.DUMMYFUNCTION("""COMPUTED_VALUE"""),"Dell")</f>
        <v>Dell</v>
      </c>
      <c r="C311" s="2" t="str">
        <f ca="1">IFERROR(__xludf.DUMMYFUNCTION("""COMPUTED_VALUE"""),"Precision 3520")</f>
        <v>Precision 3520</v>
      </c>
      <c r="D311" s="2" t="str">
        <f ca="1">IFERROR(__xludf.DUMMYFUNCTION("""COMPUTED_VALUE"""),"Workstation")</f>
        <v>Workstation</v>
      </c>
      <c r="E311" s="2">
        <f ca="1">IFERROR(__xludf.DUMMYFUNCTION("""COMPUTED_VALUE"""),15.6)</f>
        <v>15.6</v>
      </c>
      <c r="F311" s="2" t="str">
        <f ca="1">IFERROR(__xludf.DUMMYFUNCTION("""COMPUTED_VALUE"""),"Full HD / Touchscreen 1920x1080")</f>
        <v>Full HD / Touchscreen 1920x1080</v>
      </c>
      <c r="G311" s="2" t="str">
        <f ca="1">IFERROR(__xludf.DUMMYFUNCTION("""COMPUTED_VALUE"""),"Intel Core i7 7700HQ 2.8GHz")</f>
        <v>Intel Core i7 7700HQ 2.8GHz</v>
      </c>
      <c r="H311" s="2" t="str">
        <f ca="1">IFERROR(__xludf.DUMMYFUNCTION("""COMPUTED_VALUE"""),"8GB")</f>
        <v>8GB</v>
      </c>
      <c r="I311" s="2" t="str">
        <f ca="1">IFERROR(__xludf.DUMMYFUNCTION("""COMPUTED_VALUE"""),"256GB SSD")</f>
        <v>256GB SSD</v>
      </c>
      <c r="J311" s="2" t="str">
        <f ca="1">IFERROR(__xludf.DUMMYFUNCTION("""COMPUTED_VALUE"""),"Nvidia Quadro M620")</f>
        <v>Nvidia Quadro M620</v>
      </c>
      <c r="K311" s="2" t="str">
        <f ca="1">IFERROR(__xludf.DUMMYFUNCTION("""COMPUTED_VALUE"""),"Windows 10")</f>
        <v>Windows 10</v>
      </c>
      <c r="L311" s="2" t="str">
        <f ca="1">IFERROR(__xludf.DUMMYFUNCTION("""COMPUTED_VALUE"""),"2.06kg")</f>
        <v>2.06kg</v>
      </c>
      <c r="M311" s="2">
        <f ca="1">IFERROR(__xludf.DUMMYFUNCTION("""COMPUTED_VALUE"""),1763)</f>
        <v>1763</v>
      </c>
    </row>
    <row r="312" spans="1:13">
      <c r="A312" s="2">
        <f ca="1">IFERROR(__xludf.DUMMYFUNCTION("""COMPUTED_VALUE"""),607)</f>
        <v>607</v>
      </c>
      <c r="B312" s="2" t="str">
        <f ca="1">IFERROR(__xludf.DUMMYFUNCTION("""COMPUTED_VALUE"""),"HP")</f>
        <v>HP</v>
      </c>
      <c r="C312" s="2" t="str">
        <f ca="1">IFERROR(__xludf.DUMMYFUNCTION("""COMPUTED_VALUE"""),"EliteBook 850")</f>
        <v>EliteBook 850</v>
      </c>
      <c r="D312" s="2" t="str">
        <f ca="1">IFERROR(__xludf.DUMMYFUNCTION("""COMPUTED_VALUE"""),"Notebook")</f>
        <v>Notebook</v>
      </c>
      <c r="E312" s="2">
        <f ca="1">IFERROR(__xludf.DUMMYFUNCTION("""COMPUTED_VALUE"""),15.6)</f>
        <v>15.6</v>
      </c>
      <c r="F312" s="2" t="str">
        <f ca="1">IFERROR(__xludf.DUMMYFUNCTION("""COMPUTED_VALUE"""),"Full HD 1920x1080")</f>
        <v>Full HD 1920x1080</v>
      </c>
      <c r="G312" s="2" t="str">
        <f ca="1">IFERROR(__xludf.DUMMYFUNCTION("""COMPUTED_VALUE"""),"Intel Core i7 7500U 2.7GHz")</f>
        <v>Intel Core i7 7500U 2.7GHz</v>
      </c>
      <c r="H312" s="2" t="str">
        <f ca="1">IFERROR(__xludf.DUMMYFUNCTION("""COMPUTED_VALUE"""),"8GB")</f>
        <v>8GB</v>
      </c>
      <c r="I312" s="2" t="str">
        <f ca="1">IFERROR(__xludf.DUMMYFUNCTION("""COMPUTED_VALUE"""),"256GB SSD")</f>
        <v>256GB SSD</v>
      </c>
      <c r="J312" s="2" t="str">
        <f ca="1">IFERROR(__xludf.DUMMYFUNCTION("""COMPUTED_VALUE"""),"Intel HD Graphics 620")</f>
        <v>Intel HD Graphics 620</v>
      </c>
      <c r="K312" s="2" t="str">
        <f ca="1">IFERROR(__xludf.DUMMYFUNCTION("""COMPUTED_VALUE"""),"Windows 10")</f>
        <v>Windows 10</v>
      </c>
      <c r="L312" s="2" t="str">
        <f ca="1">IFERROR(__xludf.DUMMYFUNCTION("""COMPUTED_VALUE"""),"1.84kg")</f>
        <v>1.84kg</v>
      </c>
      <c r="M312" s="2">
        <f ca="1">IFERROR(__xludf.DUMMYFUNCTION("""COMPUTED_VALUE"""),1219)</f>
        <v>1219</v>
      </c>
    </row>
    <row r="313" spans="1:13">
      <c r="A313" s="2">
        <f ca="1">IFERROR(__xludf.DUMMYFUNCTION("""COMPUTED_VALUE"""),613)</f>
        <v>613</v>
      </c>
      <c r="B313" s="2" t="str">
        <f ca="1">IFERROR(__xludf.DUMMYFUNCTION("""COMPUTED_VALUE"""),"Toshiba")</f>
        <v>Toshiba</v>
      </c>
      <c r="C313" s="2" t="str">
        <f ca="1">IFERROR(__xludf.DUMMYFUNCTION("""COMPUTED_VALUE"""),"Tecra Z50-C-144")</f>
        <v>Tecra Z50-C-144</v>
      </c>
      <c r="D313" s="2" t="str">
        <f ca="1">IFERROR(__xludf.DUMMYFUNCTION("""COMPUTED_VALUE"""),"Notebook")</f>
        <v>Notebook</v>
      </c>
      <c r="E313" s="2">
        <f ca="1">IFERROR(__xludf.DUMMYFUNCTION("""COMPUTED_VALUE"""),15.6)</f>
        <v>15.6</v>
      </c>
      <c r="F313" s="2" t="str">
        <f ca="1">IFERROR(__xludf.DUMMYFUNCTION("""COMPUTED_VALUE"""),"IPS Panel Full HD 1920x1080")</f>
        <v>IPS Panel Full HD 1920x1080</v>
      </c>
      <c r="G313" s="2" t="str">
        <f ca="1">IFERROR(__xludf.DUMMYFUNCTION("""COMPUTED_VALUE"""),"Intel Core i7 6500U 2.5GHz")</f>
        <v>Intel Core i7 6500U 2.5GHz</v>
      </c>
      <c r="H313" s="2" t="str">
        <f ca="1">IFERROR(__xludf.DUMMYFUNCTION("""COMPUTED_VALUE"""),"8GB")</f>
        <v>8GB</v>
      </c>
      <c r="I313" s="2" t="str">
        <f ca="1">IFERROR(__xludf.DUMMYFUNCTION("""COMPUTED_VALUE"""),"256GB SSD")</f>
        <v>256GB SSD</v>
      </c>
      <c r="J313" s="2" t="str">
        <f ca="1">IFERROR(__xludf.DUMMYFUNCTION("""COMPUTED_VALUE"""),"Intel HD Graphics 520")</f>
        <v>Intel HD Graphics 520</v>
      </c>
      <c r="K313" s="2" t="str">
        <f ca="1">IFERROR(__xludf.DUMMYFUNCTION("""COMPUTED_VALUE"""),"Windows 10")</f>
        <v>Windows 10</v>
      </c>
      <c r="L313" s="2" t="str">
        <f ca="1">IFERROR(__xludf.DUMMYFUNCTION("""COMPUTED_VALUE"""),"2.2kg")</f>
        <v>2.2kg</v>
      </c>
      <c r="M313" s="2">
        <f ca="1">IFERROR(__xludf.DUMMYFUNCTION("""COMPUTED_VALUE"""),1399)</f>
        <v>1399</v>
      </c>
    </row>
    <row r="314" spans="1:13">
      <c r="A314" s="2">
        <f ca="1">IFERROR(__xludf.DUMMYFUNCTION("""COMPUTED_VALUE"""),615)</f>
        <v>615</v>
      </c>
      <c r="B314" s="2" t="str">
        <f ca="1">IFERROR(__xludf.DUMMYFUNCTION("""COMPUTED_VALUE"""),"Lenovo")</f>
        <v>Lenovo</v>
      </c>
      <c r="C314" s="2" t="str">
        <f ca="1">IFERROR(__xludf.DUMMYFUNCTION("""COMPUTED_VALUE"""),"Yoga 720-15IKB")</f>
        <v>Yoga 720-15IKB</v>
      </c>
      <c r="D314" s="2" t="str">
        <f ca="1">IFERROR(__xludf.DUMMYFUNCTION("""COMPUTED_VALUE"""),"2 in 1 Convertible")</f>
        <v>2 in 1 Convertible</v>
      </c>
      <c r="E314" s="2">
        <f ca="1">IFERROR(__xludf.DUMMYFUNCTION("""COMPUTED_VALUE"""),15.6)</f>
        <v>15.6</v>
      </c>
      <c r="F314" s="2" t="str">
        <f ca="1">IFERROR(__xludf.DUMMYFUNCTION("""COMPUTED_VALUE"""),"IPS Panel Full HD / Touchscreen 1920x1080")</f>
        <v>IPS Panel Full HD / Touchscreen 1920x1080</v>
      </c>
      <c r="G314" s="2" t="str">
        <f ca="1">IFERROR(__xludf.DUMMYFUNCTION("""COMPUTED_VALUE"""),"Intel Core i7 7700HQ 2.8GHz")</f>
        <v>Intel Core i7 7700HQ 2.8GHz</v>
      </c>
      <c r="H314" s="2" t="str">
        <f ca="1">IFERROR(__xludf.DUMMYFUNCTION("""COMPUTED_VALUE"""),"8GB")</f>
        <v>8GB</v>
      </c>
      <c r="I314" s="2" t="str">
        <f ca="1">IFERROR(__xludf.DUMMYFUNCTION("""COMPUTED_VALUE"""),"256GB SSD")</f>
        <v>256GB SSD</v>
      </c>
      <c r="J314" s="2" t="str">
        <f ca="1">IFERROR(__xludf.DUMMYFUNCTION("""COMPUTED_VALUE"""),"Intel HD Graphics 630")</f>
        <v>Intel HD Graphics 630</v>
      </c>
      <c r="K314" s="2" t="str">
        <f ca="1">IFERROR(__xludf.DUMMYFUNCTION("""COMPUTED_VALUE"""),"Windows 10")</f>
        <v>Windows 10</v>
      </c>
      <c r="L314" s="2" t="str">
        <f ca="1">IFERROR(__xludf.DUMMYFUNCTION("""COMPUTED_VALUE"""),"2kg")</f>
        <v>2kg</v>
      </c>
      <c r="M314" s="2">
        <f ca="1">IFERROR(__xludf.DUMMYFUNCTION("""COMPUTED_VALUE"""),1299)</f>
        <v>1299</v>
      </c>
    </row>
    <row r="315" spans="1:13">
      <c r="A315" s="2">
        <f ca="1">IFERROR(__xludf.DUMMYFUNCTION("""COMPUTED_VALUE"""),622)</f>
        <v>622</v>
      </c>
      <c r="B315" s="2" t="str">
        <f ca="1">IFERROR(__xludf.DUMMYFUNCTION("""COMPUTED_VALUE"""),"Asus")</f>
        <v>Asus</v>
      </c>
      <c r="C315" s="2" t="str">
        <f ca="1">IFERROR(__xludf.DUMMYFUNCTION("""COMPUTED_VALUE"""),"FX753VD-GC007T (i7-7700HQ/8GB/1TB")</f>
        <v>FX753VD-GC007T (i7-7700HQ/8GB/1TB</v>
      </c>
      <c r="D315" s="2" t="str">
        <f ca="1">IFERROR(__xludf.DUMMYFUNCTION("""COMPUTED_VALUE"""),"Gaming")</f>
        <v>Gaming</v>
      </c>
      <c r="E315" s="2">
        <f ca="1">IFERROR(__xludf.DUMMYFUNCTION("""COMPUTED_VALUE"""),17.3)</f>
        <v>17.3</v>
      </c>
      <c r="F315" s="2" t="str">
        <f ca="1">IFERROR(__xludf.DUMMYFUNCTION("""COMPUTED_VALUE"""),"Full HD 1920x1080")</f>
        <v>Full HD 1920x1080</v>
      </c>
      <c r="G315" s="2" t="str">
        <f ca="1">IFERROR(__xludf.DUMMYFUNCTION("""COMPUTED_VALUE"""),"Intel Core i7 7700HQ 2.8GHz")</f>
        <v>Intel Core i7 7700HQ 2.8GHz</v>
      </c>
      <c r="H315" s="2" t="str">
        <f ca="1">IFERROR(__xludf.DUMMYFUNCTION("""COMPUTED_VALUE"""),"8GB")</f>
        <v>8GB</v>
      </c>
      <c r="I315" s="2" t="str">
        <f ca="1">IFERROR(__xludf.DUMMYFUNCTION("""COMPUTED_VALUE"""),"128GB SSD +  1TB HDD")</f>
        <v>128GB SSD +  1TB HDD</v>
      </c>
      <c r="J315" s="2" t="str">
        <f ca="1">IFERROR(__xludf.DUMMYFUNCTION("""COMPUTED_VALUE"""),"Nvidia GeForce GTX 1050")</f>
        <v>Nvidia GeForce GTX 1050</v>
      </c>
      <c r="K315" s="2" t="str">
        <f ca="1">IFERROR(__xludf.DUMMYFUNCTION("""COMPUTED_VALUE"""),"Windows 10")</f>
        <v>Windows 10</v>
      </c>
      <c r="L315" s="2" t="str">
        <f ca="1">IFERROR(__xludf.DUMMYFUNCTION("""COMPUTED_VALUE"""),"3kg")</f>
        <v>3kg</v>
      </c>
      <c r="M315" s="2">
        <f ca="1">IFERROR(__xludf.DUMMYFUNCTION("""COMPUTED_VALUE"""),1168)</f>
        <v>1168</v>
      </c>
    </row>
    <row r="316" spans="1:13">
      <c r="A316" s="2">
        <f ca="1">IFERROR(__xludf.DUMMYFUNCTION("""COMPUTED_VALUE"""),624)</f>
        <v>624</v>
      </c>
      <c r="B316" s="2" t="str">
        <f ca="1">IFERROR(__xludf.DUMMYFUNCTION("""COMPUTED_VALUE"""),"HP")</f>
        <v>HP</v>
      </c>
      <c r="C316" s="2" t="str">
        <f ca="1">IFERROR(__xludf.DUMMYFUNCTION("""COMPUTED_VALUE"""),"EliteBook 850")</f>
        <v>EliteBook 850</v>
      </c>
      <c r="D316" s="2" t="str">
        <f ca="1">IFERROR(__xludf.DUMMYFUNCTION("""COMPUTED_VALUE"""),"Ultrabook")</f>
        <v>Ultrabook</v>
      </c>
      <c r="E316" s="2">
        <f ca="1">IFERROR(__xludf.DUMMYFUNCTION("""COMPUTED_VALUE"""),15.6)</f>
        <v>15.6</v>
      </c>
      <c r="F316" s="2" t="str">
        <f ca="1">IFERROR(__xludf.DUMMYFUNCTION("""COMPUTED_VALUE"""),"Full HD 1920x1080")</f>
        <v>Full HD 1920x1080</v>
      </c>
      <c r="G316" s="2" t="str">
        <f ca="1">IFERROR(__xludf.DUMMYFUNCTION("""COMPUTED_VALUE"""),"Intel Core i7 7500U 2.7GHz")</f>
        <v>Intel Core i7 7500U 2.7GHz</v>
      </c>
      <c r="H316" s="2" t="str">
        <f ca="1">IFERROR(__xludf.DUMMYFUNCTION("""COMPUTED_VALUE"""),"8GB")</f>
        <v>8GB</v>
      </c>
      <c r="I316" s="2" t="str">
        <f ca="1">IFERROR(__xludf.DUMMYFUNCTION("""COMPUTED_VALUE"""),"512GB SSD")</f>
        <v>512GB SSD</v>
      </c>
      <c r="J316" s="2" t="str">
        <f ca="1">IFERROR(__xludf.DUMMYFUNCTION("""COMPUTED_VALUE"""),"Intel HD Graphics 620")</f>
        <v>Intel HD Graphics 620</v>
      </c>
      <c r="K316" s="2" t="str">
        <f ca="1">IFERROR(__xludf.DUMMYFUNCTION("""COMPUTED_VALUE"""),"Windows 10")</f>
        <v>Windows 10</v>
      </c>
      <c r="L316" s="2" t="str">
        <f ca="1">IFERROR(__xludf.DUMMYFUNCTION("""COMPUTED_VALUE"""),"1.84kg")</f>
        <v>1.84kg</v>
      </c>
      <c r="M316" s="2">
        <f ca="1">IFERROR(__xludf.DUMMYFUNCTION("""COMPUTED_VALUE"""),1389)</f>
        <v>1389</v>
      </c>
    </row>
    <row r="317" spans="1:13">
      <c r="A317" s="2">
        <f ca="1">IFERROR(__xludf.DUMMYFUNCTION("""COMPUTED_VALUE"""),627)</f>
        <v>627</v>
      </c>
      <c r="B317" s="2" t="str">
        <f ca="1">IFERROR(__xludf.DUMMYFUNCTION("""COMPUTED_VALUE"""),"HP")</f>
        <v>HP</v>
      </c>
      <c r="C317" s="2" t="str">
        <f ca="1">IFERROR(__xludf.DUMMYFUNCTION("""COMPUTED_VALUE"""),"ProBook 650")</f>
        <v>ProBook 650</v>
      </c>
      <c r="D317" s="2" t="str">
        <f ca="1">IFERROR(__xludf.DUMMYFUNCTION("""COMPUTED_VALUE"""),"Notebook")</f>
        <v>Notebook</v>
      </c>
      <c r="E317" s="2">
        <f ca="1">IFERROR(__xludf.DUMMYFUNCTION("""COMPUTED_VALUE"""),14)</f>
        <v>14</v>
      </c>
      <c r="F317" s="2" t="str">
        <f ca="1">IFERROR(__xludf.DUMMYFUNCTION("""COMPUTED_VALUE"""),"1366x768")</f>
        <v>1366x768</v>
      </c>
      <c r="G317" s="2" t="str">
        <f ca="1">IFERROR(__xludf.DUMMYFUNCTION("""COMPUTED_VALUE"""),"Intel Core i5 7300U 2.6GHz")</f>
        <v>Intel Core i5 7300U 2.6GHz</v>
      </c>
      <c r="H317" s="2" t="str">
        <f ca="1">IFERROR(__xludf.DUMMYFUNCTION("""COMPUTED_VALUE"""),"8GB")</f>
        <v>8GB</v>
      </c>
      <c r="I317" s="2" t="str">
        <f ca="1">IFERROR(__xludf.DUMMYFUNCTION("""COMPUTED_VALUE"""),"256GB SSD")</f>
        <v>256GB SSD</v>
      </c>
      <c r="J317" s="2" t="str">
        <f ca="1">IFERROR(__xludf.DUMMYFUNCTION("""COMPUTED_VALUE"""),"Intel HD Graphics 620")</f>
        <v>Intel HD Graphics 620</v>
      </c>
      <c r="K317" s="2" t="str">
        <f ca="1">IFERROR(__xludf.DUMMYFUNCTION("""COMPUTED_VALUE"""),"Windows 10")</f>
        <v>Windows 10</v>
      </c>
      <c r="L317" s="2" t="str">
        <f ca="1">IFERROR(__xludf.DUMMYFUNCTION("""COMPUTED_VALUE"""),"2.31kg")</f>
        <v>2.31kg</v>
      </c>
      <c r="M317" s="2">
        <f ca="1">IFERROR(__xludf.DUMMYFUNCTION("""COMPUTED_VALUE"""),1124)</f>
        <v>1124</v>
      </c>
    </row>
    <row r="318" spans="1:13">
      <c r="A318" s="2">
        <f ca="1">IFERROR(__xludf.DUMMYFUNCTION("""COMPUTED_VALUE"""),628)</f>
        <v>628</v>
      </c>
      <c r="B318" s="2" t="str">
        <f ca="1">IFERROR(__xludf.DUMMYFUNCTION("""COMPUTED_VALUE"""),"Lenovo")</f>
        <v>Lenovo</v>
      </c>
      <c r="C318" s="2" t="str">
        <f ca="1">IFERROR(__xludf.DUMMYFUNCTION("""COMPUTED_VALUE"""),"ThinkPad T470")</f>
        <v>ThinkPad T470</v>
      </c>
      <c r="D318" s="2" t="str">
        <f ca="1">IFERROR(__xludf.DUMMYFUNCTION("""COMPUTED_VALUE"""),"Notebook")</f>
        <v>Notebook</v>
      </c>
      <c r="E318" s="2">
        <f ca="1">IFERROR(__xludf.DUMMYFUNCTION("""COMPUTED_VALUE"""),14)</f>
        <v>14</v>
      </c>
      <c r="F318" s="2" t="str">
        <f ca="1">IFERROR(__xludf.DUMMYFUNCTION("""COMPUTED_VALUE"""),"Full HD 1920x1080")</f>
        <v>Full HD 1920x1080</v>
      </c>
      <c r="G318" s="2" t="str">
        <f ca="1">IFERROR(__xludf.DUMMYFUNCTION("""COMPUTED_VALUE"""),"Intel Core i5 6200U 2.3GHz")</f>
        <v>Intel Core i5 6200U 2.3GHz</v>
      </c>
      <c r="H318" s="2" t="str">
        <f ca="1">IFERROR(__xludf.DUMMYFUNCTION("""COMPUTED_VALUE"""),"8GB")</f>
        <v>8GB</v>
      </c>
      <c r="I318" s="2" t="str">
        <f ca="1">IFERROR(__xludf.DUMMYFUNCTION("""COMPUTED_VALUE"""),"256GB SSD")</f>
        <v>256GB SSD</v>
      </c>
      <c r="J318" s="2" t="str">
        <f ca="1">IFERROR(__xludf.DUMMYFUNCTION("""COMPUTED_VALUE"""),"Intel HD Graphics 520")</f>
        <v>Intel HD Graphics 520</v>
      </c>
      <c r="K318" s="2" t="str">
        <f ca="1">IFERROR(__xludf.DUMMYFUNCTION("""COMPUTED_VALUE"""),"Windows 7")</f>
        <v>Windows 7</v>
      </c>
      <c r="L318" s="2" t="str">
        <f ca="1">IFERROR(__xludf.DUMMYFUNCTION("""COMPUTED_VALUE"""),"1.65kg")</f>
        <v>1.65kg</v>
      </c>
      <c r="M318" s="2">
        <f ca="1">IFERROR(__xludf.DUMMYFUNCTION("""COMPUTED_VALUE"""),1465)</f>
        <v>1465</v>
      </c>
    </row>
    <row r="319" spans="1:13">
      <c r="A319" s="2">
        <f ca="1">IFERROR(__xludf.DUMMYFUNCTION("""COMPUTED_VALUE"""),630)</f>
        <v>630</v>
      </c>
      <c r="B319" s="2" t="str">
        <f ca="1">IFERROR(__xludf.DUMMYFUNCTION("""COMPUTED_VALUE"""),"Fujitsu")</f>
        <v>Fujitsu</v>
      </c>
      <c r="C319" s="2" t="str">
        <f ca="1">IFERROR(__xludf.DUMMYFUNCTION("""COMPUTED_VALUE"""),"LifeBook A557")</f>
        <v>LifeBook A557</v>
      </c>
      <c r="D319" s="2" t="str">
        <f ca="1">IFERROR(__xludf.DUMMYFUNCTION("""COMPUTED_VALUE"""),"Notebook")</f>
        <v>Notebook</v>
      </c>
      <c r="E319" s="2">
        <f ca="1">IFERROR(__xludf.DUMMYFUNCTION("""COMPUTED_VALUE"""),15.6)</f>
        <v>15.6</v>
      </c>
      <c r="F319" s="2" t="str">
        <f ca="1">IFERROR(__xludf.DUMMYFUNCTION("""COMPUTED_VALUE"""),"1366x768")</f>
        <v>1366x768</v>
      </c>
      <c r="G319" s="2" t="str">
        <f ca="1">IFERROR(__xludf.DUMMYFUNCTION("""COMPUTED_VALUE"""),"Intel Core i5 7200U 2.5GHz")</f>
        <v>Intel Core i5 7200U 2.5GHz</v>
      </c>
      <c r="H319" s="2" t="str">
        <f ca="1">IFERROR(__xludf.DUMMYFUNCTION("""COMPUTED_VALUE"""),"8GB")</f>
        <v>8GB</v>
      </c>
      <c r="I319" s="2" t="str">
        <f ca="1">IFERROR(__xludf.DUMMYFUNCTION("""COMPUTED_VALUE"""),"256GB SSD")</f>
        <v>256GB SSD</v>
      </c>
      <c r="J319" s="2" t="str">
        <f ca="1">IFERROR(__xludf.DUMMYFUNCTION("""COMPUTED_VALUE"""),"Intel HD Graphics 620")</f>
        <v>Intel HD Graphics 620</v>
      </c>
      <c r="K319" s="2" t="str">
        <f ca="1">IFERROR(__xludf.DUMMYFUNCTION("""COMPUTED_VALUE"""),"Windows 10")</f>
        <v>Windows 10</v>
      </c>
      <c r="L319" s="2" t="str">
        <f ca="1">IFERROR(__xludf.DUMMYFUNCTION("""COMPUTED_VALUE"""),"2.2kg")</f>
        <v>2.2kg</v>
      </c>
      <c r="M319" s="2">
        <f ca="1">IFERROR(__xludf.DUMMYFUNCTION("""COMPUTED_VALUE"""),799)</f>
        <v>799</v>
      </c>
    </row>
    <row r="320" spans="1:13">
      <c r="A320" s="2">
        <f ca="1">IFERROR(__xludf.DUMMYFUNCTION("""COMPUTED_VALUE"""),632)</f>
        <v>632</v>
      </c>
      <c r="B320" s="2" t="str">
        <f ca="1">IFERROR(__xludf.DUMMYFUNCTION("""COMPUTED_VALUE"""),"Lenovo")</f>
        <v>Lenovo</v>
      </c>
      <c r="C320" s="2" t="str">
        <f ca="1">IFERROR(__xludf.DUMMYFUNCTION("""COMPUTED_VALUE"""),"IdeaPad 320-15IKB")</f>
        <v>IdeaPad 320-15IKB</v>
      </c>
      <c r="D320" s="2" t="str">
        <f ca="1">IFERROR(__xludf.DUMMYFUNCTION("""COMPUTED_VALUE"""),"Notebook")</f>
        <v>Notebook</v>
      </c>
      <c r="E320" s="2">
        <f ca="1">IFERROR(__xludf.DUMMYFUNCTION("""COMPUTED_VALUE"""),15.6)</f>
        <v>15.6</v>
      </c>
      <c r="F320" s="2" t="str">
        <f ca="1">IFERROR(__xludf.DUMMYFUNCTION("""COMPUTED_VALUE"""),"Full HD 1920x1080")</f>
        <v>Full HD 1920x1080</v>
      </c>
      <c r="G320" s="2" t="str">
        <f ca="1">IFERROR(__xludf.DUMMYFUNCTION("""COMPUTED_VALUE"""),"Intel Core i7 7500U 2.7GHz")</f>
        <v>Intel Core i7 7500U 2.7GHz</v>
      </c>
      <c r="H320" s="2" t="str">
        <f ca="1">IFERROR(__xludf.DUMMYFUNCTION("""COMPUTED_VALUE"""),"8GB")</f>
        <v>8GB</v>
      </c>
      <c r="I320" s="2" t="str">
        <f ca="1">IFERROR(__xludf.DUMMYFUNCTION("""COMPUTED_VALUE"""),"1TB HDD")</f>
        <v>1TB HDD</v>
      </c>
      <c r="J320" s="2" t="str">
        <f ca="1">IFERROR(__xludf.DUMMYFUNCTION("""COMPUTED_VALUE"""),"Nvidia GeForce 920MX")</f>
        <v>Nvidia GeForce 920MX</v>
      </c>
      <c r="K320" s="2" t="str">
        <f ca="1">IFERROR(__xludf.DUMMYFUNCTION("""COMPUTED_VALUE"""),"Windows 10")</f>
        <v>Windows 10</v>
      </c>
      <c r="L320" s="2" t="str">
        <f ca="1">IFERROR(__xludf.DUMMYFUNCTION("""COMPUTED_VALUE"""),"2.2kg")</f>
        <v>2.2kg</v>
      </c>
      <c r="M320" s="2">
        <f ca="1">IFERROR(__xludf.DUMMYFUNCTION("""COMPUTED_VALUE"""),899)</f>
        <v>899</v>
      </c>
    </row>
    <row r="321" spans="1:13">
      <c r="A321" s="2">
        <f ca="1">IFERROR(__xludf.DUMMYFUNCTION("""COMPUTED_VALUE"""),636)</f>
        <v>636</v>
      </c>
      <c r="B321" s="2" t="str">
        <f ca="1">IFERROR(__xludf.DUMMYFUNCTION("""COMPUTED_VALUE"""),"Dell")</f>
        <v>Dell</v>
      </c>
      <c r="C321" s="2" t="str">
        <f ca="1">IFERROR(__xludf.DUMMYFUNCTION("""COMPUTED_VALUE"""),"XPS 15")</f>
        <v>XPS 15</v>
      </c>
      <c r="D321" s="2" t="str">
        <f ca="1">IFERROR(__xludf.DUMMYFUNCTION("""COMPUTED_VALUE"""),"Notebook")</f>
        <v>Notebook</v>
      </c>
      <c r="E321" s="2">
        <f ca="1">IFERROR(__xludf.DUMMYFUNCTION("""COMPUTED_VALUE"""),15.6)</f>
        <v>15.6</v>
      </c>
      <c r="F321" s="2" t="str">
        <f ca="1">IFERROR(__xludf.DUMMYFUNCTION("""COMPUTED_VALUE"""),"Full HD 1920x1080")</f>
        <v>Full HD 1920x1080</v>
      </c>
      <c r="G321" s="2" t="str">
        <f ca="1">IFERROR(__xludf.DUMMYFUNCTION("""COMPUTED_VALUE"""),"Intel Core i7 7700HQ 2.8GHz")</f>
        <v>Intel Core i7 7700HQ 2.8GHz</v>
      </c>
      <c r="H321" s="2" t="str">
        <f ca="1">IFERROR(__xludf.DUMMYFUNCTION("""COMPUTED_VALUE"""),"8GB")</f>
        <v>8GB</v>
      </c>
      <c r="I321" s="2" t="str">
        <f ca="1">IFERROR(__xludf.DUMMYFUNCTION("""COMPUTED_VALUE"""),"256GB SSD")</f>
        <v>256GB SSD</v>
      </c>
      <c r="J321" s="2" t="str">
        <f ca="1">IFERROR(__xludf.DUMMYFUNCTION("""COMPUTED_VALUE"""),"Nvidia GeForce GTX 1050")</f>
        <v>Nvidia GeForce GTX 1050</v>
      </c>
      <c r="K321" s="2" t="str">
        <f ca="1">IFERROR(__xludf.DUMMYFUNCTION("""COMPUTED_VALUE"""),"Windows 10")</f>
        <v>Windows 10</v>
      </c>
      <c r="L321" s="2" t="str">
        <f ca="1">IFERROR(__xludf.DUMMYFUNCTION("""COMPUTED_VALUE"""),"2kg")</f>
        <v>2kg</v>
      </c>
      <c r="M321" s="2">
        <f ca="1">IFERROR(__xludf.DUMMYFUNCTION("""COMPUTED_VALUE"""),1820)</f>
        <v>1820</v>
      </c>
    </row>
    <row r="322" spans="1:13">
      <c r="A322" s="2">
        <f ca="1">IFERROR(__xludf.DUMMYFUNCTION("""COMPUTED_VALUE"""),642)</f>
        <v>642</v>
      </c>
      <c r="B322" s="2" t="str">
        <f ca="1">IFERROR(__xludf.DUMMYFUNCTION("""COMPUTED_VALUE"""),"Asus")</f>
        <v>Asus</v>
      </c>
      <c r="C322" s="2" t="str">
        <f ca="1">IFERROR(__xludf.DUMMYFUNCTION("""COMPUTED_VALUE"""),"X541NA-GO414T (N3350/8GB/1TB/W10)")</f>
        <v>X541NA-GO414T (N3350/8GB/1TB/W10)</v>
      </c>
      <c r="D322" s="2" t="str">
        <f ca="1">IFERROR(__xludf.DUMMYFUNCTION("""COMPUTED_VALUE"""),"Notebook")</f>
        <v>Notebook</v>
      </c>
      <c r="E322" s="2">
        <f ca="1">IFERROR(__xludf.DUMMYFUNCTION("""COMPUTED_VALUE"""),15.6)</f>
        <v>15.6</v>
      </c>
      <c r="F322" s="2" t="str">
        <f ca="1">IFERROR(__xludf.DUMMYFUNCTION("""COMPUTED_VALUE"""),"1366x768")</f>
        <v>1366x768</v>
      </c>
      <c r="G322" s="2" t="str">
        <f ca="1">IFERROR(__xludf.DUMMYFUNCTION("""COMPUTED_VALUE"""),"Intel Celeron Dual Core N3350 1.1GHz")</f>
        <v>Intel Celeron Dual Core N3350 1.1GHz</v>
      </c>
      <c r="H322" s="2" t="str">
        <f ca="1">IFERROR(__xludf.DUMMYFUNCTION("""COMPUTED_VALUE"""),"8GB")</f>
        <v>8GB</v>
      </c>
      <c r="I322" s="2" t="str">
        <f ca="1">IFERROR(__xludf.DUMMYFUNCTION("""COMPUTED_VALUE"""),"1TB HDD")</f>
        <v>1TB HDD</v>
      </c>
      <c r="J322" s="2" t="str">
        <f ca="1">IFERROR(__xludf.DUMMYFUNCTION("""COMPUTED_VALUE"""),"Intel HD Graphics 500")</f>
        <v>Intel HD Graphics 500</v>
      </c>
      <c r="K322" s="2" t="str">
        <f ca="1">IFERROR(__xludf.DUMMYFUNCTION("""COMPUTED_VALUE"""),"Windows 10")</f>
        <v>Windows 10</v>
      </c>
      <c r="L322" s="2" t="str">
        <f ca="1">IFERROR(__xludf.DUMMYFUNCTION("""COMPUTED_VALUE"""),"2kg")</f>
        <v>2kg</v>
      </c>
      <c r="M322" s="2">
        <f ca="1">IFERROR(__xludf.DUMMYFUNCTION("""COMPUTED_VALUE"""),399)</f>
        <v>399</v>
      </c>
    </row>
    <row r="323" spans="1:13">
      <c r="A323" s="2">
        <f ca="1">IFERROR(__xludf.DUMMYFUNCTION("""COMPUTED_VALUE"""),643)</f>
        <v>643</v>
      </c>
      <c r="B323" s="2" t="str">
        <f ca="1">IFERROR(__xludf.DUMMYFUNCTION("""COMPUTED_VALUE"""),"Asus")</f>
        <v>Asus</v>
      </c>
      <c r="C323" s="2" t="str">
        <f ca="1">IFERROR(__xludf.DUMMYFUNCTION("""COMPUTED_VALUE"""),"VivoBook Pro")</f>
        <v>VivoBook Pro</v>
      </c>
      <c r="D323" s="2" t="str">
        <f ca="1">IFERROR(__xludf.DUMMYFUNCTION("""COMPUTED_VALUE"""),"Notebook")</f>
        <v>Notebook</v>
      </c>
      <c r="E323" s="2">
        <f ca="1">IFERROR(__xludf.DUMMYFUNCTION("""COMPUTED_VALUE"""),15.6)</f>
        <v>15.6</v>
      </c>
      <c r="F323" s="2" t="str">
        <f ca="1">IFERROR(__xludf.DUMMYFUNCTION("""COMPUTED_VALUE"""),"Full HD 1920x1080")</f>
        <v>Full HD 1920x1080</v>
      </c>
      <c r="G323" s="2" t="str">
        <f ca="1">IFERROR(__xludf.DUMMYFUNCTION("""COMPUTED_VALUE"""),"Intel Core i5 7300HQ 2.5GHz")</f>
        <v>Intel Core i5 7300HQ 2.5GHz</v>
      </c>
      <c r="H323" s="2" t="str">
        <f ca="1">IFERROR(__xludf.DUMMYFUNCTION("""COMPUTED_VALUE"""),"8GB")</f>
        <v>8GB</v>
      </c>
      <c r="I323" s="2" t="str">
        <f ca="1">IFERROR(__xludf.DUMMYFUNCTION("""COMPUTED_VALUE"""),"1TB HDD")</f>
        <v>1TB HDD</v>
      </c>
      <c r="J323" s="2" t="str">
        <f ca="1">IFERROR(__xludf.DUMMYFUNCTION("""COMPUTED_VALUE"""),"Nvidia GeForce GTX 1050")</f>
        <v>Nvidia GeForce GTX 1050</v>
      </c>
      <c r="K323" s="2" t="str">
        <f ca="1">IFERROR(__xludf.DUMMYFUNCTION("""COMPUTED_VALUE"""),"Windows 10")</f>
        <v>Windows 10</v>
      </c>
      <c r="L323" s="2" t="str">
        <f ca="1">IFERROR(__xludf.DUMMYFUNCTION("""COMPUTED_VALUE"""),"1.99kg")</f>
        <v>1.99kg</v>
      </c>
      <c r="M323" s="2">
        <f ca="1">IFERROR(__xludf.DUMMYFUNCTION("""COMPUTED_VALUE"""),906.62)</f>
        <v>906.62</v>
      </c>
    </row>
    <row r="324" spans="1:13">
      <c r="A324" s="2">
        <f ca="1">IFERROR(__xludf.DUMMYFUNCTION("""COMPUTED_VALUE"""),644)</f>
        <v>644</v>
      </c>
      <c r="B324" s="2" t="str">
        <f ca="1">IFERROR(__xludf.DUMMYFUNCTION("""COMPUTED_VALUE"""),"Dell")</f>
        <v>Dell</v>
      </c>
      <c r="C324" s="2" t="str">
        <f ca="1">IFERROR(__xludf.DUMMYFUNCTION("""COMPUTED_VALUE"""),"XPS 13")</f>
        <v>XPS 13</v>
      </c>
      <c r="D324" s="2" t="str">
        <f ca="1">IFERROR(__xludf.DUMMYFUNCTION("""COMPUTED_VALUE"""),"Ultrabook")</f>
        <v>Ultrabook</v>
      </c>
      <c r="E324" s="2">
        <f ca="1">IFERROR(__xludf.DUMMYFUNCTION("""COMPUTED_VALUE"""),13.3)</f>
        <v>13.3</v>
      </c>
      <c r="F324" s="2" t="str">
        <f ca="1">IFERROR(__xludf.DUMMYFUNCTION("""COMPUTED_VALUE"""),"Quad HD+ / Touchscreen 3200x1800")</f>
        <v>Quad HD+ / Touchscreen 3200x1800</v>
      </c>
      <c r="G324" s="2" t="str">
        <f ca="1">IFERROR(__xludf.DUMMYFUNCTION("""COMPUTED_VALUE"""),"Intel Core i5 8250U 1.6GHz")</f>
        <v>Intel Core i5 8250U 1.6GHz</v>
      </c>
      <c r="H324" s="2" t="str">
        <f ca="1">IFERROR(__xludf.DUMMYFUNCTION("""COMPUTED_VALUE"""),"8GB")</f>
        <v>8GB</v>
      </c>
      <c r="I324" s="2" t="str">
        <f ca="1">IFERROR(__xludf.DUMMYFUNCTION("""COMPUTED_VALUE"""),"256GB SSD")</f>
        <v>256GB SSD</v>
      </c>
      <c r="J324" s="2" t="str">
        <f ca="1">IFERROR(__xludf.DUMMYFUNCTION("""COMPUTED_VALUE"""),"Intel UHD Graphics 620")</f>
        <v>Intel UHD Graphics 620</v>
      </c>
      <c r="K324" s="2" t="str">
        <f ca="1">IFERROR(__xludf.DUMMYFUNCTION("""COMPUTED_VALUE"""),"Windows 10")</f>
        <v>Windows 10</v>
      </c>
      <c r="L324" s="2" t="str">
        <f ca="1">IFERROR(__xludf.DUMMYFUNCTION("""COMPUTED_VALUE"""),"1.23kg")</f>
        <v>1.23kg</v>
      </c>
      <c r="M324" s="2">
        <f ca="1">IFERROR(__xludf.DUMMYFUNCTION("""COMPUTED_VALUE"""),1869)</f>
        <v>1869</v>
      </c>
    </row>
    <row r="325" spans="1:13">
      <c r="A325" s="2">
        <f ca="1">IFERROR(__xludf.DUMMYFUNCTION("""COMPUTED_VALUE"""),646)</f>
        <v>646</v>
      </c>
      <c r="B325" s="2" t="str">
        <f ca="1">IFERROR(__xludf.DUMMYFUNCTION("""COMPUTED_VALUE"""),"Lenovo")</f>
        <v>Lenovo</v>
      </c>
      <c r="C325" s="2" t="str">
        <f ca="1">IFERROR(__xludf.DUMMYFUNCTION("""COMPUTED_VALUE"""),"Thinkpad Yoga")</f>
        <v>Thinkpad Yoga</v>
      </c>
      <c r="D325" s="2" t="str">
        <f ca="1">IFERROR(__xludf.DUMMYFUNCTION("""COMPUTED_VALUE"""),"2 in 1 Convertible")</f>
        <v>2 in 1 Convertible</v>
      </c>
      <c r="E325" s="2">
        <f ca="1">IFERROR(__xludf.DUMMYFUNCTION("""COMPUTED_VALUE"""),13.3)</f>
        <v>13.3</v>
      </c>
      <c r="F325" s="2" t="str">
        <f ca="1">IFERROR(__xludf.DUMMYFUNCTION("""COMPUTED_VALUE"""),"IPS Panel Full HD / Touchscreen 1920x1080")</f>
        <v>IPS Panel Full HD / Touchscreen 1920x1080</v>
      </c>
      <c r="G325" s="2" t="str">
        <f ca="1">IFERROR(__xludf.DUMMYFUNCTION("""COMPUTED_VALUE"""),"Intel Core i7 7500U 2.7GHz")</f>
        <v>Intel Core i7 7500U 2.7GHz</v>
      </c>
      <c r="H325" s="2" t="str">
        <f ca="1">IFERROR(__xludf.DUMMYFUNCTION("""COMPUTED_VALUE"""),"8GB")</f>
        <v>8GB</v>
      </c>
      <c r="I325" s="2" t="str">
        <f ca="1">IFERROR(__xludf.DUMMYFUNCTION("""COMPUTED_VALUE"""),"256GB SSD")</f>
        <v>256GB SSD</v>
      </c>
      <c r="J325" s="2" t="str">
        <f ca="1">IFERROR(__xludf.DUMMYFUNCTION("""COMPUTED_VALUE"""),"Intel HD Graphics 620")</f>
        <v>Intel HD Graphics 620</v>
      </c>
      <c r="K325" s="2" t="str">
        <f ca="1">IFERROR(__xludf.DUMMYFUNCTION("""COMPUTED_VALUE"""),"Windows 10")</f>
        <v>Windows 10</v>
      </c>
      <c r="L325" s="2" t="str">
        <f ca="1">IFERROR(__xludf.DUMMYFUNCTION("""COMPUTED_VALUE"""),"1.37kg")</f>
        <v>1.37kg</v>
      </c>
      <c r="M325" s="2">
        <f ca="1">IFERROR(__xludf.DUMMYFUNCTION("""COMPUTED_VALUE"""),1757.42)</f>
        <v>1757.42</v>
      </c>
    </row>
    <row r="326" spans="1:13">
      <c r="A326" s="2">
        <f ca="1">IFERROR(__xludf.DUMMYFUNCTION("""COMPUTED_VALUE"""),648)</f>
        <v>648</v>
      </c>
      <c r="B326" s="2" t="str">
        <f ca="1">IFERROR(__xludf.DUMMYFUNCTION("""COMPUTED_VALUE"""),"Lenovo")</f>
        <v>Lenovo</v>
      </c>
      <c r="C326" s="2" t="str">
        <f ca="1">IFERROR(__xludf.DUMMYFUNCTION("""COMPUTED_VALUE"""),"Legion Y520-15IKBN")</f>
        <v>Legion Y520-15IKBN</v>
      </c>
      <c r="D326" s="2" t="str">
        <f ca="1">IFERROR(__xludf.DUMMYFUNCTION("""COMPUTED_VALUE"""),"Gaming")</f>
        <v>Gaming</v>
      </c>
      <c r="E326" s="2">
        <f ca="1">IFERROR(__xludf.DUMMYFUNCTION("""COMPUTED_VALUE"""),15.6)</f>
        <v>15.6</v>
      </c>
      <c r="F326" s="2" t="str">
        <f ca="1">IFERROR(__xludf.DUMMYFUNCTION("""COMPUTED_VALUE"""),"IPS Panel Full HD 1920x1080")</f>
        <v>IPS Panel Full HD 1920x1080</v>
      </c>
      <c r="G326" s="2" t="str">
        <f ca="1">IFERROR(__xludf.DUMMYFUNCTION("""COMPUTED_VALUE"""),"Intel Core i7 7700HQ 2.8GHz")</f>
        <v>Intel Core i7 7700HQ 2.8GHz</v>
      </c>
      <c r="H326" s="2" t="str">
        <f ca="1">IFERROR(__xludf.DUMMYFUNCTION("""COMPUTED_VALUE"""),"8GB")</f>
        <v>8GB</v>
      </c>
      <c r="I326" s="2" t="str">
        <f ca="1">IFERROR(__xludf.DUMMYFUNCTION("""COMPUTED_VALUE"""),"128GB SSD +  1TB HDD")</f>
        <v>128GB SSD +  1TB HDD</v>
      </c>
      <c r="J326" s="2" t="str">
        <f ca="1">IFERROR(__xludf.DUMMYFUNCTION("""COMPUTED_VALUE"""),"Nvidia GeForce GTX 1050M")</f>
        <v>Nvidia GeForce GTX 1050M</v>
      </c>
      <c r="K326" s="2" t="str">
        <f ca="1">IFERROR(__xludf.DUMMYFUNCTION("""COMPUTED_VALUE"""),"Windows 10")</f>
        <v>Windows 10</v>
      </c>
      <c r="L326" s="2" t="str">
        <f ca="1">IFERROR(__xludf.DUMMYFUNCTION("""COMPUTED_VALUE"""),"2.5kg")</f>
        <v>2.5kg</v>
      </c>
      <c r="M326" s="2">
        <f ca="1">IFERROR(__xludf.DUMMYFUNCTION("""COMPUTED_VALUE"""),1109)</f>
        <v>1109</v>
      </c>
    </row>
    <row r="327" spans="1:13">
      <c r="A327" s="2">
        <f ca="1">IFERROR(__xludf.DUMMYFUNCTION("""COMPUTED_VALUE"""),649)</f>
        <v>649</v>
      </c>
      <c r="B327" s="2" t="str">
        <f ca="1">IFERROR(__xludf.DUMMYFUNCTION("""COMPUTED_VALUE"""),"HP")</f>
        <v>HP</v>
      </c>
      <c r="C327" s="2" t="str">
        <f ca="1">IFERROR(__xludf.DUMMYFUNCTION("""COMPUTED_VALUE"""),"17-AK091ND (A9-9420/8GB/1TB/W10)")</f>
        <v>17-AK091ND (A9-9420/8GB/1TB/W10)</v>
      </c>
      <c r="D327" s="2" t="str">
        <f ca="1">IFERROR(__xludf.DUMMYFUNCTION("""COMPUTED_VALUE"""),"Notebook")</f>
        <v>Notebook</v>
      </c>
      <c r="E327" s="2">
        <f ca="1">IFERROR(__xludf.DUMMYFUNCTION("""COMPUTED_VALUE"""),17)</f>
        <v>17</v>
      </c>
      <c r="F327" s="2" t="str">
        <f ca="1">IFERROR(__xludf.DUMMYFUNCTION("""COMPUTED_VALUE"""),"1600x900")</f>
        <v>1600x900</v>
      </c>
      <c r="G327" s="2" t="str">
        <f ca="1">IFERROR(__xludf.DUMMYFUNCTION("""COMPUTED_VALUE"""),"AMD A9-Series 9420 3GHz")</f>
        <v>AMD A9-Series 9420 3GHz</v>
      </c>
      <c r="H327" s="2" t="str">
        <f ca="1">IFERROR(__xludf.DUMMYFUNCTION("""COMPUTED_VALUE"""),"8GB")</f>
        <v>8GB</v>
      </c>
      <c r="I327" s="2" t="str">
        <f ca="1">IFERROR(__xludf.DUMMYFUNCTION("""COMPUTED_VALUE"""),"1TB HDD")</f>
        <v>1TB HDD</v>
      </c>
      <c r="J327" s="2" t="str">
        <f ca="1">IFERROR(__xludf.DUMMYFUNCTION("""COMPUTED_VALUE"""),"AMD Radeon R5")</f>
        <v>AMD Radeon R5</v>
      </c>
      <c r="K327" s="2" t="str">
        <f ca="1">IFERROR(__xludf.DUMMYFUNCTION("""COMPUTED_VALUE"""),"Windows 10")</f>
        <v>Windows 10</v>
      </c>
      <c r="L327" s="2" t="str">
        <f ca="1">IFERROR(__xludf.DUMMYFUNCTION("""COMPUTED_VALUE"""),"2.6kg")</f>
        <v>2.6kg</v>
      </c>
      <c r="M327" s="2">
        <f ca="1">IFERROR(__xludf.DUMMYFUNCTION("""COMPUTED_VALUE"""),520.9)</f>
        <v>520.9</v>
      </c>
    </row>
    <row r="328" spans="1:13">
      <c r="A328" s="2">
        <f ca="1">IFERROR(__xludf.DUMMYFUNCTION("""COMPUTED_VALUE"""),651)</f>
        <v>651</v>
      </c>
      <c r="B328" s="2" t="str">
        <f ca="1">IFERROR(__xludf.DUMMYFUNCTION("""COMPUTED_VALUE"""),"Asus")</f>
        <v>Asus</v>
      </c>
      <c r="C328" s="2" t="str">
        <f ca="1">IFERROR(__xludf.DUMMYFUNCTION("""COMPUTED_VALUE"""),"ROG GL553VE-FY022")</f>
        <v>ROG GL553VE-FY022</v>
      </c>
      <c r="D328" s="2" t="str">
        <f ca="1">IFERROR(__xludf.DUMMYFUNCTION("""COMPUTED_VALUE"""),"Gaming")</f>
        <v>Gaming</v>
      </c>
      <c r="E328" s="2">
        <f ca="1">IFERROR(__xludf.DUMMYFUNCTION("""COMPUTED_VALUE"""),15.6)</f>
        <v>15.6</v>
      </c>
      <c r="F328" s="2" t="str">
        <f ca="1">IFERROR(__xludf.DUMMYFUNCTION("""COMPUTED_VALUE"""),"IPS Panel Full HD 1920x1080")</f>
        <v>IPS Panel Full HD 1920x1080</v>
      </c>
      <c r="G328" s="2" t="str">
        <f ca="1">IFERROR(__xludf.DUMMYFUNCTION("""COMPUTED_VALUE"""),"Intel Core i7 7700HQ 2.8GHz")</f>
        <v>Intel Core i7 7700HQ 2.8GHz</v>
      </c>
      <c r="H328" s="2" t="str">
        <f ca="1">IFERROR(__xludf.DUMMYFUNCTION("""COMPUTED_VALUE"""),"8GB")</f>
        <v>8GB</v>
      </c>
      <c r="I328" s="2" t="str">
        <f ca="1">IFERROR(__xludf.DUMMYFUNCTION("""COMPUTED_VALUE"""),"1TB HDD")</f>
        <v>1TB HDD</v>
      </c>
      <c r="J328" s="2" t="str">
        <f ca="1">IFERROR(__xludf.DUMMYFUNCTION("""COMPUTED_VALUE"""),"Nvidia GeForce GTX 1050 Ti")</f>
        <v>Nvidia GeForce GTX 1050 Ti</v>
      </c>
      <c r="K328" s="2" t="str">
        <f ca="1">IFERROR(__xludf.DUMMYFUNCTION("""COMPUTED_VALUE"""),"No OS")</f>
        <v>No OS</v>
      </c>
      <c r="L328" s="2" t="str">
        <f ca="1">IFERROR(__xludf.DUMMYFUNCTION("""COMPUTED_VALUE"""),"2.5kg")</f>
        <v>2.5kg</v>
      </c>
      <c r="M328" s="2">
        <f ca="1">IFERROR(__xludf.DUMMYFUNCTION("""COMPUTED_VALUE"""),1169)</f>
        <v>1169</v>
      </c>
    </row>
    <row r="329" spans="1:13">
      <c r="A329" s="2">
        <f ca="1">IFERROR(__xludf.DUMMYFUNCTION("""COMPUTED_VALUE"""),654)</f>
        <v>654</v>
      </c>
      <c r="B329" s="2" t="str">
        <f ca="1">IFERROR(__xludf.DUMMYFUNCTION("""COMPUTED_VALUE"""),"Acer")</f>
        <v>Acer</v>
      </c>
      <c r="C329" s="2" t="str">
        <f ca="1">IFERROR(__xludf.DUMMYFUNCTION("""COMPUTED_VALUE"""),"Swift 3")</f>
        <v>Swift 3</v>
      </c>
      <c r="D329" s="2" t="str">
        <f ca="1">IFERROR(__xludf.DUMMYFUNCTION("""COMPUTED_VALUE"""),"Ultrabook")</f>
        <v>Ultrabook</v>
      </c>
      <c r="E329" s="2">
        <f ca="1">IFERROR(__xludf.DUMMYFUNCTION("""COMPUTED_VALUE"""),14)</f>
        <v>14</v>
      </c>
      <c r="F329" s="2" t="str">
        <f ca="1">IFERROR(__xludf.DUMMYFUNCTION("""COMPUTED_VALUE"""),"IPS Panel Full HD 1920x1080")</f>
        <v>IPS Panel Full HD 1920x1080</v>
      </c>
      <c r="G329" s="2" t="str">
        <f ca="1">IFERROR(__xludf.DUMMYFUNCTION("""COMPUTED_VALUE"""),"Intel Core i5 7200U 2.5GHz")</f>
        <v>Intel Core i5 7200U 2.5GHz</v>
      </c>
      <c r="H329" s="2" t="str">
        <f ca="1">IFERROR(__xludf.DUMMYFUNCTION("""COMPUTED_VALUE"""),"8GB")</f>
        <v>8GB</v>
      </c>
      <c r="I329" s="2" t="str">
        <f ca="1">IFERROR(__xludf.DUMMYFUNCTION("""COMPUTED_VALUE"""),"256GB SSD")</f>
        <v>256GB SSD</v>
      </c>
      <c r="J329" s="2" t="str">
        <f ca="1">IFERROR(__xludf.DUMMYFUNCTION("""COMPUTED_VALUE"""),"Intel Graphics 620")</f>
        <v>Intel Graphics 620</v>
      </c>
      <c r="K329" s="2" t="str">
        <f ca="1">IFERROR(__xludf.DUMMYFUNCTION("""COMPUTED_VALUE"""),"Windows 10")</f>
        <v>Windows 10</v>
      </c>
      <c r="L329" s="2" t="str">
        <f ca="1">IFERROR(__xludf.DUMMYFUNCTION("""COMPUTED_VALUE"""),"1.8kg")</f>
        <v>1.8kg</v>
      </c>
      <c r="M329" s="2">
        <f ca="1">IFERROR(__xludf.DUMMYFUNCTION("""COMPUTED_VALUE"""),919)</f>
        <v>919</v>
      </c>
    </row>
    <row r="330" spans="1:13">
      <c r="A330" s="2">
        <f ca="1">IFERROR(__xludf.DUMMYFUNCTION("""COMPUTED_VALUE"""),656)</f>
        <v>656</v>
      </c>
      <c r="B330" s="2" t="str">
        <f ca="1">IFERROR(__xludf.DUMMYFUNCTION("""COMPUTED_VALUE"""),"Toshiba")</f>
        <v>Toshiba</v>
      </c>
      <c r="C330" s="2" t="str">
        <f ca="1">IFERROR(__xludf.DUMMYFUNCTION("""COMPUTED_VALUE"""),"Portege Z30-C-16J")</f>
        <v>Portege Z30-C-16J</v>
      </c>
      <c r="D330" s="2" t="str">
        <f ca="1">IFERROR(__xludf.DUMMYFUNCTION("""COMPUTED_VALUE"""),"Notebook")</f>
        <v>Notebook</v>
      </c>
      <c r="E330" s="2">
        <f ca="1">IFERROR(__xludf.DUMMYFUNCTION("""COMPUTED_VALUE"""),13.3)</f>
        <v>13.3</v>
      </c>
      <c r="F330" s="2" t="str">
        <f ca="1">IFERROR(__xludf.DUMMYFUNCTION("""COMPUTED_VALUE"""),"Full HD 1920x1080")</f>
        <v>Full HD 1920x1080</v>
      </c>
      <c r="G330" s="2" t="str">
        <f ca="1">IFERROR(__xludf.DUMMYFUNCTION("""COMPUTED_VALUE"""),"Intel Core i5 6200U 2.3GHz")</f>
        <v>Intel Core i5 6200U 2.3GHz</v>
      </c>
      <c r="H330" s="2" t="str">
        <f ca="1">IFERROR(__xludf.DUMMYFUNCTION("""COMPUTED_VALUE"""),"8GB")</f>
        <v>8GB</v>
      </c>
      <c r="I330" s="2" t="str">
        <f ca="1">IFERROR(__xludf.DUMMYFUNCTION("""COMPUTED_VALUE"""),"256GB SSD")</f>
        <v>256GB SSD</v>
      </c>
      <c r="J330" s="2" t="str">
        <f ca="1">IFERROR(__xludf.DUMMYFUNCTION("""COMPUTED_VALUE"""),"Intel HD Graphics 520")</f>
        <v>Intel HD Graphics 520</v>
      </c>
      <c r="K330" s="2" t="str">
        <f ca="1">IFERROR(__xludf.DUMMYFUNCTION("""COMPUTED_VALUE"""),"Windows 10")</f>
        <v>Windows 10</v>
      </c>
      <c r="L330" s="2" t="str">
        <f ca="1">IFERROR(__xludf.DUMMYFUNCTION("""COMPUTED_VALUE"""),"1.2kg")</f>
        <v>1.2kg</v>
      </c>
      <c r="M330" s="2">
        <f ca="1">IFERROR(__xludf.DUMMYFUNCTION("""COMPUTED_VALUE"""),1213)</f>
        <v>1213</v>
      </c>
    </row>
    <row r="331" spans="1:13">
      <c r="A331" s="2">
        <f ca="1">IFERROR(__xludf.DUMMYFUNCTION("""COMPUTED_VALUE"""),657)</f>
        <v>657</v>
      </c>
      <c r="B331" s="2" t="str">
        <f ca="1">IFERROR(__xludf.DUMMYFUNCTION("""COMPUTED_VALUE"""),"Lenovo")</f>
        <v>Lenovo</v>
      </c>
      <c r="C331" s="2" t="str">
        <f ca="1">IFERROR(__xludf.DUMMYFUNCTION("""COMPUTED_VALUE"""),"Thinkpad X270")</f>
        <v>Thinkpad X270</v>
      </c>
      <c r="D331" s="2" t="str">
        <f ca="1">IFERROR(__xludf.DUMMYFUNCTION("""COMPUTED_VALUE"""),"Ultrabook")</f>
        <v>Ultrabook</v>
      </c>
      <c r="E331" s="2">
        <f ca="1">IFERROR(__xludf.DUMMYFUNCTION("""COMPUTED_VALUE"""),12.5)</f>
        <v>12.5</v>
      </c>
      <c r="F331" s="2" t="str">
        <f ca="1">IFERROR(__xludf.DUMMYFUNCTION("""COMPUTED_VALUE"""),"IPS Panel Full HD 1920x1080")</f>
        <v>IPS Panel Full HD 1920x1080</v>
      </c>
      <c r="G331" s="2" t="str">
        <f ca="1">IFERROR(__xludf.DUMMYFUNCTION("""COMPUTED_VALUE"""),"Intel Core i7 7500U 2.7GHz")</f>
        <v>Intel Core i7 7500U 2.7GHz</v>
      </c>
      <c r="H331" s="2" t="str">
        <f ca="1">IFERROR(__xludf.DUMMYFUNCTION("""COMPUTED_VALUE"""),"8GB")</f>
        <v>8GB</v>
      </c>
      <c r="I331" s="2" t="str">
        <f ca="1">IFERROR(__xludf.DUMMYFUNCTION("""COMPUTED_VALUE"""),"256GB SSD")</f>
        <v>256GB SSD</v>
      </c>
      <c r="J331" s="2" t="str">
        <f ca="1">IFERROR(__xludf.DUMMYFUNCTION("""COMPUTED_VALUE"""),"Intel HD Graphics 620")</f>
        <v>Intel HD Graphics 620</v>
      </c>
      <c r="K331" s="2" t="str">
        <f ca="1">IFERROR(__xludf.DUMMYFUNCTION("""COMPUTED_VALUE"""),"Windows 10")</f>
        <v>Windows 10</v>
      </c>
      <c r="L331" s="2" t="str">
        <f ca="1">IFERROR(__xludf.DUMMYFUNCTION("""COMPUTED_VALUE"""),"1.36kg")</f>
        <v>1.36kg</v>
      </c>
      <c r="M331" s="2">
        <f ca="1">IFERROR(__xludf.DUMMYFUNCTION("""COMPUTED_VALUE"""),1584)</f>
        <v>1584</v>
      </c>
    </row>
    <row r="332" spans="1:13">
      <c r="A332" s="2">
        <f ca="1">IFERROR(__xludf.DUMMYFUNCTION("""COMPUTED_VALUE"""),659)</f>
        <v>659</v>
      </c>
      <c r="B332" s="2" t="str">
        <f ca="1">IFERROR(__xludf.DUMMYFUNCTION("""COMPUTED_VALUE"""),"Acer")</f>
        <v>Acer</v>
      </c>
      <c r="C332" s="2" t="str">
        <f ca="1">IFERROR(__xludf.DUMMYFUNCTION("""COMPUTED_VALUE"""),"A715-71G-59DH (i5-7300HQ/8GB/1TB/GeForce")</f>
        <v>A715-71G-59DH (i5-7300HQ/8GB/1TB/GeForce</v>
      </c>
      <c r="D332" s="2" t="str">
        <f ca="1">IFERROR(__xludf.DUMMYFUNCTION("""COMPUTED_VALUE"""),"Gaming")</f>
        <v>Gaming</v>
      </c>
      <c r="E332" s="2">
        <f ca="1">IFERROR(__xludf.DUMMYFUNCTION("""COMPUTED_VALUE"""),15.6)</f>
        <v>15.6</v>
      </c>
      <c r="F332" s="2" t="str">
        <f ca="1">IFERROR(__xludf.DUMMYFUNCTION("""COMPUTED_VALUE"""),"Full HD 1920x1080")</f>
        <v>Full HD 1920x1080</v>
      </c>
      <c r="G332" s="2" t="str">
        <f ca="1">IFERROR(__xludf.DUMMYFUNCTION("""COMPUTED_VALUE"""),"Intel Core i5 7300HQ 2.5GHz")</f>
        <v>Intel Core i5 7300HQ 2.5GHz</v>
      </c>
      <c r="H332" s="2" t="str">
        <f ca="1">IFERROR(__xludf.DUMMYFUNCTION("""COMPUTED_VALUE"""),"8GB")</f>
        <v>8GB</v>
      </c>
      <c r="I332" s="2" t="str">
        <f ca="1">IFERROR(__xludf.DUMMYFUNCTION("""COMPUTED_VALUE"""),"1TB HDD")</f>
        <v>1TB HDD</v>
      </c>
      <c r="J332" s="2" t="str">
        <f ca="1">IFERROR(__xludf.DUMMYFUNCTION("""COMPUTED_VALUE"""),"Nvidia GeForce GTX 1050")</f>
        <v>Nvidia GeForce GTX 1050</v>
      </c>
      <c r="K332" s="2" t="str">
        <f ca="1">IFERROR(__xludf.DUMMYFUNCTION("""COMPUTED_VALUE"""),"Linux")</f>
        <v>Linux</v>
      </c>
      <c r="L332" s="2" t="str">
        <f ca="1">IFERROR(__xludf.DUMMYFUNCTION("""COMPUTED_VALUE"""),"2.4kg")</f>
        <v>2.4kg</v>
      </c>
      <c r="M332" s="2">
        <f ca="1">IFERROR(__xludf.DUMMYFUNCTION("""COMPUTED_VALUE"""),709)</f>
        <v>709</v>
      </c>
    </row>
    <row r="333" spans="1:13">
      <c r="A333" s="2">
        <f ca="1">IFERROR(__xludf.DUMMYFUNCTION("""COMPUTED_VALUE"""),660)</f>
        <v>660</v>
      </c>
      <c r="B333" s="2" t="str">
        <f ca="1">IFERROR(__xludf.DUMMYFUNCTION("""COMPUTED_VALUE"""),"Dell")</f>
        <v>Dell</v>
      </c>
      <c r="C333" s="2" t="str">
        <f ca="1">IFERROR(__xludf.DUMMYFUNCTION("""COMPUTED_VALUE"""),"XPS 13")</f>
        <v>XPS 13</v>
      </c>
      <c r="D333" s="2" t="str">
        <f ca="1">IFERROR(__xludf.DUMMYFUNCTION("""COMPUTED_VALUE"""),"Ultrabook")</f>
        <v>Ultrabook</v>
      </c>
      <c r="E333" s="2">
        <f ca="1">IFERROR(__xludf.DUMMYFUNCTION("""COMPUTED_VALUE"""),13.3)</f>
        <v>13.3</v>
      </c>
      <c r="F333" s="2" t="str">
        <f ca="1">IFERROR(__xludf.DUMMYFUNCTION("""COMPUTED_VALUE"""),"Full HD 1920x1080")</f>
        <v>Full HD 1920x1080</v>
      </c>
      <c r="G333" s="2" t="str">
        <f ca="1">IFERROR(__xludf.DUMMYFUNCTION("""COMPUTED_VALUE"""),"Intel Core i5 8250U 1.6GHz")</f>
        <v>Intel Core i5 8250U 1.6GHz</v>
      </c>
      <c r="H333" s="2" t="str">
        <f ca="1">IFERROR(__xludf.DUMMYFUNCTION("""COMPUTED_VALUE"""),"8GB")</f>
        <v>8GB</v>
      </c>
      <c r="I333" s="2" t="str">
        <f ca="1">IFERROR(__xludf.DUMMYFUNCTION("""COMPUTED_VALUE"""),"256GB SSD")</f>
        <v>256GB SSD</v>
      </c>
      <c r="J333" s="2" t="str">
        <f ca="1">IFERROR(__xludf.DUMMYFUNCTION("""COMPUTED_VALUE"""),"Intel UHD Graphics 620")</f>
        <v>Intel UHD Graphics 620</v>
      </c>
      <c r="K333" s="2" t="str">
        <f ca="1">IFERROR(__xludf.DUMMYFUNCTION("""COMPUTED_VALUE"""),"Windows 10")</f>
        <v>Windows 10</v>
      </c>
      <c r="L333" s="2" t="str">
        <f ca="1">IFERROR(__xludf.DUMMYFUNCTION("""COMPUTED_VALUE"""),"1.2kg")</f>
        <v>1.2kg</v>
      </c>
      <c r="M333" s="2">
        <f ca="1">IFERROR(__xludf.DUMMYFUNCTION("""COMPUTED_VALUE"""),1449.9)</f>
        <v>1449.9</v>
      </c>
    </row>
    <row r="334" spans="1:13">
      <c r="A334" s="2">
        <f ca="1">IFERROR(__xludf.DUMMYFUNCTION("""COMPUTED_VALUE"""),661)</f>
        <v>661</v>
      </c>
      <c r="B334" s="2" t="str">
        <f ca="1">IFERROR(__xludf.DUMMYFUNCTION("""COMPUTED_VALUE"""),"MSI")</f>
        <v>MSI</v>
      </c>
      <c r="C334" s="2" t="str">
        <f ca="1">IFERROR(__xludf.DUMMYFUNCTION("""COMPUTED_VALUE"""),"GL62M 7REX")</f>
        <v>GL62M 7REX</v>
      </c>
      <c r="D334" s="2" t="str">
        <f ca="1">IFERROR(__xludf.DUMMYFUNCTION("""COMPUTED_VALUE"""),"Gaming")</f>
        <v>Gaming</v>
      </c>
      <c r="E334" s="2">
        <f ca="1">IFERROR(__xludf.DUMMYFUNCTION("""COMPUTED_VALUE"""),15.6)</f>
        <v>15.6</v>
      </c>
      <c r="F334" s="2" t="str">
        <f ca="1">IFERROR(__xludf.DUMMYFUNCTION("""COMPUTED_VALUE"""),"Full HD 1920x1080")</f>
        <v>Full HD 1920x1080</v>
      </c>
      <c r="G334" s="2" t="str">
        <f ca="1">IFERROR(__xludf.DUMMYFUNCTION("""COMPUTED_VALUE"""),"Intel Core i7 7700HQ 2.8GHz")</f>
        <v>Intel Core i7 7700HQ 2.8GHz</v>
      </c>
      <c r="H334" s="2" t="str">
        <f ca="1">IFERROR(__xludf.DUMMYFUNCTION("""COMPUTED_VALUE"""),"8GB")</f>
        <v>8GB</v>
      </c>
      <c r="I334" s="2" t="str">
        <f ca="1">IFERROR(__xludf.DUMMYFUNCTION("""COMPUTED_VALUE"""),"128GB SSD +  1TB HDD")</f>
        <v>128GB SSD +  1TB HDD</v>
      </c>
      <c r="J334" s="2" t="str">
        <f ca="1">IFERROR(__xludf.DUMMYFUNCTION("""COMPUTED_VALUE"""),"Nvidia GeForce GTX 1050 Ti")</f>
        <v>Nvidia GeForce GTX 1050 Ti</v>
      </c>
      <c r="K334" s="2" t="str">
        <f ca="1">IFERROR(__xludf.DUMMYFUNCTION("""COMPUTED_VALUE"""),"Windows 10")</f>
        <v>Windows 10</v>
      </c>
      <c r="L334" s="2" t="str">
        <f ca="1">IFERROR(__xludf.DUMMYFUNCTION("""COMPUTED_VALUE"""),"2.2kg")</f>
        <v>2.2kg</v>
      </c>
      <c r="M334" s="2">
        <f ca="1">IFERROR(__xludf.DUMMYFUNCTION("""COMPUTED_VALUE"""),1191.8)</f>
        <v>1191.8</v>
      </c>
    </row>
    <row r="335" spans="1:13">
      <c r="A335" s="2">
        <f ca="1">IFERROR(__xludf.DUMMYFUNCTION("""COMPUTED_VALUE"""),663)</f>
        <v>663</v>
      </c>
      <c r="B335" s="2" t="str">
        <f ca="1">IFERROR(__xludf.DUMMYFUNCTION("""COMPUTED_VALUE"""),"Toshiba")</f>
        <v>Toshiba</v>
      </c>
      <c r="C335" s="2" t="str">
        <f ca="1">IFERROR(__xludf.DUMMYFUNCTION("""COMPUTED_VALUE"""),"Tecra A50-D-11M")</f>
        <v>Tecra A50-D-11M</v>
      </c>
      <c r="D335" s="2" t="str">
        <f ca="1">IFERROR(__xludf.DUMMYFUNCTION("""COMPUTED_VALUE"""),"Notebook")</f>
        <v>Notebook</v>
      </c>
      <c r="E335" s="2">
        <f ca="1">IFERROR(__xludf.DUMMYFUNCTION("""COMPUTED_VALUE"""),15.6)</f>
        <v>15.6</v>
      </c>
      <c r="F335" s="2" t="str">
        <f ca="1">IFERROR(__xludf.DUMMYFUNCTION("""COMPUTED_VALUE"""),"IPS Panel Full HD 1920x1080")</f>
        <v>IPS Panel Full HD 1920x1080</v>
      </c>
      <c r="G335" s="2" t="str">
        <f ca="1">IFERROR(__xludf.DUMMYFUNCTION("""COMPUTED_VALUE"""),"Intel Core i5 7200U 2.5GHz")</f>
        <v>Intel Core i5 7200U 2.5GHz</v>
      </c>
      <c r="H335" s="2" t="str">
        <f ca="1">IFERROR(__xludf.DUMMYFUNCTION("""COMPUTED_VALUE"""),"8GB")</f>
        <v>8GB</v>
      </c>
      <c r="I335" s="2" t="str">
        <f ca="1">IFERROR(__xludf.DUMMYFUNCTION("""COMPUTED_VALUE"""),"500GB HDD")</f>
        <v>500GB HDD</v>
      </c>
      <c r="J335" s="2" t="str">
        <f ca="1">IFERROR(__xludf.DUMMYFUNCTION("""COMPUTED_VALUE"""),"Intel HD Graphics 620")</f>
        <v>Intel HD Graphics 620</v>
      </c>
      <c r="K335" s="2" t="str">
        <f ca="1">IFERROR(__xludf.DUMMYFUNCTION("""COMPUTED_VALUE"""),"Windows 10")</f>
        <v>Windows 10</v>
      </c>
      <c r="L335" s="2" t="str">
        <f ca="1">IFERROR(__xludf.DUMMYFUNCTION("""COMPUTED_VALUE"""),"2.0kg")</f>
        <v>2.0kg</v>
      </c>
      <c r="M335" s="2">
        <f ca="1">IFERROR(__xludf.DUMMYFUNCTION("""COMPUTED_VALUE"""),1064)</f>
        <v>1064</v>
      </c>
    </row>
    <row r="336" spans="1:13">
      <c r="A336" s="2">
        <f ca="1">IFERROR(__xludf.DUMMYFUNCTION("""COMPUTED_VALUE"""),664)</f>
        <v>664</v>
      </c>
      <c r="B336" s="2" t="str">
        <f ca="1">IFERROR(__xludf.DUMMYFUNCTION("""COMPUTED_VALUE"""),"Dell")</f>
        <v>Dell</v>
      </c>
      <c r="C336" s="2" t="str">
        <f ca="1">IFERROR(__xludf.DUMMYFUNCTION("""COMPUTED_VALUE"""),"Inspiron 5570")</f>
        <v>Inspiron 5570</v>
      </c>
      <c r="D336" s="2" t="str">
        <f ca="1">IFERROR(__xludf.DUMMYFUNCTION("""COMPUTED_VALUE"""),"Notebook")</f>
        <v>Notebook</v>
      </c>
      <c r="E336" s="2">
        <f ca="1">IFERROR(__xludf.DUMMYFUNCTION("""COMPUTED_VALUE"""),15.6)</f>
        <v>15.6</v>
      </c>
      <c r="F336" s="2" t="str">
        <f ca="1">IFERROR(__xludf.DUMMYFUNCTION("""COMPUTED_VALUE"""),"Full HD 1920x1080")</f>
        <v>Full HD 1920x1080</v>
      </c>
      <c r="G336" s="2" t="str">
        <f ca="1">IFERROR(__xludf.DUMMYFUNCTION("""COMPUTED_VALUE"""),"Intel Core i7 8550U 1.8GHz")</f>
        <v>Intel Core i7 8550U 1.8GHz</v>
      </c>
      <c r="H336" s="2" t="str">
        <f ca="1">IFERROR(__xludf.DUMMYFUNCTION("""COMPUTED_VALUE"""),"8GB")</f>
        <v>8GB</v>
      </c>
      <c r="I336" s="2" t="str">
        <f ca="1">IFERROR(__xludf.DUMMYFUNCTION("""COMPUTED_VALUE"""),"256GB SSD")</f>
        <v>256GB SSD</v>
      </c>
      <c r="J336" s="2" t="str">
        <f ca="1">IFERROR(__xludf.DUMMYFUNCTION("""COMPUTED_VALUE"""),"AMD Radeon 530")</f>
        <v>AMD Radeon 530</v>
      </c>
      <c r="K336" s="2" t="str">
        <f ca="1">IFERROR(__xludf.DUMMYFUNCTION("""COMPUTED_VALUE"""),"Windows 10")</f>
        <v>Windows 10</v>
      </c>
      <c r="L336" s="2" t="str">
        <f ca="1">IFERROR(__xludf.DUMMYFUNCTION("""COMPUTED_VALUE"""),"2.2kg")</f>
        <v>2.2kg</v>
      </c>
      <c r="M336" s="2">
        <f ca="1">IFERROR(__xludf.DUMMYFUNCTION("""COMPUTED_VALUE"""),919)</f>
        <v>919</v>
      </c>
    </row>
    <row r="337" spans="1:13">
      <c r="A337" s="2">
        <f ca="1">IFERROR(__xludf.DUMMYFUNCTION("""COMPUTED_VALUE"""),666)</f>
        <v>666</v>
      </c>
      <c r="B337" s="2" t="str">
        <f ca="1">IFERROR(__xludf.DUMMYFUNCTION("""COMPUTED_VALUE"""),"Lenovo")</f>
        <v>Lenovo</v>
      </c>
      <c r="C337" s="2" t="str">
        <f ca="1">IFERROR(__xludf.DUMMYFUNCTION("""COMPUTED_VALUE"""),"IdeaPad Y700-15ISK")</f>
        <v>IdeaPad Y700-15ISK</v>
      </c>
      <c r="D337" s="2" t="str">
        <f ca="1">IFERROR(__xludf.DUMMYFUNCTION("""COMPUTED_VALUE"""),"Gaming")</f>
        <v>Gaming</v>
      </c>
      <c r="E337" s="2">
        <f ca="1">IFERROR(__xludf.DUMMYFUNCTION("""COMPUTED_VALUE"""),15.6)</f>
        <v>15.6</v>
      </c>
      <c r="F337" s="2" t="str">
        <f ca="1">IFERROR(__xludf.DUMMYFUNCTION("""COMPUTED_VALUE"""),"IPS Panel Full HD 1920x1080")</f>
        <v>IPS Panel Full HD 1920x1080</v>
      </c>
      <c r="G337" s="2" t="str">
        <f ca="1">IFERROR(__xludf.DUMMYFUNCTION("""COMPUTED_VALUE"""),"Intel Core i7 6700HQ 2.6GHz")</f>
        <v>Intel Core i7 6700HQ 2.6GHz</v>
      </c>
      <c r="H337" s="2" t="str">
        <f ca="1">IFERROR(__xludf.DUMMYFUNCTION("""COMPUTED_VALUE"""),"8GB")</f>
        <v>8GB</v>
      </c>
      <c r="I337" s="2" t="str">
        <f ca="1">IFERROR(__xludf.DUMMYFUNCTION("""COMPUTED_VALUE"""),"128GB SSD +  1TB HDD")</f>
        <v>128GB SSD +  1TB HDD</v>
      </c>
      <c r="J337" s="2" t="str">
        <f ca="1">IFERROR(__xludf.DUMMYFUNCTION("""COMPUTED_VALUE"""),"Nvidia GeForce GTX 960")</f>
        <v>Nvidia GeForce GTX 960</v>
      </c>
      <c r="K337" s="2" t="str">
        <f ca="1">IFERROR(__xludf.DUMMYFUNCTION("""COMPUTED_VALUE"""),"Windows 10")</f>
        <v>Windows 10</v>
      </c>
      <c r="L337" s="2" t="str">
        <f ca="1">IFERROR(__xludf.DUMMYFUNCTION("""COMPUTED_VALUE"""),"3.31kg")</f>
        <v>3.31kg</v>
      </c>
      <c r="M337" s="2">
        <f ca="1">IFERROR(__xludf.DUMMYFUNCTION("""COMPUTED_VALUE"""),1196)</f>
        <v>1196</v>
      </c>
    </row>
    <row r="338" spans="1:13">
      <c r="A338" s="2">
        <f ca="1">IFERROR(__xludf.DUMMYFUNCTION("""COMPUTED_VALUE"""),668)</f>
        <v>668</v>
      </c>
      <c r="B338" s="2" t="str">
        <f ca="1">IFERROR(__xludf.DUMMYFUNCTION("""COMPUTED_VALUE"""),"Dell")</f>
        <v>Dell</v>
      </c>
      <c r="C338" s="2" t="str">
        <f ca="1">IFERROR(__xludf.DUMMYFUNCTION("""COMPUTED_VALUE"""),"Latitude E7470")</f>
        <v>Latitude E7470</v>
      </c>
      <c r="D338" s="2" t="str">
        <f ca="1">IFERROR(__xludf.DUMMYFUNCTION("""COMPUTED_VALUE"""),"Notebook")</f>
        <v>Notebook</v>
      </c>
      <c r="E338" s="2">
        <f ca="1">IFERROR(__xludf.DUMMYFUNCTION("""COMPUTED_VALUE"""),14)</f>
        <v>14</v>
      </c>
      <c r="F338" s="2" t="str">
        <f ca="1">IFERROR(__xludf.DUMMYFUNCTION("""COMPUTED_VALUE"""),"Full HD 1920x1080")</f>
        <v>Full HD 1920x1080</v>
      </c>
      <c r="G338" s="2" t="str">
        <f ca="1">IFERROR(__xludf.DUMMYFUNCTION("""COMPUTED_VALUE"""),"Intel Core i5 6300U 2.4GHz")</f>
        <v>Intel Core i5 6300U 2.4GHz</v>
      </c>
      <c r="H338" s="2" t="str">
        <f ca="1">IFERROR(__xludf.DUMMYFUNCTION("""COMPUTED_VALUE"""),"8GB")</f>
        <v>8GB</v>
      </c>
      <c r="I338" s="2" t="str">
        <f ca="1">IFERROR(__xludf.DUMMYFUNCTION("""COMPUTED_VALUE"""),"256GB SSD")</f>
        <v>256GB SSD</v>
      </c>
      <c r="J338" s="2" t="str">
        <f ca="1">IFERROR(__xludf.DUMMYFUNCTION("""COMPUTED_VALUE"""),"Intel HD Graphics 520")</f>
        <v>Intel HD Graphics 520</v>
      </c>
      <c r="K338" s="2" t="str">
        <f ca="1">IFERROR(__xludf.DUMMYFUNCTION("""COMPUTED_VALUE"""),"Windows 10")</f>
        <v>Windows 10</v>
      </c>
      <c r="L338" s="2" t="str">
        <f ca="1">IFERROR(__xludf.DUMMYFUNCTION("""COMPUTED_VALUE"""),"1.56kg")</f>
        <v>1.56kg</v>
      </c>
      <c r="M338" s="2">
        <f ca="1">IFERROR(__xludf.DUMMYFUNCTION("""COMPUTED_VALUE"""),1229)</f>
        <v>1229</v>
      </c>
    </row>
    <row r="339" spans="1:13">
      <c r="A339" s="2">
        <f ca="1">IFERROR(__xludf.DUMMYFUNCTION("""COMPUTED_VALUE"""),672)</f>
        <v>672</v>
      </c>
      <c r="B339" s="2" t="str">
        <f ca="1">IFERROR(__xludf.DUMMYFUNCTION("""COMPUTED_VALUE"""),"MSI")</f>
        <v>MSI</v>
      </c>
      <c r="C339" s="2" t="str">
        <f ca="1">IFERROR(__xludf.DUMMYFUNCTION("""COMPUTED_VALUE"""),"GP72VR Leopard")</f>
        <v>GP72VR Leopard</v>
      </c>
      <c r="D339" s="2" t="str">
        <f ca="1">IFERROR(__xludf.DUMMYFUNCTION("""COMPUTED_VALUE"""),"Gaming")</f>
        <v>Gaming</v>
      </c>
      <c r="E339" s="2">
        <f ca="1">IFERROR(__xludf.DUMMYFUNCTION("""COMPUTED_VALUE"""),17.3)</f>
        <v>17.3</v>
      </c>
      <c r="F339" s="2" t="str">
        <f ca="1">IFERROR(__xludf.DUMMYFUNCTION("""COMPUTED_VALUE"""),"Full HD 1920x1080")</f>
        <v>Full HD 1920x1080</v>
      </c>
      <c r="G339" s="2" t="str">
        <f ca="1">IFERROR(__xludf.DUMMYFUNCTION("""COMPUTED_VALUE"""),"Intel Core i7 7700HQ 2.8GHz")</f>
        <v>Intel Core i7 7700HQ 2.8GHz</v>
      </c>
      <c r="H339" s="2" t="str">
        <f ca="1">IFERROR(__xludf.DUMMYFUNCTION("""COMPUTED_VALUE"""),"8GB")</f>
        <v>8GB</v>
      </c>
      <c r="I339" s="2" t="str">
        <f ca="1">IFERROR(__xludf.DUMMYFUNCTION("""COMPUTED_VALUE"""),"128GB SSD +  1TB HDD")</f>
        <v>128GB SSD +  1TB HDD</v>
      </c>
      <c r="J339" s="2" t="str">
        <f ca="1">IFERROR(__xludf.DUMMYFUNCTION("""COMPUTED_VALUE"""),"Nvidia GeForce GTX 1060")</f>
        <v>Nvidia GeForce GTX 1060</v>
      </c>
      <c r="K339" s="2" t="str">
        <f ca="1">IFERROR(__xludf.DUMMYFUNCTION("""COMPUTED_VALUE"""),"Windows 10")</f>
        <v>Windows 10</v>
      </c>
      <c r="L339" s="2" t="str">
        <f ca="1">IFERROR(__xludf.DUMMYFUNCTION("""COMPUTED_VALUE"""),"2.7kg")</f>
        <v>2.7kg</v>
      </c>
      <c r="M339" s="2">
        <f ca="1">IFERROR(__xludf.DUMMYFUNCTION("""COMPUTED_VALUE"""),1486.77)</f>
        <v>1486.77</v>
      </c>
    </row>
    <row r="340" spans="1:13">
      <c r="A340" s="2">
        <f ca="1">IFERROR(__xludf.DUMMYFUNCTION("""COMPUTED_VALUE"""),674)</f>
        <v>674</v>
      </c>
      <c r="B340" s="2" t="str">
        <f ca="1">IFERROR(__xludf.DUMMYFUNCTION("""COMPUTED_VALUE"""),"Dell")</f>
        <v>Dell</v>
      </c>
      <c r="C340" s="2" t="str">
        <f ca="1">IFERROR(__xludf.DUMMYFUNCTION("""COMPUTED_VALUE"""),"Latitude 3580")</f>
        <v>Latitude 3580</v>
      </c>
      <c r="D340" s="2" t="str">
        <f ca="1">IFERROR(__xludf.DUMMYFUNCTION("""COMPUTED_VALUE"""),"Notebook")</f>
        <v>Notebook</v>
      </c>
      <c r="E340" s="2">
        <f ca="1">IFERROR(__xludf.DUMMYFUNCTION("""COMPUTED_VALUE"""),15.6)</f>
        <v>15.6</v>
      </c>
      <c r="F340" s="2" t="str">
        <f ca="1">IFERROR(__xludf.DUMMYFUNCTION("""COMPUTED_VALUE"""),"Full HD 1920x1080")</f>
        <v>Full HD 1920x1080</v>
      </c>
      <c r="G340" s="2" t="str">
        <f ca="1">IFERROR(__xludf.DUMMYFUNCTION("""COMPUTED_VALUE"""),"Intel Core i5 7200U 2.5GHz")</f>
        <v>Intel Core i5 7200U 2.5GHz</v>
      </c>
      <c r="H340" s="2" t="str">
        <f ca="1">IFERROR(__xludf.DUMMYFUNCTION("""COMPUTED_VALUE"""),"8GB")</f>
        <v>8GB</v>
      </c>
      <c r="I340" s="2" t="str">
        <f ca="1">IFERROR(__xludf.DUMMYFUNCTION("""COMPUTED_VALUE"""),"1TB HDD")</f>
        <v>1TB HDD</v>
      </c>
      <c r="J340" s="2" t="str">
        <f ca="1">IFERROR(__xludf.DUMMYFUNCTION("""COMPUTED_VALUE"""),"Intel HD Graphics 620")</f>
        <v>Intel HD Graphics 620</v>
      </c>
      <c r="K340" s="2" t="str">
        <f ca="1">IFERROR(__xludf.DUMMYFUNCTION("""COMPUTED_VALUE"""),"Windows 10")</f>
        <v>Windows 10</v>
      </c>
      <c r="L340" s="2" t="str">
        <f ca="1">IFERROR(__xludf.DUMMYFUNCTION("""COMPUTED_VALUE"""),"2.06kg")</f>
        <v>2.06kg</v>
      </c>
      <c r="M340" s="2">
        <f ca="1">IFERROR(__xludf.DUMMYFUNCTION("""COMPUTED_VALUE"""),955)</f>
        <v>955</v>
      </c>
    </row>
    <row r="341" spans="1:13">
      <c r="A341" s="2">
        <f ca="1">IFERROR(__xludf.DUMMYFUNCTION("""COMPUTED_VALUE"""),675)</f>
        <v>675</v>
      </c>
      <c r="B341" s="2" t="str">
        <f ca="1">IFERROR(__xludf.DUMMYFUNCTION("""COMPUTED_VALUE"""),"HP")</f>
        <v>HP</v>
      </c>
      <c r="C341" s="2" t="str">
        <f ca="1">IFERROR(__xludf.DUMMYFUNCTION("""COMPUTED_VALUE"""),"15-bs012nv (i7-7500U/8GB/1TB/Radeon")</f>
        <v>15-bs012nv (i7-7500U/8GB/1TB/Radeon</v>
      </c>
      <c r="D341" s="2" t="str">
        <f ca="1">IFERROR(__xludf.DUMMYFUNCTION("""COMPUTED_VALUE"""),"Notebook")</f>
        <v>Notebook</v>
      </c>
      <c r="E341" s="2">
        <f ca="1">IFERROR(__xludf.DUMMYFUNCTION("""COMPUTED_VALUE"""),15.6)</f>
        <v>15.6</v>
      </c>
      <c r="F341" s="2" t="str">
        <f ca="1">IFERROR(__xludf.DUMMYFUNCTION("""COMPUTED_VALUE"""),"Full HD 1920x1080")</f>
        <v>Full HD 1920x1080</v>
      </c>
      <c r="G341" s="2" t="str">
        <f ca="1">IFERROR(__xludf.DUMMYFUNCTION("""COMPUTED_VALUE"""),"Intel Core i7 7500U 2.7GHz")</f>
        <v>Intel Core i7 7500U 2.7GHz</v>
      </c>
      <c r="H341" s="2" t="str">
        <f ca="1">IFERROR(__xludf.DUMMYFUNCTION("""COMPUTED_VALUE"""),"8GB")</f>
        <v>8GB</v>
      </c>
      <c r="I341" s="2" t="str">
        <f ca="1">IFERROR(__xludf.DUMMYFUNCTION("""COMPUTED_VALUE"""),"1TB HDD")</f>
        <v>1TB HDD</v>
      </c>
      <c r="J341" s="2" t="str">
        <f ca="1">IFERROR(__xludf.DUMMYFUNCTION("""COMPUTED_VALUE"""),"AMD Radeon 530")</f>
        <v>AMD Radeon 530</v>
      </c>
      <c r="K341" s="2" t="str">
        <f ca="1">IFERROR(__xludf.DUMMYFUNCTION("""COMPUTED_VALUE"""),"Windows 10")</f>
        <v>Windows 10</v>
      </c>
      <c r="L341" s="2" t="str">
        <f ca="1">IFERROR(__xludf.DUMMYFUNCTION("""COMPUTED_VALUE"""),"2.1kg")</f>
        <v>2.1kg</v>
      </c>
      <c r="M341" s="2">
        <f ca="1">IFERROR(__xludf.DUMMYFUNCTION("""COMPUTED_VALUE"""),745)</f>
        <v>745</v>
      </c>
    </row>
    <row r="342" spans="1:13">
      <c r="A342" s="2">
        <f ca="1">IFERROR(__xludf.DUMMYFUNCTION("""COMPUTED_VALUE"""),676)</f>
        <v>676</v>
      </c>
      <c r="B342" s="2" t="str">
        <f ca="1">IFERROR(__xludf.DUMMYFUNCTION("""COMPUTED_VALUE"""),"Toshiba")</f>
        <v>Toshiba</v>
      </c>
      <c r="C342" s="2" t="str">
        <f ca="1">IFERROR(__xludf.DUMMYFUNCTION("""COMPUTED_VALUE"""),"Tecra Z50-D-10E")</f>
        <v>Tecra Z50-D-10E</v>
      </c>
      <c r="D342" s="2" t="str">
        <f ca="1">IFERROR(__xludf.DUMMYFUNCTION("""COMPUTED_VALUE"""),"Notebook")</f>
        <v>Notebook</v>
      </c>
      <c r="E342" s="2">
        <f ca="1">IFERROR(__xludf.DUMMYFUNCTION("""COMPUTED_VALUE"""),15.6)</f>
        <v>15.6</v>
      </c>
      <c r="F342" s="2" t="str">
        <f ca="1">IFERROR(__xludf.DUMMYFUNCTION("""COMPUTED_VALUE"""),"IPS Panel Full HD 1920x1080")</f>
        <v>IPS Panel Full HD 1920x1080</v>
      </c>
      <c r="G342" s="2" t="str">
        <f ca="1">IFERROR(__xludf.DUMMYFUNCTION("""COMPUTED_VALUE"""),"Intel Core i5 7200U 2.5GHz")</f>
        <v>Intel Core i5 7200U 2.5GHz</v>
      </c>
      <c r="H342" s="2" t="str">
        <f ca="1">IFERROR(__xludf.DUMMYFUNCTION("""COMPUTED_VALUE"""),"8GB")</f>
        <v>8GB</v>
      </c>
      <c r="I342" s="2" t="str">
        <f ca="1">IFERROR(__xludf.DUMMYFUNCTION("""COMPUTED_VALUE"""),"256GB SSD")</f>
        <v>256GB SSD</v>
      </c>
      <c r="J342" s="2" t="str">
        <f ca="1">IFERROR(__xludf.DUMMYFUNCTION("""COMPUTED_VALUE"""),"Intel HD Graphics 620")</f>
        <v>Intel HD Graphics 620</v>
      </c>
      <c r="K342" s="2" t="str">
        <f ca="1">IFERROR(__xludf.DUMMYFUNCTION("""COMPUTED_VALUE"""),"Windows 10")</f>
        <v>Windows 10</v>
      </c>
      <c r="L342" s="2" t="str">
        <f ca="1">IFERROR(__xludf.DUMMYFUNCTION("""COMPUTED_VALUE"""),"2.0kg")</f>
        <v>2.0kg</v>
      </c>
      <c r="M342" s="2">
        <f ca="1">IFERROR(__xludf.DUMMYFUNCTION("""COMPUTED_VALUE"""),1258)</f>
        <v>1258</v>
      </c>
    </row>
    <row r="343" spans="1:13">
      <c r="A343" s="2">
        <f ca="1">IFERROR(__xludf.DUMMYFUNCTION("""COMPUTED_VALUE"""),678)</f>
        <v>678</v>
      </c>
      <c r="B343" s="2" t="str">
        <f ca="1">IFERROR(__xludf.DUMMYFUNCTION("""COMPUTED_VALUE"""),"Microsoft")</f>
        <v>Microsoft</v>
      </c>
      <c r="C343" s="2" t="str">
        <f ca="1">IFERROR(__xludf.DUMMYFUNCTION("""COMPUTED_VALUE"""),"Surface Laptop")</f>
        <v>Surface Laptop</v>
      </c>
      <c r="D343" s="2" t="str">
        <f ca="1">IFERROR(__xludf.DUMMYFUNCTION("""COMPUTED_VALUE"""),"Ultrabook")</f>
        <v>Ultrabook</v>
      </c>
      <c r="E343" s="2">
        <f ca="1">IFERROR(__xludf.DUMMYFUNCTION("""COMPUTED_VALUE"""),13.5)</f>
        <v>13.5</v>
      </c>
      <c r="F343" s="2" t="str">
        <f ca="1">IFERROR(__xludf.DUMMYFUNCTION("""COMPUTED_VALUE"""),"Touchscreen 2256x1504")</f>
        <v>Touchscreen 2256x1504</v>
      </c>
      <c r="G343" s="2" t="str">
        <f ca="1">IFERROR(__xludf.DUMMYFUNCTION("""COMPUTED_VALUE"""),"Intel Core i7 7600U 2.8GHz")</f>
        <v>Intel Core i7 7600U 2.8GHz</v>
      </c>
      <c r="H343" s="2" t="str">
        <f ca="1">IFERROR(__xludf.DUMMYFUNCTION("""COMPUTED_VALUE"""),"8GB")</f>
        <v>8GB</v>
      </c>
      <c r="I343" s="2" t="str">
        <f ca="1">IFERROR(__xludf.DUMMYFUNCTION("""COMPUTED_VALUE"""),"256GB SSD")</f>
        <v>256GB SSD</v>
      </c>
      <c r="J343" s="2" t="str">
        <f ca="1">IFERROR(__xludf.DUMMYFUNCTION("""COMPUTED_VALUE"""),"Intel Iris Plus Graphics 640")</f>
        <v>Intel Iris Plus Graphics 640</v>
      </c>
      <c r="K343" s="2" t="str">
        <f ca="1">IFERROR(__xludf.DUMMYFUNCTION("""COMPUTED_VALUE"""),"Windows 10 S")</f>
        <v>Windows 10 S</v>
      </c>
      <c r="L343" s="2" t="str">
        <f ca="1">IFERROR(__xludf.DUMMYFUNCTION("""COMPUTED_VALUE"""),"1.252kg")</f>
        <v>1.252kg</v>
      </c>
      <c r="M343" s="2">
        <f ca="1">IFERROR(__xludf.DUMMYFUNCTION("""COMPUTED_VALUE"""),1867.85)</f>
        <v>1867.85</v>
      </c>
    </row>
    <row r="344" spans="1:13">
      <c r="A344" s="2">
        <f ca="1">IFERROR(__xludf.DUMMYFUNCTION("""COMPUTED_VALUE"""),679)</f>
        <v>679</v>
      </c>
      <c r="B344" s="2" t="str">
        <f ca="1">IFERROR(__xludf.DUMMYFUNCTION("""COMPUTED_VALUE"""),"Lenovo")</f>
        <v>Lenovo</v>
      </c>
      <c r="C344" s="2" t="str">
        <f ca="1">IFERROR(__xludf.DUMMYFUNCTION("""COMPUTED_VALUE"""),"V310-15ISK (i5-7200U/8GB/1TB")</f>
        <v>V310-15ISK (i5-7200U/8GB/1TB</v>
      </c>
      <c r="D344" s="2" t="str">
        <f ca="1">IFERROR(__xludf.DUMMYFUNCTION("""COMPUTED_VALUE"""),"Notebook")</f>
        <v>Notebook</v>
      </c>
      <c r="E344" s="2">
        <f ca="1">IFERROR(__xludf.DUMMYFUNCTION("""COMPUTED_VALUE"""),15.6)</f>
        <v>15.6</v>
      </c>
      <c r="F344" s="2" t="str">
        <f ca="1">IFERROR(__xludf.DUMMYFUNCTION("""COMPUTED_VALUE"""),"Full HD 1920x1080")</f>
        <v>Full HD 1920x1080</v>
      </c>
      <c r="G344" s="2" t="str">
        <f ca="1">IFERROR(__xludf.DUMMYFUNCTION("""COMPUTED_VALUE"""),"Intel Core i5 7200U 2.5GHz")</f>
        <v>Intel Core i5 7200U 2.5GHz</v>
      </c>
      <c r="H344" s="2" t="str">
        <f ca="1">IFERROR(__xludf.DUMMYFUNCTION("""COMPUTED_VALUE"""),"8GB")</f>
        <v>8GB</v>
      </c>
      <c r="I344" s="2" t="str">
        <f ca="1">IFERROR(__xludf.DUMMYFUNCTION("""COMPUTED_VALUE"""),"128GB SSD +  1TB HDD")</f>
        <v>128GB SSD +  1TB HDD</v>
      </c>
      <c r="J344" s="2" t="str">
        <f ca="1">IFERROR(__xludf.DUMMYFUNCTION("""COMPUTED_VALUE"""),"AMD Radeon R5 M430")</f>
        <v>AMD Radeon R5 M430</v>
      </c>
      <c r="K344" s="2" t="str">
        <f ca="1">IFERROR(__xludf.DUMMYFUNCTION("""COMPUTED_VALUE"""),"Windows 10")</f>
        <v>Windows 10</v>
      </c>
      <c r="L344" s="2" t="str">
        <f ca="1">IFERROR(__xludf.DUMMYFUNCTION("""COMPUTED_VALUE"""),"1.90kg")</f>
        <v>1.90kg</v>
      </c>
      <c r="M344" s="2">
        <f ca="1">IFERROR(__xludf.DUMMYFUNCTION("""COMPUTED_VALUE"""),817.95)</f>
        <v>817.95</v>
      </c>
    </row>
    <row r="345" spans="1:13">
      <c r="A345" s="2">
        <f ca="1">IFERROR(__xludf.DUMMYFUNCTION("""COMPUTED_VALUE"""),680)</f>
        <v>680</v>
      </c>
      <c r="B345" s="2" t="str">
        <f ca="1">IFERROR(__xludf.DUMMYFUNCTION("""COMPUTED_VALUE"""),"Lenovo")</f>
        <v>Lenovo</v>
      </c>
      <c r="C345" s="2" t="str">
        <f ca="1">IFERROR(__xludf.DUMMYFUNCTION("""COMPUTED_VALUE"""),"Yoga 720-13IKB")</f>
        <v>Yoga 720-13IKB</v>
      </c>
      <c r="D345" s="2" t="str">
        <f ca="1">IFERROR(__xludf.DUMMYFUNCTION("""COMPUTED_VALUE"""),"2 in 1 Convertible")</f>
        <v>2 in 1 Convertible</v>
      </c>
      <c r="E345" s="2">
        <f ca="1">IFERROR(__xludf.DUMMYFUNCTION("""COMPUTED_VALUE"""),13.3)</f>
        <v>13.3</v>
      </c>
      <c r="F345" s="2" t="str">
        <f ca="1">IFERROR(__xludf.DUMMYFUNCTION("""COMPUTED_VALUE"""),"IPS Panel Full HD / Touchscreen 1920x1080")</f>
        <v>IPS Panel Full HD / Touchscreen 1920x1080</v>
      </c>
      <c r="G345" s="2" t="str">
        <f ca="1">IFERROR(__xludf.DUMMYFUNCTION("""COMPUTED_VALUE"""),"Intel Core i5 7200U 2.5GHz")</f>
        <v>Intel Core i5 7200U 2.5GHz</v>
      </c>
      <c r="H345" s="2" t="str">
        <f ca="1">IFERROR(__xludf.DUMMYFUNCTION("""COMPUTED_VALUE"""),"8GB")</f>
        <v>8GB</v>
      </c>
      <c r="I345" s="2" t="str">
        <f ca="1">IFERROR(__xludf.DUMMYFUNCTION("""COMPUTED_VALUE"""),"256GB SSD")</f>
        <v>256GB SSD</v>
      </c>
      <c r="J345" s="2" t="str">
        <f ca="1">IFERROR(__xludf.DUMMYFUNCTION("""COMPUTED_VALUE"""),"Intel HD Graphics 620")</f>
        <v>Intel HD Graphics 620</v>
      </c>
      <c r="K345" s="2" t="str">
        <f ca="1">IFERROR(__xludf.DUMMYFUNCTION("""COMPUTED_VALUE"""),"Windows 10")</f>
        <v>Windows 10</v>
      </c>
      <c r="L345" s="2" t="str">
        <f ca="1">IFERROR(__xludf.DUMMYFUNCTION("""COMPUTED_VALUE"""),"1.3kg")</f>
        <v>1.3kg</v>
      </c>
      <c r="M345" s="2">
        <f ca="1">IFERROR(__xludf.DUMMYFUNCTION("""COMPUTED_VALUE"""),1034)</f>
        <v>1034</v>
      </c>
    </row>
    <row r="346" spans="1:13">
      <c r="A346" s="2">
        <f ca="1">IFERROR(__xludf.DUMMYFUNCTION("""COMPUTED_VALUE"""),684)</f>
        <v>684</v>
      </c>
      <c r="B346" s="2" t="str">
        <f ca="1">IFERROR(__xludf.DUMMYFUNCTION("""COMPUTED_VALUE"""),"Asus")</f>
        <v>Asus</v>
      </c>
      <c r="C346" s="2" t="str">
        <f ca="1">IFERROR(__xludf.DUMMYFUNCTION("""COMPUTED_VALUE"""),"Zenbook 3")</f>
        <v>Zenbook 3</v>
      </c>
      <c r="D346" s="2" t="str">
        <f ca="1">IFERROR(__xludf.DUMMYFUNCTION("""COMPUTED_VALUE"""),"Ultrabook")</f>
        <v>Ultrabook</v>
      </c>
      <c r="E346" s="2">
        <f ca="1">IFERROR(__xludf.DUMMYFUNCTION("""COMPUTED_VALUE"""),14)</f>
        <v>14</v>
      </c>
      <c r="F346" s="2" t="str">
        <f ca="1">IFERROR(__xludf.DUMMYFUNCTION("""COMPUTED_VALUE"""),"Full HD 1920x1080")</f>
        <v>Full HD 1920x1080</v>
      </c>
      <c r="G346" s="2" t="str">
        <f ca="1">IFERROR(__xludf.DUMMYFUNCTION("""COMPUTED_VALUE"""),"Intel Core i5 7200U 2.5GHz")</f>
        <v>Intel Core i5 7200U 2.5GHz</v>
      </c>
      <c r="H346" s="2" t="str">
        <f ca="1">IFERROR(__xludf.DUMMYFUNCTION("""COMPUTED_VALUE"""),"8GB")</f>
        <v>8GB</v>
      </c>
      <c r="I346" s="2" t="str">
        <f ca="1">IFERROR(__xludf.DUMMYFUNCTION("""COMPUTED_VALUE"""),"256GB SSD")</f>
        <v>256GB SSD</v>
      </c>
      <c r="J346" s="2" t="str">
        <f ca="1">IFERROR(__xludf.DUMMYFUNCTION("""COMPUTED_VALUE"""),"Intel HD Graphics 620")</f>
        <v>Intel HD Graphics 620</v>
      </c>
      <c r="K346" s="2" t="str">
        <f ca="1">IFERROR(__xludf.DUMMYFUNCTION("""COMPUTED_VALUE"""),"Windows 10")</f>
        <v>Windows 10</v>
      </c>
      <c r="L346" s="2" t="str">
        <f ca="1">IFERROR(__xludf.DUMMYFUNCTION("""COMPUTED_VALUE"""),"1.1kg")</f>
        <v>1.1kg</v>
      </c>
      <c r="M346" s="2">
        <f ca="1">IFERROR(__xludf.DUMMYFUNCTION("""COMPUTED_VALUE"""),1135)</f>
        <v>1135</v>
      </c>
    </row>
    <row r="347" spans="1:13">
      <c r="A347" s="2">
        <f ca="1">IFERROR(__xludf.DUMMYFUNCTION("""COMPUTED_VALUE"""),685)</f>
        <v>685</v>
      </c>
      <c r="B347" s="2" t="str">
        <f ca="1">IFERROR(__xludf.DUMMYFUNCTION("""COMPUTED_VALUE"""),"HP")</f>
        <v>HP</v>
      </c>
      <c r="C347" s="2" t="str">
        <f ca="1">IFERROR(__xludf.DUMMYFUNCTION("""COMPUTED_VALUE"""),"Chromebook X360")</f>
        <v>Chromebook X360</v>
      </c>
      <c r="D347" s="2" t="str">
        <f ca="1">IFERROR(__xludf.DUMMYFUNCTION("""COMPUTED_VALUE"""),"2 in 1 Convertible")</f>
        <v>2 in 1 Convertible</v>
      </c>
      <c r="E347" s="2">
        <f ca="1">IFERROR(__xludf.DUMMYFUNCTION("""COMPUTED_VALUE"""),11.6)</f>
        <v>11.6</v>
      </c>
      <c r="F347" s="2" t="str">
        <f ca="1">IFERROR(__xludf.DUMMYFUNCTION("""COMPUTED_VALUE"""),"Touchscreen 1366x768")</f>
        <v>Touchscreen 1366x768</v>
      </c>
      <c r="G347" s="2" t="str">
        <f ca="1">IFERROR(__xludf.DUMMYFUNCTION("""COMPUTED_VALUE"""),"Intel Celeron Dual Core N3350 1.1GHz")</f>
        <v>Intel Celeron Dual Core N3350 1.1GHz</v>
      </c>
      <c r="H347" s="2" t="str">
        <f ca="1">IFERROR(__xludf.DUMMYFUNCTION("""COMPUTED_VALUE"""),"8GB")</f>
        <v>8GB</v>
      </c>
      <c r="I347" s="2" t="str">
        <f ca="1">IFERROR(__xludf.DUMMYFUNCTION("""COMPUTED_VALUE"""),"64GB Flash Storage")</f>
        <v>64GB Flash Storage</v>
      </c>
      <c r="J347" s="2" t="str">
        <f ca="1">IFERROR(__xludf.DUMMYFUNCTION("""COMPUTED_VALUE"""),"Intel HD Graphics 500")</f>
        <v>Intel HD Graphics 500</v>
      </c>
      <c r="K347" s="2" t="str">
        <f ca="1">IFERROR(__xludf.DUMMYFUNCTION("""COMPUTED_VALUE"""),"Chrome OS")</f>
        <v>Chrome OS</v>
      </c>
      <c r="L347" s="2" t="str">
        <f ca="1">IFERROR(__xludf.DUMMYFUNCTION("""COMPUTED_VALUE"""),"1.4kg")</f>
        <v>1.4kg</v>
      </c>
      <c r="M347" s="2">
        <f ca="1">IFERROR(__xludf.DUMMYFUNCTION("""COMPUTED_VALUE"""),495)</f>
        <v>495</v>
      </c>
    </row>
    <row r="348" spans="1:13">
      <c r="A348" s="2">
        <f ca="1">IFERROR(__xludf.DUMMYFUNCTION("""COMPUTED_VALUE"""),686)</f>
        <v>686</v>
      </c>
      <c r="B348" s="2" t="str">
        <f ca="1">IFERROR(__xludf.DUMMYFUNCTION("""COMPUTED_VALUE"""),"LG")</f>
        <v>LG</v>
      </c>
      <c r="C348" s="2" t="str">
        <f ca="1">IFERROR(__xludf.DUMMYFUNCTION("""COMPUTED_VALUE"""),"Gram 15Z975")</f>
        <v>Gram 15Z975</v>
      </c>
      <c r="D348" s="2" t="str">
        <f ca="1">IFERROR(__xludf.DUMMYFUNCTION("""COMPUTED_VALUE"""),"Ultrabook")</f>
        <v>Ultrabook</v>
      </c>
      <c r="E348" s="2">
        <f ca="1">IFERROR(__xludf.DUMMYFUNCTION("""COMPUTED_VALUE"""),15.6)</f>
        <v>15.6</v>
      </c>
      <c r="F348" s="2" t="str">
        <f ca="1">IFERROR(__xludf.DUMMYFUNCTION("""COMPUTED_VALUE"""),"IPS Panel Full HD 1920x1080")</f>
        <v>IPS Panel Full HD 1920x1080</v>
      </c>
      <c r="G348" s="2" t="str">
        <f ca="1">IFERROR(__xludf.DUMMYFUNCTION("""COMPUTED_VALUE"""),"Intel Core i7 8550U 1.8GHz")</f>
        <v>Intel Core i7 8550U 1.8GHz</v>
      </c>
      <c r="H348" s="2" t="str">
        <f ca="1">IFERROR(__xludf.DUMMYFUNCTION("""COMPUTED_VALUE"""),"8GB")</f>
        <v>8GB</v>
      </c>
      <c r="I348" s="2" t="str">
        <f ca="1">IFERROR(__xludf.DUMMYFUNCTION("""COMPUTED_VALUE"""),"512GB SSD")</f>
        <v>512GB SSD</v>
      </c>
      <c r="J348" s="2" t="str">
        <f ca="1">IFERROR(__xludf.DUMMYFUNCTION("""COMPUTED_VALUE"""),"Intel HD Graphics 620")</f>
        <v>Intel HD Graphics 620</v>
      </c>
      <c r="K348" s="2" t="str">
        <f ca="1">IFERROR(__xludf.DUMMYFUNCTION("""COMPUTED_VALUE"""),"Windows 10")</f>
        <v>Windows 10</v>
      </c>
      <c r="L348" s="2" t="str">
        <f ca="1">IFERROR(__xludf.DUMMYFUNCTION("""COMPUTED_VALUE"""),"1.09kg")</f>
        <v>1.09kg</v>
      </c>
      <c r="M348" s="2">
        <f ca="1">IFERROR(__xludf.DUMMYFUNCTION("""COMPUTED_VALUE"""),2299)</f>
        <v>2299</v>
      </c>
    </row>
    <row r="349" spans="1:13">
      <c r="A349" s="2">
        <f ca="1">IFERROR(__xludf.DUMMYFUNCTION("""COMPUTED_VALUE"""),688)</f>
        <v>688</v>
      </c>
      <c r="B349" s="2" t="str">
        <f ca="1">IFERROR(__xludf.DUMMYFUNCTION("""COMPUTED_VALUE"""),"MSI")</f>
        <v>MSI</v>
      </c>
      <c r="C349" s="2" t="str">
        <f ca="1">IFERROR(__xludf.DUMMYFUNCTION("""COMPUTED_VALUE"""),"GV62M 7RD")</f>
        <v>GV62M 7RD</v>
      </c>
      <c r="D349" s="2" t="str">
        <f ca="1">IFERROR(__xludf.DUMMYFUNCTION("""COMPUTED_VALUE"""),"Gaming")</f>
        <v>Gaming</v>
      </c>
      <c r="E349" s="2">
        <f ca="1">IFERROR(__xludf.DUMMYFUNCTION("""COMPUTED_VALUE"""),15.6)</f>
        <v>15.6</v>
      </c>
      <c r="F349" s="2" t="str">
        <f ca="1">IFERROR(__xludf.DUMMYFUNCTION("""COMPUTED_VALUE"""),"Full HD 1920x1080")</f>
        <v>Full HD 1920x1080</v>
      </c>
      <c r="G349" s="2" t="str">
        <f ca="1">IFERROR(__xludf.DUMMYFUNCTION("""COMPUTED_VALUE"""),"Intel Core i5 7300HQ 2.5GHz")</f>
        <v>Intel Core i5 7300HQ 2.5GHz</v>
      </c>
      <c r="H349" s="2" t="str">
        <f ca="1">IFERROR(__xludf.DUMMYFUNCTION("""COMPUTED_VALUE"""),"8GB")</f>
        <v>8GB</v>
      </c>
      <c r="I349" s="2" t="str">
        <f ca="1">IFERROR(__xludf.DUMMYFUNCTION("""COMPUTED_VALUE"""),"256GB SSD")</f>
        <v>256GB SSD</v>
      </c>
      <c r="J349" s="2" t="str">
        <f ca="1">IFERROR(__xludf.DUMMYFUNCTION("""COMPUTED_VALUE"""),"Nvidia GeForce GTX 1050")</f>
        <v>Nvidia GeForce GTX 1050</v>
      </c>
      <c r="K349" s="2" t="str">
        <f ca="1">IFERROR(__xludf.DUMMYFUNCTION("""COMPUTED_VALUE"""),"Windows 10")</f>
        <v>Windows 10</v>
      </c>
      <c r="L349" s="2" t="str">
        <f ca="1">IFERROR(__xludf.DUMMYFUNCTION("""COMPUTED_VALUE"""),"2.2kg")</f>
        <v>2.2kg</v>
      </c>
      <c r="M349" s="2">
        <f ca="1">IFERROR(__xludf.DUMMYFUNCTION("""COMPUTED_VALUE"""),997.9)</f>
        <v>997.9</v>
      </c>
    </row>
    <row r="350" spans="1:13">
      <c r="A350" s="2">
        <f ca="1">IFERROR(__xludf.DUMMYFUNCTION("""COMPUTED_VALUE"""),692)</f>
        <v>692</v>
      </c>
      <c r="B350" s="2" t="str">
        <f ca="1">IFERROR(__xludf.DUMMYFUNCTION("""COMPUTED_VALUE"""),"Lenovo")</f>
        <v>Lenovo</v>
      </c>
      <c r="C350" s="2" t="str">
        <f ca="1">IFERROR(__xludf.DUMMYFUNCTION("""COMPUTED_VALUE"""),"Yoga 730")</f>
        <v>Yoga 730</v>
      </c>
      <c r="D350" s="2" t="str">
        <f ca="1">IFERROR(__xludf.DUMMYFUNCTION("""COMPUTED_VALUE"""),"2 in 1 Convertible")</f>
        <v>2 in 1 Convertible</v>
      </c>
      <c r="E350" s="2">
        <f ca="1">IFERROR(__xludf.DUMMYFUNCTION("""COMPUTED_VALUE"""),13.3)</f>
        <v>13.3</v>
      </c>
      <c r="F350" s="2" t="str">
        <f ca="1">IFERROR(__xludf.DUMMYFUNCTION("""COMPUTED_VALUE"""),"IPS Panel Full HD / Touchscreen 1920x1080")</f>
        <v>IPS Panel Full HD / Touchscreen 1920x1080</v>
      </c>
      <c r="G350" s="2" t="str">
        <f ca="1">IFERROR(__xludf.DUMMYFUNCTION("""COMPUTED_VALUE"""),"Intel Core i7 8550U 1.8GHz")</f>
        <v>Intel Core i7 8550U 1.8GHz</v>
      </c>
      <c r="H350" s="2" t="str">
        <f ca="1">IFERROR(__xludf.DUMMYFUNCTION("""COMPUTED_VALUE"""),"8GB")</f>
        <v>8GB</v>
      </c>
      <c r="I350" s="2" t="str">
        <f ca="1">IFERROR(__xludf.DUMMYFUNCTION("""COMPUTED_VALUE"""),"512GB SSD")</f>
        <v>512GB SSD</v>
      </c>
      <c r="J350" s="2" t="str">
        <f ca="1">IFERROR(__xludf.DUMMYFUNCTION("""COMPUTED_VALUE"""),"Intel UHD Graphics 620")</f>
        <v>Intel UHD Graphics 620</v>
      </c>
      <c r="K350" s="2" t="str">
        <f ca="1">IFERROR(__xludf.DUMMYFUNCTION("""COMPUTED_VALUE"""),"Windows 10")</f>
        <v>Windows 10</v>
      </c>
      <c r="L350" s="2" t="str">
        <f ca="1">IFERROR(__xludf.DUMMYFUNCTION("""COMPUTED_VALUE"""),"1.19kg")</f>
        <v>1.19kg</v>
      </c>
      <c r="M350" s="2">
        <f ca="1">IFERROR(__xludf.DUMMYFUNCTION("""COMPUTED_VALUE"""),1499)</f>
        <v>1499</v>
      </c>
    </row>
    <row r="351" spans="1:13">
      <c r="A351" s="2">
        <f ca="1">IFERROR(__xludf.DUMMYFUNCTION("""COMPUTED_VALUE"""),700)</f>
        <v>700</v>
      </c>
      <c r="B351" s="2" t="str">
        <f ca="1">IFERROR(__xludf.DUMMYFUNCTION("""COMPUTED_VALUE"""),"HP")</f>
        <v>HP</v>
      </c>
      <c r="C351" s="2" t="str">
        <f ca="1">IFERROR(__xludf.DUMMYFUNCTION("""COMPUTED_VALUE"""),"ZBook 17")</f>
        <v>ZBook 17</v>
      </c>
      <c r="D351" s="2" t="str">
        <f ca="1">IFERROR(__xludf.DUMMYFUNCTION("""COMPUTED_VALUE"""),"Workstation")</f>
        <v>Workstation</v>
      </c>
      <c r="E351" s="2">
        <f ca="1">IFERROR(__xludf.DUMMYFUNCTION("""COMPUTED_VALUE"""),17.3)</f>
        <v>17.3</v>
      </c>
      <c r="F351" s="2" t="str">
        <f ca="1">IFERROR(__xludf.DUMMYFUNCTION("""COMPUTED_VALUE"""),"Full HD 1920x1080")</f>
        <v>Full HD 1920x1080</v>
      </c>
      <c r="G351" s="2" t="str">
        <f ca="1">IFERROR(__xludf.DUMMYFUNCTION("""COMPUTED_VALUE"""),"Intel Core i7 7700HQ 2.8GHz")</f>
        <v>Intel Core i7 7700HQ 2.8GHz</v>
      </c>
      <c r="H351" s="2" t="str">
        <f ca="1">IFERROR(__xludf.DUMMYFUNCTION("""COMPUTED_VALUE"""),"8GB")</f>
        <v>8GB</v>
      </c>
      <c r="I351" s="2" t="str">
        <f ca="1">IFERROR(__xludf.DUMMYFUNCTION("""COMPUTED_VALUE"""),"500GB HDD")</f>
        <v>500GB HDD</v>
      </c>
      <c r="J351" s="2" t="str">
        <f ca="1">IFERROR(__xludf.DUMMYFUNCTION("""COMPUTED_VALUE"""),"Nvidia Quadro M1200")</f>
        <v>Nvidia Quadro M1200</v>
      </c>
      <c r="K351" s="2" t="str">
        <f ca="1">IFERROR(__xludf.DUMMYFUNCTION("""COMPUTED_VALUE"""),"Windows 10")</f>
        <v>Windows 10</v>
      </c>
      <c r="L351" s="2" t="str">
        <f ca="1">IFERROR(__xludf.DUMMYFUNCTION("""COMPUTED_VALUE"""),"3.14kg")</f>
        <v>3.14kg</v>
      </c>
      <c r="M351" s="2">
        <f ca="1">IFERROR(__xludf.DUMMYFUNCTION("""COMPUTED_VALUE"""),1907.99)</f>
        <v>1907.99</v>
      </c>
    </row>
    <row r="352" spans="1:13">
      <c r="A352" s="2">
        <f ca="1">IFERROR(__xludf.DUMMYFUNCTION("""COMPUTED_VALUE"""),701)</f>
        <v>701</v>
      </c>
      <c r="B352" s="2" t="str">
        <f ca="1">IFERROR(__xludf.DUMMYFUNCTION("""COMPUTED_VALUE"""),"Lenovo")</f>
        <v>Lenovo</v>
      </c>
      <c r="C352" s="2" t="str">
        <f ca="1">IFERROR(__xludf.DUMMYFUNCTION("""COMPUTED_VALUE"""),"ThinkPad X1")</f>
        <v>ThinkPad X1</v>
      </c>
      <c r="D352" s="2" t="str">
        <f ca="1">IFERROR(__xludf.DUMMYFUNCTION("""COMPUTED_VALUE"""),"2 in 1 Convertible")</f>
        <v>2 in 1 Convertible</v>
      </c>
      <c r="E352" s="2">
        <f ca="1">IFERROR(__xludf.DUMMYFUNCTION("""COMPUTED_VALUE"""),14)</f>
        <v>14</v>
      </c>
      <c r="F352" s="2" t="str">
        <f ca="1">IFERROR(__xludf.DUMMYFUNCTION("""COMPUTED_VALUE"""),"Touchscreen 2560x1440")</f>
        <v>Touchscreen 2560x1440</v>
      </c>
      <c r="G352" s="2" t="str">
        <f ca="1">IFERROR(__xludf.DUMMYFUNCTION("""COMPUTED_VALUE"""),"Intel Core i7 7500U 2.7GHz")</f>
        <v>Intel Core i7 7500U 2.7GHz</v>
      </c>
      <c r="H352" s="2" t="str">
        <f ca="1">IFERROR(__xludf.DUMMYFUNCTION("""COMPUTED_VALUE"""),"8GB")</f>
        <v>8GB</v>
      </c>
      <c r="I352" s="2" t="str">
        <f ca="1">IFERROR(__xludf.DUMMYFUNCTION("""COMPUTED_VALUE"""),"256GB SSD")</f>
        <v>256GB SSD</v>
      </c>
      <c r="J352" s="2" t="str">
        <f ca="1">IFERROR(__xludf.DUMMYFUNCTION("""COMPUTED_VALUE"""),"Intel HD Graphics 620")</f>
        <v>Intel HD Graphics 620</v>
      </c>
      <c r="K352" s="2" t="str">
        <f ca="1">IFERROR(__xludf.DUMMYFUNCTION("""COMPUTED_VALUE"""),"Windows 10")</f>
        <v>Windows 10</v>
      </c>
      <c r="L352" s="2" t="str">
        <f ca="1">IFERROR(__xludf.DUMMYFUNCTION("""COMPUTED_VALUE"""),"1.42kg")</f>
        <v>1.42kg</v>
      </c>
      <c r="M352" s="2">
        <f ca="1">IFERROR(__xludf.DUMMYFUNCTION("""COMPUTED_VALUE"""),2590)</f>
        <v>2590</v>
      </c>
    </row>
    <row r="353" spans="1:13">
      <c r="A353" s="2">
        <f ca="1">IFERROR(__xludf.DUMMYFUNCTION("""COMPUTED_VALUE"""),702)</f>
        <v>702</v>
      </c>
      <c r="B353" s="2" t="str">
        <f ca="1">IFERROR(__xludf.DUMMYFUNCTION("""COMPUTED_VALUE"""),"Toshiba")</f>
        <v>Toshiba</v>
      </c>
      <c r="C353" s="2" t="str">
        <f ca="1">IFERROR(__xludf.DUMMYFUNCTION("""COMPUTED_VALUE"""),"Satellite Pro")</f>
        <v>Satellite Pro</v>
      </c>
      <c r="D353" s="2" t="str">
        <f ca="1">IFERROR(__xludf.DUMMYFUNCTION("""COMPUTED_VALUE"""),"Notebook")</f>
        <v>Notebook</v>
      </c>
      <c r="E353" s="2">
        <f ca="1">IFERROR(__xludf.DUMMYFUNCTION("""COMPUTED_VALUE"""),13.3)</f>
        <v>13.3</v>
      </c>
      <c r="F353" s="2" t="str">
        <f ca="1">IFERROR(__xludf.DUMMYFUNCTION("""COMPUTED_VALUE"""),"IPS Panel Full HD 1920x1080")</f>
        <v>IPS Panel Full HD 1920x1080</v>
      </c>
      <c r="G353" s="2" t="str">
        <f ca="1">IFERROR(__xludf.DUMMYFUNCTION("""COMPUTED_VALUE"""),"Intel Core i5 7200U 2.5GHz")</f>
        <v>Intel Core i5 7200U 2.5GHz</v>
      </c>
      <c r="H353" s="2" t="str">
        <f ca="1">IFERROR(__xludf.DUMMYFUNCTION("""COMPUTED_VALUE"""),"8GB")</f>
        <v>8GB</v>
      </c>
      <c r="I353" s="2" t="str">
        <f ca="1">IFERROR(__xludf.DUMMYFUNCTION("""COMPUTED_VALUE"""),"256GB SSD")</f>
        <v>256GB SSD</v>
      </c>
      <c r="J353" s="2" t="str">
        <f ca="1">IFERROR(__xludf.DUMMYFUNCTION("""COMPUTED_VALUE"""),"Intel HD Graphics 620")</f>
        <v>Intel HD Graphics 620</v>
      </c>
      <c r="K353" s="2" t="str">
        <f ca="1">IFERROR(__xludf.DUMMYFUNCTION("""COMPUTED_VALUE"""),"Windows 10")</f>
        <v>Windows 10</v>
      </c>
      <c r="L353" s="2" t="str">
        <f ca="1">IFERROR(__xludf.DUMMYFUNCTION("""COMPUTED_VALUE"""),"1.5kg")</f>
        <v>1.5kg</v>
      </c>
      <c r="M353" s="2">
        <f ca="1">IFERROR(__xludf.DUMMYFUNCTION("""COMPUTED_VALUE"""),973)</f>
        <v>973</v>
      </c>
    </row>
    <row r="354" spans="1:13">
      <c r="A354" s="2">
        <f ca="1">IFERROR(__xludf.DUMMYFUNCTION("""COMPUTED_VALUE"""),708)</f>
        <v>708</v>
      </c>
      <c r="B354" s="2" t="str">
        <f ca="1">IFERROR(__xludf.DUMMYFUNCTION("""COMPUTED_VALUE"""),"Dell")</f>
        <v>Dell</v>
      </c>
      <c r="C354" s="2" t="str">
        <f ca="1">IFERROR(__xludf.DUMMYFUNCTION("""COMPUTED_VALUE"""),"Inspiron 5577")</f>
        <v>Inspiron 5577</v>
      </c>
      <c r="D354" s="2" t="str">
        <f ca="1">IFERROR(__xludf.DUMMYFUNCTION("""COMPUTED_VALUE"""),"Gaming")</f>
        <v>Gaming</v>
      </c>
      <c r="E354" s="2">
        <f ca="1">IFERROR(__xludf.DUMMYFUNCTION("""COMPUTED_VALUE"""),15.6)</f>
        <v>15.6</v>
      </c>
      <c r="F354" s="2" t="str">
        <f ca="1">IFERROR(__xludf.DUMMYFUNCTION("""COMPUTED_VALUE"""),"Full HD 1920x1080")</f>
        <v>Full HD 1920x1080</v>
      </c>
      <c r="G354" s="2" t="str">
        <f ca="1">IFERROR(__xludf.DUMMYFUNCTION("""COMPUTED_VALUE"""),"Intel Core i5 7300HQ 2.5GHz")</f>
        <v>Intel Core i5 7300HQ 2.5GHz</v>
      </c>
      <c r="H354" s="2" t="str">
        <f ca="1">IFERROR(__xludf.DUMMYFUNCTION("""COMPUTED_VALUE"""),"8GB")</f>
        <v>8GB</v>
      </c>
      <c r="I354" s="2" t="str">
        <f ca="1">IFERROR(__xludf.DUMMYFUNCTION("""COMPUTED_VALUE"""),"1TB HDD")</f>
        <v>1TB HDD</v>
      </c>
      <c r="J354" s="2" t="str">
        <f ca="1">IFERROR(__xludf.DUMMYFUNCTION("""COMPUTED_VALUE"""),"Nvidia GeForce GTX 1050")</f>
        <v>Nvidia GeForce GTX 1050</v>
      </c>
      <c r="K354" s="2" t="str">
        <f ca="1">IFERROR(__xludf.DUMMYFUNCTION("""COMPUTED_VALUE"""),"Windows 10")</f>
        <v>Windows 10</v>
      </c>
      <c r="L354" s="2" t="str">
        <f ca="1">IFERROR(__xludf.DUMMYFUNCTION("""COMPUTED_VALUE"""),"2.56kg")</f>
        <v>2.56kg</v>
      </c>
      <c r="M354" s="2">
        <f ca="1">IFERROR(__xludf.DUMMYFUNCTION("""COMPUTED_VALUE"""),819)</f>
        <v>819</v>
      </c>
    </row>
    <row r="355" spans="1:13">
      <c r="A355" s="2">
        <f ca="1">IFERROR(__xludf.DUMMYFUNCTION("""COMPUTED_VALUE"""),710)</f>
        <v>710</v>
      </c>
      <c r="B355" s="2" t="str">
        <f ca="1">IFERROR(__xludf.DUMMYFUNCTION("""COMPUTED_VALUE"""),"Lenovo")</f>
        <v>Lenovo</v>
      </c>
      <c r="C355" s="2" t="str">
        <f ca="1">IFERROR(__xludf.DUMMYFUNCTION("""COMPUTED_VALUE"""),"IdeaPad 320-15ABR")</f>
        <v>IdeaPad 320-15ABR</v>
      </c>
      <c r="D355" s="2" t="str">
        <f ca="1">IFERROR(__xludf.DUMMYFUNCTION("""COMPUTED_VALUE"""),"Notebook")</f>
        <v>Notebook</v>
      </c>
      <c r="E355" s="2">
        <f ca="1">IFERROR(__xludf.DUMMYFUNCTION("""COMPUTED_VALUE"""),15.6)</f>
        <v>15.6</v>
      </c>
      <c r="F355" s="2" t="str">
        <f ca="1">IFERROR(__xludf.DUMMYFUNCTION("""COMPUTED_VALUE"""),"1366x768")</f>
        <v>1366x768</v>
      </c>
      <c r="G355" s="2" t="str">
        <f ca="1">IFERROR(__xludf.DUMMYFUNCTION("""COMPUTED_VALUE"""),"AMD A12-Series 9720P 3.6GHz")</f>
        <v>AMD A12-Series 9720P 3.6GHz</v>
      </c>
      <c r="H355" s="2" t="str">
        <f ca="1">IFERROR(__xludf.DUMMYFUNCTION("""COMPUTED_VALUE"""),"8GB")</f>
        <v>8GB</v>
      </c>
      <c r="I355" s="2" t="str">
        <f ca="1">IFERROR(__xludf.DUMMYFUNCTION("""COMPUTED_VALUE"""),"1TB HDD")</f>
        <v>1TB HDD</v>
      </c>
      <c r="J355" s="2" t="str">
        <f ca="1">IFERROR(__xludf.DUMMYFUNCTION("""COMPUTED_VALUE"""),"AMD Radeon R7")</f>
        <v>AMD Radeon R7</v>
      </c>
      <c r="K355" s="2" t="str">
        <f ca="1">IFERROR(__xludf.DUMMYFUNCTION("""COMPUTED_VALUE"""),"Windows 10")</f>
        <v>Windows 10</v>
      </c>
      <c r="L355" s="2" t="str">
        <f ca="1">IFERROR(__xludf.DUMMYFUNCTION("""COMPUTED_VALUE"""),"2.2kg")</f>
        <v>2.2kg</v>
      </c>
      <c r="M355" s="2">
        <f ca="1">IFERROR(__xludf.DUMMYFUNCTION("""COMPUTED_VALUE"""),429)</f>
        <v>429</v>
      </c>
    </row>
    <row r="356" spans="1:13">
      <c r="A356" s="2">
        <f ca="1">IFERROR(__xludf.DUMMYFUNCTION("""COMPUTED_VALUE"""),713)</f>
        <v>713</v>
      </c>
      <c r="B356" s="2" t="str">
        <f ca="1">IFERROR(__xludf.DUMMYFUNCTION("""COMPUTED_VALUE"""),"Dell")</f>
        <v>Dell</v>
      </c>
      <c r="C356" s="2" t="str">
        <f ca="1">IFERROR(__xludf.DUMMYFUNCTION("""COMPUTED_VALUE"""),"Vostro 5568")</f>
        <v>Vostro 5568</v>
      </c>
      <c r="D356" s="2" t="str">
        <f ca="1">IFERROR(__xludf.DUMMYFUNCTION("""COMPUTED_VALUE"""),"Notebook")</f>
        <v>Notebook</v>
      </c>
      <c r="E356" s="2">
        <f ca="1">IFERROR(__xludf.DUMMYFUNCTION("""COMPUTED_VALUE"""),15.6)</f>
        <v>15.6</v>
      </c>
      <c r="F356" s="2" t="str">
        <f ca="1">IFERROR(__xludf.DUMMYFUNCTION("""COMPUTED_VALUE"""),"Full HD 1920x1080")</f>
        <v>Full HD 1920x1080</v>
      </c>
      <c r="G356" s="2" t="str">
        <f ca="1">IFERROR(__xludf.DUMMYFUNCTION("""COMPUTED_VALUE"""),"Intel Core i5 7200U 2.5GHz")</f>
        <v>Intel Core i5 7200U 2.5GHz</v>
      </c>
      <c r="H356" s="2" t="str">
        <f ca="1">IFERROR(__xludf.DUMMYFUNCTION("""COMPUTED_VALUE"""),"8GB")</f>
        <v>8GB</v>
      </c>
      <c r="I356" s="2" t="str">
        <f ca="1">IFERROR(__xludf.DUMMYFUNCTION("""COMPUTED_VALUE"""),"256GB SSD")</f>
        <v>256GB SSD</v>
      </c>
      <c r="J356" s="2" t="str">
        <f ca="1">IFERROR(__xludf.DUMMYFUNCTION("""COMPUTED_VALUE"""),"Intel HD Graphics 620")</f>
        <v>Intel HD Graphics 620</v>
      </c>
      <c r="K356" s="2" t="str">
        <f ca="1">IFERROR(__xludf.DUMMYFUNCTION("""COMPUTED_VALUE"""),"Windows 10")</f>
        <v>Windows 10</v>
      </c>
      <c r="L356" s="2" t="str">
        <f ca="1">IFERROR(__xludf.DUMMYFUNCTION("""COMPUTED_VALUE"""),"2.18kg")</f>
        <v>2.18kg</v>
      </c>
      <c r="M356" s="2">
        <f ca="1">IFERROR(__xludf.DUMMYFUNCTION("""COMPUTED_VALUE"""),795)</f>
        <v>795</v>
      </c>
    </row>
    <row r="357" spans="1:13">
      <c r="A357" s="2">
        <f ca="1">IFERROR(__xludf.DUMMYFUNCTION("""COMPUTED_VALUE"""),714)</f>
        <v>714</v>
      </c>
      <c r="B357" s="2" t="str">
        <f ca="1">IFERROR(__xludf.DUMMYFUNCTION("""COMPUTED_VALUE"""),"Acer")</f>
        <v>Acer</v>
      </c>
      <c r="C357" s="2" t="str">
        <f ca="1">IFERROR(__xludf.DUMMYFUNCTION("""COMPUTED_VALUE"""),"Spin 5")</f>
        <v>Spin 5</v>
      </c>
      <c r="D357" s="2" t="str">
        <f ca="1">IFERROR(__xludf.DUMMYFUNCTION("""COMPUTED_VALUE"""),"2 in 1 Convertible")</f>
        <v>2 in 1 Convertible</v>
      </c>
      <c r="E357" s="2">
        <f ca="1">IFERROR(__xludf.DUMMYFUNCTION("""COMPUTED_VALUE"""),13.3)</f>
        <v>13.3</v>
      </c>
      <c r="F357" s="2" t="str">
        <f ca="1">IFERROR(__xludf.DUMMYFUNCTION("""COMPUTED_VALUE"""),"IPS Panel Full HD / Touchscreen 1920x1080")</f>
        <v>IPS Panel Full HD / Touchscreen 1920x1080</v>
      </c>
      <c r="G357" s="2" t="str">
        <f ca="1">IFERROR(__xludf.DUMMYFUNCTION("""COMPUTED_VALUE"""),"Intel Core i5 8250U 1.6GHz")</f>
        <v>Intel Core i5 8250U 1.6GHz</v>
      </c>
      <c r="H357" s="2" t="str">
        <f ca="1">IFERROR(__xludf.DUMMYFUNCTION("""COMPUTED_VALUE"""),"8GB")</f>
        <v>8GB</v>
      </c>
      <c r="I357" s="2" t="str">
        <f ca="1">IFERROR(__xludf.DUMMYFUNCTION("""COMPUTED_VALUE"""),"256GB SSD")</f>
        <v>256GB SSD</v>
      </c>
      <c r="J357" s="2" t="str">
        <f ca="1">IFERROR(__xludf.DUMMYFUNCTION("""COMPUTED_VALUE"""),"Intel UHD Graphics 620")</f>
        <v>Intel UHD Graphics 620</v>
      </c>
      <c r="K357" s="2" t="str">
        <f ca="1">IFERROR(__xludf.DUMMYFUNCTION("""COMPUTED_VALUE"""),"Windows 10")</f>
        <v>Windows 10</v>
      </c>
      <c r="L357" s="2" t="str">
        <f ca="1">IFERROR(__xludf.DUMMYFUNCTION("""COMPUTED_VALUE"""),"1.6kg")</f>
        <v>1.6kg</v>
      </c>
      <c r="M357" s="2">
        <f ca="1">IFERROR(__xludf.DUMMYFUNCTION("""COMPUTED_VALUE"""),999)</f>
        <v>999</v>
      </c>
    </row>
    <row r="358" spans="1:13">
      <c r="A358" s="2">
        <f ca="1">IFERROR(__xludf.DUMMYFUNCTION("""COMPUTED_VALUE"""),716)</f>
        <v>716</v>
      </c>
      <c r="B358" s="2" t="str">
        <f ca="1">IFERROR(__xludf.DUMMYFUNCTION("""COMPUTED_VALUE"""),"Lenovo")</f>
        <v>Lenovo</v>
      </c>
      <c r="C358" s="2" t="str">
        <f ca="1">IFERROR(__xludf.DUMMYFUNCTION("""COMPUTED_VALUE"""),"Thinkpad T460p")</f>
        <v>Thinkpad T460p</v>
      </c>
      <c r="D358" s="2" t="str">
        <f ca="1">IFERROR(__xludf.DUMMYFUNCTION("""COMPUTED_VALUE"""),"Notebook")</f>
        <v>Notebook</v>
      </c>
      <c r="E358" s="2">
        <f ca="1">IFERROR(__xludf.DUMMYFUNCTION("""COMPUTED_VALUE"""),14)</f>
        <v>14</v>
      </c>
      <c r="F358" s="2" t="str">
        <f ca="1">IFERROR(__xludf.DUMMYFUNCTION("""COMPUTED_VALUE"""),"Full HD 1920x1080")</f>
        <v>Full HD 1920x1080</v>
      </c>
      <c r="G358" s="2" t="str">
        <f ca="1">IFERROR(__xludf.DUMMYFUNCTION("""COMPUTED_VALUE"""),"Intel Core i5 6300HQ 2.3GHz")</f>
        <v>Intel Core i5 6300HQ 2.3GHz</v>
      </c>
      <c r="H358" s="2" t="str">
        <f ca="1">IFERROR(__xludf.DUMMYFUNCTION("""COMPUTED_VALUE"""),"8GB")</f>
        <v>8GB</v>
      </c>
      <c r="I358" s="2" t="str">
        <f ca="1">IFERROR(__xludf.DUMMYFUNCTION("""COMPUTED_VALUE"""),"256GB SSD")</f>
        <v>256GB SSD</v>
      </c>
      <c r="J358" s="2" t="str">
        <f ca="1">IFERROR(__xludf.DUMMYFUNCTION("""COMPUTED_VALUE"""),"Intel HD Graphics 520")</f>
        <v>Intel HD Graphics 520</v>
      </c>
      <c r="K358" s="2" t="str">
        <f ca="1">IFERROR(__xludf.DUMMYFUNCTION("""COMPUTED_VALUE"""),"Windows 10")</f>
        <v>Windows 10</v>
      </c>
      <c r="L358" s="2" t="str">
        <f ca="1">IFERROR(__xludf.DUMMYFUNCTION("""COMPUTED_VALUE"""),"1.8kg")</f>
        <v>1.8kg</v>
      </c>
      <c r="M358" s="2">
        <f ca="1">IFERROR(__xludf.DUMMYFUNCTION("""COMPUTED_VALUE"""),1191)</f>
        <v>1191</v>
      </c>
    </row>
    <row r="359" spans="1:13">
      <c r="A359" s="2">
        <f ca="1">IFERROR(__xludf.DUMMYFUNCTION("""COMPUTED_VALUE"""),718)</f>
        <v>718</v>
      </c>
      <c r="B359" s="2" t="str">
        <f ca="1">IFERROR(__xludf.DUMMYFUNCTION("""COMPUTED_VALUE"""),"Lenovo")</f>
        <v>Lenovo</v>
      </c>
      <c r="C359" s="2" t="str">
        <f ca="1">IFERROR(__xludf.DUMMYFUNCTION("""COMPUTED_VALUE"""),"Legion Y520-15IKBN")</f>
        <v>Legion Y520-15IKBN</v>
      </c>
      <c r="D359" s="2" t="str">
        <f ca="1">IFERROR(__xludf.DUMMYFUNCTION("""COMPUTED_VALUE"""),"Gaming")</f>
        <v>Gaming</v>
      </c>
      <c r="E359" s="2">
        <f ca="1">IFERROR(__xludf.DUMMYFUNCTION("""COMPUTED_VALUE"""),15.6)</f>
        <v>15.6</v>
      </c>
      <c r="F359" s="2" t="str">
        <f ca="1">IFERROR(__xludf.DUMMYFUNCTION("""COMPUTED_VALUE"""),"IPS Panel Full HD 1920x1080")</f>
        <v>IPS Panel Full HD 1920x1080</v>
      </c>
      <c r="G359" s="2" t="str">
        <f ca="1">IFERROR(__xludf.DUMMYFUNCTION("""COMPUTED_VALUE"""),"Intel Core i7 7700HQ 2.8GHz")</f>
        <v>Intel Core i7 7700HQ 2.8GHz</v>
      </c>
      <c r="H359" s="2" t="str">
        <f ca="1">IFERROR(__xludf.DUMMYFUNCTION("""COMPUTED_VALUE"""),"8GB")</f>
        <v>8GB</v>
      </c>
      <c r="I359" s="2" t="str">
        <f ca="1">IFERROR(__xludf.DUMMYFUNCTION("""COMPUTED_VALUE"""),"128GB SSD +  1TB HDD")</f>
        <v>128GB SSD +  1TB HDD</v>
      </c>
      <c r="J359" s="2" t="str">
        <f ca="1">IFERROR(__xludf.DUMMYFUNCTION("""COMPUTED_VALUE"""),"Nvidia GeForce GTX 1050 Ti")</f>
        <v>Nvidia GeForce GTX 1050 Ti</v>
      </c>
      <c r="K359" s="2" t="str">
        <f ca="1">IFERROR(__xludf.DUMMYFUNCTION("""COMPUTED_VALUE"""),"Windows 10")</f>
        <v>Windows 10</v>
      </c>
      <c r="L359" s="2" t="str">
        <f ca="1">IFERROR(__xludf.DUMMYFUNCTION("""COMPUTED_VALUE"""),"2.5kg")</f>
        <v>2.5kg</v>
      </c>
      <c r="M359" s="2">
        <f ca="1">IFERROR(__xludf.DUMMYFUNCTION("""COMPUTED_VALUE"""),1249)</f>
        <v>1249</v>
      </c>
    </row>
    <row r="360" spans="1:13">
      <c r="A360" s="2">
        <f ca="1">IFERROR(__xludf.DUMMYFUNCTION("""COMPUTED_VALUE"""),719)</f>
        <v>719</v>
      </c>
      <c r="B360" s="2" t="str">
        <f ca="1">IFERROR(__xludf.DUMMYFUNCTION("""COMPUTED_VALUE"""),"Dell")</f>
        <v>Dell</v>
      </c>
      <c r="C360" s="2" t="str">
        <f ca="1">IFERROR(__xludf.DUMMYFUNCTION("""COMPUTED_VALUE"""),"Latitude 5480")</f>
        <v>Latitude 5480</v>
      </c>
      <c r="D360" s="2" t="str">
        <f ca="1">IFERROR(__xludf.DUMMYFUNCTION("""COMPUTED_VALUE"""),"Notebook")</f>
        <v>Notebook</v>
      </c>
      <c r="E360" s="2">
        <f ca="1">IFERROR(__xludf.DUMMYFUNCTION("""COMPUTED_VALUE"""),14)</f>
        <v>14</v>
      </c>
      <c r="F360" s="2" t="str">
        <f ca="1">IFERROR(__xludf.DUMMYFUNCTION("""COMPUTED_VALUE"""),"Full HD 1920x1080")</f>
        <v>Full HD 1920x1080</v>
      </c>
      <c r="G360" s="2" t="str">
        <f ca="1">IFERROR(__xludf.DUMMYFUNCTION("""COMPUTED_VALUE"""),"Intel Core i5 7440HQ 2.8GHz")</f>
        <v>Intel Core i5 7440HQ 2.8GHz</v>
      </c>
      <c r="H360" s="2" t="str">
        <f ca="1">IFERROR(__xludf.DUMMYFUNCTION("""COMPUTED_VALUE"""),"8GB")</f>
        <v>8GB</v>
      </c>
      <c r="I360" s="2" t="str">
        <f ca="1">IFERROR(__xludf.DUMMYFUNCTION("""COMPUTED_VALUE"""),"256GB SSD")</f>
        <v>256GB SSD</v>
      </c>
      <c r="J360" s="2" t="str">
        <f ca="1">IFERROR(__xludf.DUMMYFUNCTION("""COMPUTED_VALUE"""),"Nvidia GeForce 930MX")</f>
        <v>Nvidia GeForce 930MX</v>
      </c>
      <c r="K360" s="2" t="str">
        <f ca="1">IFERROR(__xludf.DUMMYFUNCTION("""COMPUTED_VALUE"""),"Linux")</f>
        <v>Linux</v>
      </c>
      <c r="L360" s="2" t="str">
        <f ca="1">IFERROR(__xludf.DUMMYFUNCTION("""COMPUTED_VALUE"""),"1.64kg")</f>
        <v>1.64kg</v>
      </c>
      <c r="M360" s="2">
        <f ca="1">IFERROR(__xludf.DUMMYFUNCTION("""COMPUTED_VALUE"""),1089)</f>
        <v>1089</v>
      </c>
    </row>
    <row r="361" spans="1:13">
      <c r="A361" s="2">
        <f ca="1">IFERROR(__xludf.DUMMYFUNCTION("""COMPUTED_VALUE"""),720)</f>
        <v>720</v>
      </c>
      <c r="B361" s="2" t="str">
        <f ca="1">IFERROR(__xludf.DUMMYFUNCTION("""COMPUTED_VALUE"""),"Dell")</f>
        <v>Dell</v>
      </c>
      <c r="C361" s="2" t="str">
        <f ca="1">IFERROR(__xludf.DUMMYFUNCTION("""COMPUTED_VALUE"""),"Vostro 5568")</f>
        <v>Vostro 5568</v>
      </c>
      <c r="D361" s="2" t="str">
        <f ca="1">IFERROR(__xludf.DUMMYFUNCTION("""COMPUTED_VALUE"""),"Notebook")</f>
        <v>Notebook</v>
      </c>
      <c r="E361" s="2">
        <f ca="1">IFERROR(__xludf.DUMMYFUNCTION("""COMPUTED_VALUE"""),15.6)</f>
        <v>15.6</v>
      </c>
      <c r="F361" s="2" t="str">
        <f ca="1">IFERROR(__xludf.DUMMYFUNCTION("""COMPUTED_VALUE"""),"Full HD 1920x1080")</f>
        <v>Full HD 1920x1080</v>
      </c>
      <c r="G361" s="2" t="str">
        <f ca="1">IFERROR(__xludf.DUMMYFUNCTION("""COMPUTED_VALUE"""),"Intel Core i5 7200U 2.5GHz")</f>
        <v>Intel Core i5 7200U 2.5GHz</v>
      </c>
      <c r="H361" s="2" t="str">
        <f ca="1">IFERROR(__xludf.DUMMYFUNCTION("""COMPUTED_VALUE"""),"8GB")</f>
        <v>8GB</v>
      </c>
      <c r="I361" s="2" t="str">
        <f ca="1">IFERROR(__xludf.DUMMYFUNCTION("""COMPUTED_VALUE"""),"1TB HDD")</f>
        <v>1TB HDD</v>
      </c>
      <c r="J361" s="2" t="str">
        <f ca="1">IFERROR(__xludf.DUMMYFUNCTION("""COMPUTED_VALUE"""),"Intel HD Graphics 620")</f>
        <v>Intel HD Graphics 620</v>
      </c>
      <c r="K361" s="2" t="str">
        <f ca="1">IFERROR(__xludf.DUMMYFUNCTION("""COMPUTED_VALUE"""),"Linux")</f>
        <v>Linux</v>
      </c>
      <c r="L361" s="2" t="str">
        <f ca="1">IFERROR(__xludf.DUMMYFUNCTION("""COMPUTED_VALUE"""),"1.98kg")</f>
        <v>1.98kg</v>
      </c>
      <c r="M361" s="2">
        <f ca="1">IFERROR(__xludf.DUMMYFUNCTION("""COMPUTED_VALUE"""),726)</f>
        <v>726</v>
      </c>
    </row>
    <row r="362" spans="1:13">
      <c r="A362" s="2">
        <f ca="1">IFERROR(__xludf.DUMMYFUNCTION("""COMPUTED_VALUE"""),723)</f>
        <v>723</v>
      </c>
      <c r="B362" s="2" t="str">
        <f ca="1">IFERROR(__xludf.DUMMYFUNCTION("""COMPUTED_VALUE"""),"Lenovo")</f>
        <v>Lenovo</v>
      </c>
      <c r="C362" s="2" t="str">
        <f ca="1">IFERROR(__xludf.DUMMYFUNCTION("""COMPUTED_VALUE"""),"Thinkpad E470")</f>
        <v>Thinkpad E470</v>
      </c>
      <c r="D362" s="2" t="str">
        <f ca="1">IFERROR(__xludf.DUMMYFUNCTION("""COMPUTED_VALUE"""),"Notebook")</f>
        <v>Notebook</v>
      </c>
      <c r="E362" s="2">
        <f ca="1">IFERROR(__xludf.DUMMYFUNCTION("""COMPUTED_VALUE"""),14)</f>
        <v>14</v>
      </c>
      <c r="F362" s="2" t="str">
        <f ca="1">IFERROR(__xludf.DUMMYFUNCTION("""COMPUTED_VALUE"""),"IPS Panel Full HD 1920x1080")</f>
        <v>IPS Panel Full HD 1920x1080</v>
      </c>
      <c r="G362" s="2" t="str">
        <f ca="1">IFERROR(__xludf.DUMMYFUNCTION("""COMPUTED_VALUE"""),"Intel Core i5 7200U 2.5GHz")</f>
        <v>Intel Core i5 7200U 2.5GHz</v>
      </c>
      <c r="H362" s="2" t="str">
        <f ca="1">IFERROR(__xludf.DUMMYFUNCTION("""COMPUTED_VALUE"""),"8GB")</f>
        <v>8GB</v>
      </c>
      <c r="I362" s="2" t="str">
        <f ca="1">IFERROR(__xludf.DUMMYFUNCTION("""COMPUTED_VALUE"""),"256GB SSD")</f>
        <v>256GB SSD</v>
      </c>
      <c r="J362" s="2" t="str">
        <f ca="1">IFERROR(__xludf.DUMMYFUNCTION("""COMPUTED_VALUE"""),"Nvidia GeForce 920MX")</f>
        <v>Nvidia GeForce 920MX</v>
      </c>
      <c r="K362" s="2" t="str">
        <f ca="1">IFERROR(__xludf.DUMMYFUNCTION("""COMPUTED_VALUE"""),"Windows 10")</f>
        <v>Windows 10</v>
      </c>
      <c r="L362" s="2" t="str">
        <f ca="1">IFERROR(__xludf.DUMMYFUNCTION("""COMPUTED_VALUE"""),"1.87kg")</f>
        <v>1.87kg</v>
      </c>
      <c r="M362" s="2">
        <f ca="1">IFERROR(__xludf.DUMMYFUNCTION("""COMPUTED_VALUE"""),857.07)</f>
        <v>857.07</v>
      </c>
    </row>
    <row r="363" spans="1:13">
      <c r="A363" s="2">
        <f ca="1">IFERROR(__xludf.DUMMYFUNCTION("""COMPUTED_VALUE"""),724)</f>
        <v>724</v>
      </c>
      <c r="B363" s="2" t="str">
        <f ca="1">IFERROR(__xludf.DUMMYFUNCTION("""COMPUTED_VALUE"""),"Dell")</f>
        <v>Dell</v>
      </c>
      <c r="C363" s="2" t="str">
        <f ca="1">IFERROR(__xludf.DUMMYFUNCTION("""COMPUTED_VALUE"""),"Latitude 5580")</f>
        <v>Latitude 5580</v>
      </c>
      <c r="D363" s="2" t="str">
        <f ca="1">IFERROR(__xludf.DUMMYFUNCTION("""COMPUTED_VALUE"""),"Notebook")</f>
        <v>Notebook</v>
      </c>
      <c r="E363" s="2">
        <f ca="1">IFERROR(__xludf.DUMMYFUNCTION("""COMPUTED_VALUE"""),15.6)</f>
        <v>15.6</v>
      </c>
      <c r="F363" s="2" t="str">
        <f ca="1">IFERROR(__xludf.DUMMYFUNCTION("""COMPUTED_VALUE"""),"Full HD 1920x1080")</f>
        <v>Full HD 1920x1080</v>
      </c>
      <c r="G363" s="2" t="str">
        <f ca="1">IFERROR(__xludf.DUMMYFUNCTION("""COMPUTED_VALUE"""),"Intel Core i5 7300U 2.6GHz")</f>
        <v>Intel Core i5 7300U 2.6GHz</v>
      </c>
      <c r="H363" s="2" t="str">
        <f ca="1">IFERROR(__xludf.DUMMYFUNCTION("""COMPUTED_VALUE"""),"8GB")</f>
        <v>8GB</v>
      </c>
      <c r="I363" s="2" t="str">
        <f ca="1">IFERROR(__xludf.DUMMYFUNCTION("""COMPUTED_VALUE"""),"256GB SSD")</f>
        <v>256GB SSD</v>
      </c>
      <c r="J363" s="2" t="str">
        <f ca="1">IFERROR(__xludf.DUMMYFUNCTION("""COMPUTED_VALUE"""),"Intel HD Graphics 620")</f>
        <v>Intel HD Graphics 620</v>
      </c>
      <c r="K363" s="2" t="str">
        <f ca="1">IFERROR(__xludf.DUMMYFUNCTION("""COMPUTED_VALUE"""),"Windows 10")</f>
        <v>Windows 10</v>
      </c>
      <c r="L363" s="2" t="str">
        <f ca="1">IFERROR(__xludf.DUMMYFUNCTION("""COMPUTED_VALUE"""),"1.9kg")</f>
        <v>1.9kg</v>
      </c>
      <c r="M363" s="2">
        <f ca="1">IFERROR(__xludf.DUMMYFUNCTION("""COMPUTED_VALUE"""),1179)</f>
        <v>1179</v>
      </c>
    </row>
    <row r="364" spans="1:13">
      <c r="A364" s="2">
        <f ca="1">IFERROR(__xludf.DUMMYFUNCTION("""COMPUTED_VALUE"""),727)</f>
        <v>727</v>
      </c>
      <c r="B364" s="2" t="str">
        <f ca="1">IFERROR(__xludf.DUMMYFUNCTION("""COMPUTED_VALUE"""),"HP")</f>
        <v>HP</v>
      </c>
      <c r="C364" s="2" t="str">
        <f ca="1">IFERROR(__xludf.DUMMYFUNCTION("""COMPUTED_VALUE"""),"ProBook 470")</f>
        <v>ProBook 470</v>
      </c>
      <c r="D364" s="2" t="str">
        <f ca="1">IFERROR(__xludf.DUMMYFUNCTION("""COMPUTED_VALUE"""),"Notebook")</f>
        <v>Notebook</v>
      </c>
      <c r="E364" s="2">
        <f ca="1">IFERROR(__xludf.DUMMYFUNCTION("""COMPUTED_VALUE"""),17.3)</f>
        <v>17.3</v>
      </c>
      <c r="F364" s="2" t="str">
        <f ca="1">IFERROR(__xludf.DUMMYFUNCTION("""COMPUTED_VALUE"""),"Full HD 1920x1080")</f>
        <v>Full HD 1920x1080</v>
      </c>
      <c r="G364" s="2" t="str">
        <f ca="1">IFERROR(__xludf.DUMMYFUNCTION("""COMPUTED_VALUE"""),"Intel Core i7 7500U 2.7GHz")</f>
        <v>Intel Core i7 7500U 2.7GHz</v>
      </c>
      <c r="H364" s="2" t="str">
        <f ca="1">IFERROR(__xludf.DUMMYFUNCTION("""COMPUTED_VALUE"""),"8GB")</f>
        <v>8GB</v>
      </c>
      <c r="I364" s="2" t="str">
        <f ca="1">IFERROR(__xludf.DUMMYFUNCTION("""COMPUTED_VALUE"""),"256GB SSD")</f>
        <v>256GB SSD</v>
      </c>
      <c r="J364" s="2" t="str">
        <f ca="1">IFERROR(__xludf.DUMMYFUNCTION("""COMPUTED_VALUE"""),"Nvidia GeForce 930MX")</f>
        <v>Nvidia GeForce 930MX</v>
      </c>
      <c r="K364" s="2" t="str">
        <f ca="1">IFERROR(__xludf.DUMMYFUNCTION("""COMPUTED_VALUE"""),"Windows 10")</f>
        <v>Windows 10</v>
      </c>
      <c r="L364" s="2" t="str">
        <f ca="1">IFERROR(__xludf.DUMMYFUNCTION("""COMPUTED_VALUE"""),"2.63kg")</f>
        <v>2.63kg</v>
      </c>
      <c r="M364" s="2">
        <f ca="1">IFERROR(__xludf.DUMMYFUNCTION("""COMPUTED_VALUE"""),1200)</f>
        <v>1200</v>
      </c>
    </row>
    <row r="365" spans="1:13">
      <c r="A365" s="2">
        <f ca="1">IFERROR(__xludf.DUMMYFUNCTION("""COMPUTED_VALUE"""),728)</f>
        <v>728</v>
      </c>
      <c r="B365" s="2" t="str">
        <f ca="1">IFERROR(__xludf.DUMMYFUNCTION("""COMPUTED_VALUE"""),"Lenovo")</f>
        <v>Lenovo</v>
      </c>
      <c r="C365" s="2" t="str">
        <f ca="1">IFERROR(__xludf.DUMMYFUNCTION("""COMPUTED_VALUE"""),"ThinkPad X1")</f>
        <v>ThinkPad X1</v>
      </c>
      <c r="D365" s="2" t="str">
        <f ca="1">IFERROR(__xludf.DUMMYFUNCTION("""COMPUTED_VALUE"""),"Ultrabook")</f>
        <v>Ultrabook</v>
      </c>
      <c r="E365" s="2">
        <f ca="1">IFERROR(__xludf.DUMMYFUNCTION("""COMPUTED_VALUE"""),14)</f>
        <v>14</v>
      </c>
      <c r="F365" s="2" t="str">
        <f ca="1">IFERROR(__xludf.DUMMYFUNCTION("""COMPUTED_VALUE"""),"IPS Panel Quad HD+ 2560x1440")</f>
        <v>IPS Panel Quad HD+ 2560x1440</v>
      </c>
      <c r="G365" s="2" t="str">
        <f ca="1">IFERROR(__xludf.DUMMYFUNCTION("""COMPUTED_VALUE"""),"Intel Core i7 6500U 2.5GHz")</f>
        <v>Intel Core i7 6500U 2.5GHz</v>
      </c>
      <c r="H365" s="2" t="str">
        <f ca="1">IFERROR(__xludf.DUMMYFUNCTION("""COMPUTED_VALUE"""),"8GB")</f>
        <v>8GB</v>
      </c>
      <c r="I365" s="2" t="str">
        <f ca="1">IFERROR(__xludf.DUMMYFUNCTION("""COMPUTED_VALUE"""),"512GB SSD")</f>
        <v>512GB SSD</v>
      </c>
      <c r="J365" s="2" t="str">
        <f ca="1">IFERROR(__xludf.DUMMYFUNCTION("""COMPUTED_VALUE"""),"Intel HD Graphics 520")</f>
        <v>Intel HD Graphics 520</v>
      </c>
      <c r="K365" s="2" t="str">
        <f ca="1">IFERROR(__xludf.DUMMYFUNCTION("""COMPUTED_VALUE"""),"Windows 10")</f>
        <v>Windows 10</v>
      </c>
      <c r="L365" s="2" t="str">
        <f ca="1">IFERROR(__xludf.DUMMYFUNCTION("""COMPUTED_VALUE"""),"1.17kg")</f>
        <v>1.17kg</v>
      </c>
      <c r="M365" s="2">
        <f ca="1">IFERROR(__xludf.DUMMYFUNCTION("""COMPUTED_VALUE"""),1686.64)</f>
        <v>1686.64</v>
      </c>
    </row>
    <row r="366" spans="1:13">
      <c r="A366" s="2">
        <f ca="1">IFERROR(__xludf.DUMMYFUNCTION("""COMPUTED_VALUE"""),729)</f>
        <v>729</v>
      </c>
      <c r="B366" s="2" t="str">
        <f ca="1">IFERROR(__xludf.DUMMYFUNCTION("""COMPUTED_VALUE"""),"HP")</f>
        <v>HP</v>
      </c>
      <c r="C366" s="2" t="str">
        <f ca="1">IFERROR(__xludf.DUMMYFUNCTION("""COMPUTED_VALUE"""),"Pavilion X360")</f>
        <v>Pavilion X360</v>
      </c>
      <c r="D366" s="2" t="str">
        <f ca="1">IFERROR(__xludf.DUMMYFUNCTION("""COMPUTED_VALUE"""),"2 in 1 Convertible")</f>
        <v>2 in 1 Convertible</v>
      </c>
      <c r="E366" s="2">
        <f ca="1">IFERROR(__xludf.DUMMYFUNCTION("""COMPUTED_VALUE"""),13.3)</f>
        <v>13.3</v>
      </c>
      <c r="F366" s="2" t="str">
        <f ca="1">IFERROR(__xludf.DUMMYFUNCTION("""COMPUTED_VALUE"""),"IPS Panel Touchscreen 1366x768")</f>
        <v>IPS Panel Touchscreen 1366x768</v>
      </c>
      <c r="G366" s="2" t="str">
        <f ca="1">IFERROR(__xludf.DUMMYFUNCTION("""COMPUTED_VALUE"""),"Intel Core i5 7200U 2.5GHz")</f>
        <v>Intel Core i5 7200U 2.5GHz</v>
      </c>
      <c r="H366" s="2" t="str">
        <f ca="1">IFERROR(__xludf.DUMMYFUNCTION("""COMPUTED_VALUE"""),"8GB")</f>
        <v>8GB</v>
      </c>
      <c r="I366" s="2" t="str">
        <f ca="1">IFERROR(__xludf.DUMMYFUNCTION("""COMPUTED_VALUE"""),"256GB SSD")</f>
        <v>256GB SSD</v>
      </c>
      <c r="J366" s="2" t="str">
        <f ca="1">IFERROR(__xludf.DUMMYFUNCTION("""COMPUTED_VALUE"""),"Intel HD Graphics 620")</f>
        <v>Intel HD Graphics 620</v>
      </c>
      <c r="K366" s="2" t="str">
        <f ca="1">IFERROR(__xludf.DUMMYFUNCTION("""COMPUTED_VALUE"""),"Windows 10")</f>
        <v>Windows 10</v>
      </c>
      <c r="L366" s="2" t="str">
        <f ca="1">IFERROR(__xludf.DUMMYFUNCTION("""COMPUTED_VALUE"""),"1.58kg")</f>
        <v>1.58kg</v>
      </c>
      <c r="M366" s="2">
        <f ca="1">IFERROR(__xludf.DUMMYFUNCTION("""COMPUTED_VALUE"""),836.6)</f>
        <v>836.6</v>
      </c>
    </row>
    <row r="367" spans="1:13">
      <c r="A367" s="2">
        <f ca="1">IFERROR(__xludf.DUMMYFUNCTION("""COMPUTED_VALUE"""),730)</f>
        <v>730</v>
      </c>
      <c r="B367" s="2" t="str">
        <f ca="1">IFERROR(__xludf.DUMMYFUNCTION("""COMPUTED_VALUE"""),"Lenovo")</f>
        <v>Lenovo</v>
      </c>
      <c r="C367" s="2" t="str">
        <f ca="1">IFERROR(__xludf.DUMMYFUNCTION("""COMPUTED_VALUE"""),"ThinkPad T470s")</f>
        <v>ThinkPad T470s</v>
      </c>
      <c r="D367" s="2" t="str">
        <f ca="1">IFERROR(__xludf.DUMMYFUNCTION("""COMPUTED_VALUE"""),"Ultrabook")</f>
        <v>Ultrabook</v>
      </c>
      <c r="E367" s="2">
        <f ca="1">IFERROR(__xludf.DUMMYFUNCTION("""COMPUTED_VALUE"""),14)</f>
        <v>14</v>
      </c>
      <c r="F367" s="2" t="str">
        <f ca="1">IFERROR(__xludf.DUMMYFUNCTION("""COMPUTED_VALUE"""),"IPS Panel Full HD 1920x1080")</f>
        <v>IPS Panel Full HD 1920x1080</v>
      </c>
      <c r="G367" s="2" t="str">
        <f ca="1">IFERROR(__xludf.DUMMYFUNCTION("""COMPUTED_VALUE"""),"Intel Core i5 7200U 2.5GHz")</f>
        <v>Intel Core i5 7200U 2.5GHz</v>
      </c>
      <c r="H367" s="2" t="str">
        <f ca="1">IFERROR(__xludf.DUMMYFUNCTION("""COMPUTED_VALUE"""),"8GB")</f>
        <v>8GB</v>
      </c>
      <c r="I367" s="2" t="str">
        <f ca="1">IFERROR(__xludf.DUMMYFUNCTION("""COMPUTED_VALUE"""),"256GB SSD")</f>
        <v>256GB SSD</v>
      </c>
      <c r="J367" s="2" t="str">
        <f ca="1">IFERROR(__xludf.DUMMYFUNCTION("""COMPUTED_VALUE"""),"Intel HD Graphics 620")</f>
        <v>Intel HD Graphics 620</v>
      </c>
      <c r="K367" s="2" t="str">
        <f ca="1">IFERROR(__xludf.DUMMYFUNCTION("""COMPUTED_VALUE"""),"Windows 10")</f>
        <v>Windows 10</v>
      </c>
      <c r="L367" s="2" t="str">
        <f ca="1">IFERROR(__xludf.DUMMYFUNCTION("""COMPUTED_VALUE"""),"1.32kg")</f>
        <v>1.32kg</v>
      </c>
      <c r="M367" s="2">
        <f ca="1">IFERROR(__xludf.DUMMYFUNCTION("""COMPUTED_VALUE"""),1499)</f>
        <v>1499</v>
      </c>
    </row>
    <row r="368" spans="1:13">
      <c r="A368" s="2">
        <f ca="1">IFERROR(__xludf.DUMMYFUNCTION("""COMPUTED_VALUE"""),732)</f>
        <v>732</v>
      </c>
      <c r="B368" s="2" t="str">
        <f ca="1">IFERROR(__xludf.DUMMYFUNCTION("""COMPUTED_VALUE"""),"MSI")</f>
        <v>MSI</v>
      </c>
      <c r="C368" s="2" t="str">
        <f ca="1">IFERROR(__xludf.DUMMYFUNCTION("""COMPUTED_VALUE"""),"GL72M 7REX")</f>
        <v>GL72M 7REX</v>
      </c>
      <c r="D368" s="2" t="str">
        <f ca="1">IFERROR(__xludf.DUMMYFUNCTION("""COMPUTED_VALUE"""),"Gaming")</f>
        <v>Gaming</v>
      </c>
      <c r="E368" s="2">
        <f ca="1">IFERROR(__xludf.DUMMYFUNCTION("""COMPUTED_VALUE"""),17.3)</f>
        <v>17.3</v>
      </c>
      <c r="F368" s="2" t="str">
        <f ca="1">IFERROR(__xludf.DUMMYFUNCTION("""COMPUTED_VALUE"""),"Full HD 1920x1080")</f>
        <v>Full HD 1920x1080</v>
      </c>
      <c r="G368" s="2" t="str">
        <f ca="1">IFERROR(__xludf.DUMMYFUNCTION("""COMPUTED_VALUE"""),"Intel Core i7 7700HQ 2.8GHz")</f>
        <v>Intel Core i7 7700HQ 2.8GHz</v>
      </c>
      <c r="H368" s="2" t="str">
        <f ca="1">IFERROR(__xludf.DUMMYFUNCTION("""COMPUTED_VALUE"""),"8GB")</f>
        <v>8GB</v>
      </c>
      <c r="I368" s="2" t="str">
        <f ca="1">IFERROR(__xludf.DUMMYFUNCTION("""COMPUTED_VALUE"""),"128GB SSD +  1TB HDD")</f>
        <v>128GB SSD +  1TB HDD</v>
      </c>
      <c r="J368" s="2" t="str">
        <f ca="1">IFERROR(__xludf.DUMMYFUNCTION("""COMPUTED_VALUE"""),"Nvidia GeForce GTX 1050 Ti")</f>
        <v>Nvidia GeForce GTX 1050 Ti</v>
      </c>
      <c r="K368" s="2" t="str">
        <f ca="1">IFERROR(__xludf.DUMMYFUNCTION("""COMPUTED_VALUE"""),"Windows 10")</f>
        <v>Windows 10</v>
      </c>
      <c r="L368" s="2" t="str">
        <f ca="1">IFERROR(__xludf.DUMMYFUNCTION("""COMPUTED_VALUE"""),"2.7kg")</f>
        <v>2.7kg</v>
      </c>
      <c r="M368" s="2">
        <f ca="1">IFERROR(__xludf.DUMMYFUNCTION("""COMPUTED_VALUE"""),1348.48)</f>
        <v>1348.48</v>
      </c>
    </row>
    <row r="369" spans="1:13">
      <c r="A369" s="2">
        <f ca="1">IFERROR(__xludf.DUMMYFUNCTION("""COMPUTED_VALUE"""),734)</f>
        <v>734</v>
      </c>
      <c r="B369" s="2" t="str">
        <f ca="1">IFERROR(__xludf.DUMMYFUNCTION("""COMPUTED_VALUE"""),"Dell")</f>
        <v>Dell</v>
      </c>
      <c r="C369" s="2" t="str">
        <f ca="1">IFERROR(__xludf.DUMMYFUNCTION("""COMPUTED_VALUE"""),"Inspiron 5570")</f>
        <v>Inspiron 5570</v>
      </c>
      <c r="D369" s="2" t="str">
        <f ca="1">IFERROR(__xludf.DUMMYFUNCTION("""COMPUTED_VALUE"""),"Notebook")</f>
        <v>Notebook</v>
      </c>
      <c r="E369" s="2">
        <f ca="1">IFERROR(__xludf.DUMMYFUNCTION("""COMPUTED_VALUE"""),15.6)</f>
        <v>15.6</v>
      </c>
      <c r="F369" s="2" t="str">
        <f ca="1">IFERROR(__xludf.DUMMYFUNCTION("""COMPUTED_VALUE"""),"Full HD 1920x1080")</f>
        <v>Full HD 1920x1080</v>
      </c>
      <c r="G369" s="2" t="str">
        <f ca="1">IFERROR(__xludf.DUMMYFUNCTION("""COMPUTED_VALUE"""),"Intel Core i5 8250U 1.6GHz")</f>
        <v>Intel Core i5 8250U 1.6GHz</v>
      </c>
      <c r="H369" s="2" t="str">
        <f ca="1">IFERROR(__xludf.DUMMYFUNCTION("""COMPUTED_VALUE"""),"8GB")</f>
        <v>8GB</v>
      </c>
      <c r="I369" s="2" t="str">
        <f ca="1">IFERROR(__xludf.DUMMYFUNCTION("""COMPUTED_VALUE"""),"128GB SSD +  1TB HDD")</f>
        <v>128GB SSD +  1TB HDD</v>
      </c>
      <c r="J369" s="2" t="str">
        <f ca="1">IFERROR(__xludf.DUMMYFUNCTION("""COMPUTED_VALUE"""),"AMD Radeon 530")</f>
        <v>AMD Radeon 530</v>
      </c>
      <c r="K369" s="2" t="str">
        <f ca="1">IFERROR(__xludf.DUMMYFUNCTION("""COMPUTED_VALUE"""),"Windows 10")</f>
        <v>Windows 10</v>
      </c>
      <c r="L369" s="2" t="str">
        <f ca="1">IFERROR(__xludf.DUMMYFUNCTION("""COMPUTED_VALUE"""),"2.2kg")</f>
        <v>2.2kg</v>
      </c>
      <c r="M369" s="2">
        <f ca="1">IFERROR(__xludf.DUMMYFUNCTION("""COMPUTED_VALUE"""),719)</f>
        <v>719</v>
      </c>
    </row>
    <row r="370" spans="1:13">
      <c r="A370" s="2">
        <f ca="1">IFERROR(__xludf.DUMMYFUNCTION("""COMPUTED_VALUE"""),736)</f>
        <v>736</v>
      </c>
      <c r="B370" s="2" t="str">
        <f ca="1">IFERROR(__xludf.DUMMYFUNCTION("""COMPUTED_VALUE"""),"Dell")</f>
        <v>Dell</v>
      </c>
      <c r="C370" s="2" t="str">
        <f ca="1">IFERROR(__xludf.DUMMYFUNCTION("""COMPUTED_VALUE"""),"Inspiron 5567")</f>
        <v>Inspiron 5567</v>
      </c>
      <c r="D370" s="2" t="str">
        <f ca="1">IFERROR(__xludf.DUMMYFUNCTION("""COMPUTED_VALUE"""),"Notebook")</f>
        <v>Notebook</v>
      </c>
      <c r="E370" s="2">
        <f ca="1">IFERROR(__xludf.DUMMYFUNCTION("""COMPUTED_VALUE"""),15.6)</f>
        <v>15.6</v>
      </c>
      <c r="F370" s="2" t="str">
        <f ca="1">IFERROR(__xludf.DUMMYFUNCTION("""COMPUTED_VALUE"""),"1366x768")</f>
        <v>1366x768</v>
      </c>
      <c r="G370" s="2" t="str">
        <f ca="1">IFERROR(__xludf.DUMMYFUNCTION("""COMPUTED_VALUE"""),"Intel Core i5 7200U 2.5GHz")</f>
        <v>Intel Core i5 7200U 2.5GHz</v>
      </c>
      <c r="H370" s="2" t="str">
        <f ca="1">IFERROR(__xludf.DUMMYFUNCTION("""COMPUTED_VALUE"""),"8GB")</f>
        <v>8GB</v>
      </c>
      <c r="I370" s="2" t="str">
        <f ca="1">IFERROR(__xludf.DUMMYFUNCTION("""COMPUTED_VALUE"""),"1TB HDD")</f>
        <v>1TB HDD</v>
      </c>
      <c r="J370" s="2" t="str">
        <f ca="1">IFERROR(__xludf.DUMMYFUNCTION("""COMPUTED_VALUE"""),"AMD Radeon R7 M445")</f>
        <v>AMD Radeon R7 M445</v>
      </c>
      <c r="K370" s="2" t="str">
        <f ca="1">IFERROR(__xludf.DUMMYFUNCTION("""COMPUTED_VALUE"""),"Linux")</f>
        <v>Linux</v>
      </c>
      <c r="L370" s="2" t="str">
        <f ca="1">IFERROR(__xludf.DUMMYFUNCTION("""COMPUTED_VALUE"""),"2.32kg")</f>
        <v>2.32kg</v>
      </c>
      <c r="M370" s="2">
        <f ca="1">IFERROR(__xludf.DUMMYFUNCTION("""COMPUTED_VALUE"""),589.52)</f>
        <v>589.52</v>
      </c>
    </row>
    <row r="371" spans="1:13">
      <c r="A371" s="2">
        <f ca="1">IFERROR(__xludf.DUMMYFUNCTION("""COMPUTED_VALUE"""),742)</f>
        <v>742</v>
      </c>
      <c r="B371" s="2" t="str">
        <f ca="1">IFERROR(__xludf.DUMMYFUNCTION("""COMPUTED_VALUE"""),"Lenovo")</f>
        <v>Lenovo</v>
      </c>
      <c r="C371" s="2" t="str">
        <f ca="1">IFERROR(__xludf.DUMMYFUNCTION("""COMPUTED_VALUE"""),"ThinkPad 13")</f>
        <v>ThinkPad 13</v>
      </c>
      <c r="D371" s="2" t="str">
        <f ca="1">IFERROR(__xludf.DUMMYFUNCTION("""COMPUTED_VALUE"""),"Notebook")</f>
        <v>Notebook</v>
      </c>
      <c r="E371" s="2">
        <f ca="1">IFERROR(__xludf.DUMMYFUNCTION("""COMPUTED_VALUE"""),13.3)</f>
        <v>13.3</v>
      </c>
      <c r="F371" s="2" t="str">
        <f ca="1">IFERROR(__xludf.DUMMYFUNCTION("""COMPUTED_VALUE"""),"IPS Panel Full HD 1920x1080")</f>
        <v>IPS Panel Full HD 1920x1080</v>
      </c>
      <c r="G371" s="2" t="str">
        <f ca="1">IFERROR(__xludf.DUMMYFUNCTION("""COMPUTED_VALUE"""),"Intel Core i5 7200U 2.5GHz")</f>
        <v>Intel Core i5 7200U 2.5GHz</v>
      </c>
      <c r="H371" s="2" t="str">
        <f ca="1">IFERROR(__xludf.DUMMYFUNCTION("""COMPUTED_VALUE"""),"8GB")</f>
        <v>8GB</v>
      </c>
      <c r="I371" s="2" t="str">
        <f ca="1">IFERROR(__xludf.DUMMYFUNCTION("""COMPUTED_VALUE"""),"256GB SSD")</f>
        <v>256GB SSD</v>
      </c>
      <c r="J371" s="2" t="str">
        <f ca="1">IFERROR(__xludf.DUMMYFUNCTION("""COMPUTED_VALUE"""),"Intel HD Graphics 620")</f>
        <v>Intel HD Graphics 620</v>
      </c>
      <c r="K371" s="2" t="str">
        <f ca="1">IFERROR(__xludf.DUMMYFUNCTION("""COMPUTED_VALUE"""),"Windows 10")</f>
        <v>Windows 10</v>
      </c>
      <c r="L371" s="2" t="str">
        <f ca="1">IFERROR(__xludf.DUMMYFUNCTION("""COMPUTED_VALUE"""),"1.44kg")</f>
        <v>1.44kg</v>
      </c>
      <c r="M371" s="2">
        <f ca="1">IFERROR(__xludf.DUMMYFUNCTION("""COMPUTED_VALUE"""),960)</f>
        <v>960</v>
      </c>
    </row>
    <row r="372" spans="1:13">
      <c r="A372" s="2">
        <f ca="1">IFERROR(__xludf.DUMMYFUNCTION("""COMPUTED_VALUE"""),745)</f>
        <v>745</v>
      </c>
      <c r="B372" s="2" t="str">
        <f ca="1">IFERROR(__xludf.DUMMYFUNCTION("""COMPUTED_VALUE"""),"Dell")</f>
        <v>Dell</v>
      </c>
      <c r="C372" s="2" t="str">
        <f ca="1">IFERROR(__xludf.DUMMYFUNCTION("""COMPUTED_VALUE"""),"Inspiron 5379")</f>
        <v>Inspiron 5379</v>
      </c>
      <c r="D372" s="2" t="str">
        <f ca="1">IFERROR(__xludf.DUMMYFUNCTION("""COMPUTED_VALUE"""),"2 in 1 Convertible")</f>
        <v>2 in 1 Convertible</v>
      </c>
      <c r="E372" s="2">
        <f ca="1">IFERROR(__xludf.DUMMYFUNCTION("""COMPUTED_VALUE"""),13.3)</f>
        <v>13.3</v>
      </c>
      <c r="F372" s="2" t="str">
        <f ca="1">IFERROR(__xludf.DUMMYFUNCTION("""COMPUTED_VALUE"""),"Full HD / Touchscreen 1920x1080")</f>
        <v>Full HD / Touchscreen 1920x1080</v>
      </c>
      <c r="G372" s="2" t="str">
        <f ca="1">IFERROR(__xludf.DUMMYFUNCTION("""COMPUTED_VALUE"""),"Intel Core i5 8250U 1.6GHz")</f>
        <v>Intel Core i5 8250U 1.6GHz</v>
      </c>
      <c r="H372" s="2" t="str">
        <f ca="1">IFERROR(__xludf.DUMMYFUNCTION("""COMPUTED_VALUE"""),"8GB")</f>
        <v>8GB</v>
      </c>
      <c r="I372" s="2" t="str">
        <f ca="1">IFERROR(__xludf.DUMMYFUNCTION("""COMPUTED_VALUE"""),"1TB HDD")</f>
        <v>1TB HDD</v>
      </c>
      <c r="J372" s="2" t="str">
        <f ca="1">IFERROR(__xludf.DUMMYFUNCTION("""COMPUTED_VALUE"""),"Intel UHD Graphics 620")</f>
        <v>Intel UHD Graphics 620</v>
      </c>
      <c r="K372" s="2" t="str">
        <f ca="1">IFERROR(__xludf.DUMMYFUNCTION("""COMPUTED_VALUE"""),"Windows 10")</f>
        <v>Windows 10</v>
      </c>
      <c r="L372" s="2" t="str">
        <f ca="1">IFERROR(__xludf.DUMMYFUNCTION("""COMPUTED_VALUE"""),"1.55kg")</f>
        <v>1.55kg</v>
      </c>
      <c r="M372" s="2">
        <f ca="1">IFERROR(__xludf.DUMMYFUNCTION("""COMPUTED_VALUE"""),659)</f>
        <v>659</v>
      </c>
    </row>
    <row r="373" spans="1:13">
      <c r="A373" s="2">
        <f ca="1">IFERROR(__xludf.DUMMYFUNCTION("""COMPUTED_VALUE"""),748)</f>
        <v>748</v>
      </c>
      <c r="B373" s="2" t="str">
        <f ca="1">IFERROR(__xludf.DUMMYFUNCTION("""COMPUTED_VALUE"""),"Dell")</f>
        <v>Dell</v>
      </c>
      <c r="C373" s="2" t="str">
        <f ca="1">IFERROR(__xludf.DUMMYFUNCTION("""COMPUTED_VALUE"""),"Inspiron 7560")</f>
        <v>Inspiron 7560</v>
      </c>
      <c r="D373" s="2" t="str">
        <f ca="1">IFERROR(__xludf.DUMMYFUNCTION("""COMPUTED_VALUE"""),"Notebook")</f>
        <v>Notebook</v>
      </c>
      <c r="E373" s="2">
        <f ca="1">IFERROR(__xludf.DUMMYFUNCTION("""COMPUTED_VALUE"""),15.6)</f>
        <v>15.6</v>
      </c>
      <c r="F373" s="2" t="str">
        <f ca="1">IFERROR(__xludf.DUMMYFUNCTION("""COMPUTED_VALUE"""),"Full HD 1920x1080")</f>
        <v>Full HD 1920x1080</v>
      </c>
      <c r="G373" s="2" t="str">
        <f ca="1">IFERROR(__xludf.DUMMYFUNCTION("""COMPUTED_VALUE"""),"Intel Core i7 7500U 2.7GHz")</f>
        <v>Intel Core i7 7500U 2.7GHz</v>
      </c>
      <c r="H373" s="2" t="str">
        <f ca="1">IFERROR(__xludf.DUMMYFUNCTION("""COMPUTED_VALUE"""),"8GB")</f>
        <v>8GB</v>
      </c>
      <c r="I373" s="2" t="str">
        <f ca="1">IFERROR(__xludf.DUMMYFUNCTION("""COMPUTED_VALUE"""),"128GB SSD +  1TB HDD")</f>
        <v>128GB SSD +  1TB HDD</v>
      </c>
      <c r="J373" s="2" t="str">
        <f ca="1">IFERROR(__xludf.DUMMYFUNCTION("""COMPUTED_VALUE"""),"Nvidia GeForce 940MX")</f>
        <v>Nvidia GeForce 940MX</v>
      </c>
      <c r="K373" s="2" t="str">
        <f ca="1">IFERROR(__xludf.DUMMYFUNCTION("""COMPUTED_VALUE"""),"Windows 10")</f>
        <v>Windows 10</v>
      </c>
      <c r="L373" s="2" t="str">
        <f ca="1">IFERROR(__xludf.DUMMYFUNCTION("""COMPUTED_VALUE"""),"2.0kg")</f>
        <v>2.0kg</v>
      </c>
      <c r="M373" s="2">
        <f ca="1">IFERROR(__xludf.DUMMYFUNCTION("""COMPUTED_VALUE"""),1207)</f>
        <v>1207</v>
      </c>
    </row>
    <row r="374" spans="1:13">
      <c r="A374" s="2">
        <f ca="1">IFERROR(__xludf.DUMMYFUNCTION("""COMPUTED_VALUE"""),749)</f>
        <v>749</v>
      </c>
      <c r="B374" s="2" t="str">
        <f ca="1">IFERROR(__xludf.DUMMYFUNCTION("""COMPUTED_VALUE"""),"Dell")</f>
        <v>Dell</v>
      </c>
      <c r="C374" s="2" t="str">
        <f ca="1">IFERROR(__xludf.DUMMYFUNCTION("""COMPUTED_VALUE"""),"Vostro 3568")</f>
        <v>Vostro 3568</v>
      </c>
      <c r="D374" s="2" t="str">
        <f ca="1">IFERROR(__xludf.DUMMYFUNCTION("""COMPUTED_VALUE"""),"Notebook")</f>
        <v>Notebook</v>
      </c>
      <c r="E374" s="2">
        <f ca="1">IFERROR(__xludf.DUMMYFUNCTION("""COMPUTED_VALUE"""),15.6)</f>
        <v>15.6</v>
      </c>
      <c r="F374" s="2" t="str">
        <f ca="1">IFERROR(__xludf.DUMMYFUNCTION("""COMPUTED_VALUE"""),"1366x768")</f>
        <v>1366x768</v>
      </c>
      <c r="G374" s="2" t="str">
        <f ca="1">IFERROR(__xludf.DUMMYFUNCTION("""COMPUTED_VALUE"""),"Intel Core i3 6006U 2GHz")</f>
        <v>Intel Core i3 6006U 2GHz</v>
      </c>
      <c r="H374" s="2" t="str">
        <f ca="1">IFERROR(__xludf.DUMMYFUNCTION("""COMPUTED_VALUE"""),"8GB")</f>
        <v>8GB</v>
      </c>
      <c r="I374" s="2" t="str">
        <f ca="1">IFERROR(__xludf.DUMMYFUNCTION("""COMPUTED_VALUE"""),"256GB SSD")</f>
        <v>256GB SSD</v>
      </c>
      <c r="J374" s="2" t="str">
        <f ca="1">IFERROR(__xludf.DUMMYFUNCTION("""COMPUTED_VALUE"""),"Intel HD Graphics 520")</f>
        <v>Intel HD Graphics 520</v>
      </c>
      <c r="K374" s="2" t="str">
        <f ca="1">IFERROR(__xludf.DUMMYFUNCTION("""COMPUTED_VALUE"""),"Windows 10")</f>
        <v>Windows 10</v>
      </c>
      <c r="L374" s="2" t="str">
        <f ca="1">IFERROR(__xludf.DUMMYFUNCTION("""COMPUTED_VALUE"""),"2kg")</f>
        <v>2kg</v>
      </c>
      <c r="M374" s="2">
        <f ca="1">IFERROR(__xludf.DUMMYFUNCTION("""COMPUTED_VALUE"""),665)</f>
        <v>665</v>
      </c>
    </row>
    <row r="375" spans="1:13">
      <c r="A375" s="2">
        <f ca="1">IFERROR(__xludf.DUMMYFUNCTION("""COMPUTED_VALUE"""),750)</f>
        <v>750</v>
      </c>
      <c r="B375" s="2" t="str">
        <f ca="1">IFERROR(__xludf.DUMMYFUNCTION("""COMPUTED_VALUE"""),"Toshiba")</f>
        <v>Toshiba</v>
      </c>
      <c r="C375" s="2" t="str">
        <f ca="1">IFERROR(__xludf.DUMMYFUNCTION("""COMPUTED_VALUE"""),"Tecra X40-D-10G")</f>
        <v>Tecra X40-D-10G</v>
      </c>
      <c r="D375" s="2" t="str">
        <f ca="1">IFERROR(__xludf.DUMMYFUNCTION("""COMPUTED_VALUE"""),"Notebook")</f>
        <v>Notebook</v>
      </c>
      <c r="E375" s="2">
        <f ca="1">IFERROR(__xludf.DUMMYFUNCTION("""COMPUTED_VALUE"""),14)</f>
        <v>14</v>
      </c>
      <c r="F375" s="2" t="str">
        <f ca="1">IFERROR(__xludf.DUMMYFUNCTION("""COMPUTED_VALUE"""),"IPS Panel Full HD / Touchscreen 1920x1080")</f>
        <v>IPS Panel Full HD / Touchscreen 1920x1080</v>
      </c>
      <c r="G375" s="2" t="str">
        <f ca="1">IFERROR(__xludf.DUMMYFUNCTION("""COMPUTED_VALUE"""),"Intel Core i5 7200U 2.5GHz")</f>
        <v>Intel Core i5 7200U 2.5GHz</v>
      </c>
      <c r="H375" s="2" t="str">
        <f ca="1">IFERROR(__xludf.DUMMYFUNCTION("""COMPUTED_VALUE"""),"8GB")</f>
        <v>8GB</v>
      </c>
      <c r="I375" s="2" t="str">
        <f ca="1">IFERROR(__xludf.DUMMYFUNCTION("""COMPUTED_VALUE"""),"256GB SSD")</f>
        <v>256GB SSD</v>
      </c>
      <c r="J375" s="2" t="str">
        <f ca="1">IFERROR(__xludf.DUMMYFUNCTION("""COMPUTED_VALUE"""),"Intel HD Graphics 620")</f>
        <v>Intel HD Graphics 620</v>
      </c>
      <c r="K375" s="2" t="str">
        <f ca="1">IFERROR(__xludf.DUMMYFUNCTION("""COMPUTED_VALUE"""),"Windows 10")</f>
        <v>Windows 10</v>
      </c>
      <c r="L375" s="2" t="str">
        <f ca="1">IFERROR(__xludf.DUMMYFUNCTION("""COMPUTED_VALUE"""),"1.25kg")</f>
        <v>1.25kg</v>
      </c>
      <c r="M375" s="2">
        <f ca="1">IFERROR(__xludf.DUMMYFUNCTION("""COMPUTED_VALUE"""),1535)</f>
        <v>1535</v>
      </c>
    </row>
    <row r="376" spans="1:13">
      <c r="A376" s="2">
        <f ca="1">IFERROR(__xludf.DUMMYFUNCTION("""COMPUTED_VALUE"""),751)</f>
        <v>751</v>
      </c>
      <c r="B376" s="2" t="str">
        <f ca="1">IFERROR(__xludf.DUMMYFUNCTION("""COMPUTED_VALUE"""),"Lenovo")</f>
        <v>Lenovo</v>
      </c>
      <c r="C376" s="2" t="str">
        <f ca="1">IFERROR(__xludf.DUMMYFUNCTION("""COMPUTED_VALUE"""),"Flex 5")</f>
        <v>Flex 5</v>
      </c>
      <c r="D376" s="2" t="str">
        <f ca="1">IFERROR(__xludf.DUMMYFUNCTION("""COMPUTED_VALUE"""),"2 in 1 Convertible")</f>
        <v>2 in 1 Convertible</v>
      </c>
      <c r="E376" s="2">
        <f ca="1">IFERROR(__xludf.DUMMYFUNCTION("""COMPUTED_VALUE"""),14)</f>
        <v>14</v>
      </c>
      <c r="F376" s="2" t="str">
        <f ca="1">IFERROR(__xludf.DUMMYFUNCTION("""COMPUTED_VALUE"""),"Full HD / Touchscreen 1920x1080")</f>
        <v>Full HD / Touchscreen 1920x1080</v>
      </c>
      <c r="G376" s="2" t="str">
        <f ca="1">IFERROR(__xludf.DUMMYFUNCTION("""COMPUTED_VALUE"""),"Intel Core i5 7200U 2.5GHz")</f>
        <v>Intel Core i5 7200U 2.5GHz</v>
      </c>
      <c r="H376" s="2" t="str">
        <f ca="1">IFERROR(__xludf.DUMMYFUNCTION("""COMPUTED_VALUE"""),"8GB")</f>
        <v>8GB</v>
      </c>
      <c r="I376" s="2" t="str">
        <f ca="1">IFERROR(__xludf.DUMMYFUNCTION("""COMPUTED_VALUE"""),"256GB SSD")</f>
        <v>256GB SSD</v>
      </c>
      <c r="J376" s="2" t="str">
        <f ca="1">IFERROR(__xludf.DUMMYFUNCTION("""COMPUTED_VALUE"""),"Intel HD Graphics 620")</f>
        <v>Intel HD Graphics 620</v>
      </c>
      <c r="K376" s="2" t="str">
        <f ca="1">IFERROR(__xludf.DUMMYFUNCTION("""COMPUTED_VALUE"""),"Windows 10")</f>
        <v>Windows 10</v>
      </c>
      <c r="L376" s="2" t="str">
        <f ca="1">IFERROR(__xludf.DUMMYFUNCTION("""COMPUTED_VALUE"""),"1.7kg")</f>
        <v>1.7kg</v>
      </c>
      <c r="M376" s="2">
        <f ca="1">IFERROR(__xludf.DUMMYFUNCTION("""COMPUTED_VALUE"""),999)</f>
        <v>999</v>
      </c>
    </row>
    <row r="377" spans="1:13">
      <c r="A377" s="2">
        <f ca="1">IFERROR(__xludf.DUMMYFUNCTION("""COMPUTED_VALUE"""),755)</f>
        <v>755</v>
      </c>
      <c r="B377" s="2" t="str">
        <f ca="1">IFERROR(__xludf.DUMMYFUNCTION("""COMPUTED_VALUE"""),"HP")</f>
        <v>HP</v>
      </c>
      <c r="C377" s="2" t="str">
        <f ca="1">IFERROR(__xludf.DUMMYFUNCTION("""COMPUTED_VALUE"""),"250 G6")</f>
        <v>250 G6</v>
      </c>
      <c r="D377" s="2" t="str">
        <f ca="1">IFERROR(__xludf.DUMMYFUNCTION("""COMPUTED_VALUE"""),"Notebook")</f>
        <v>Notebook</v>
      </c>
      <c r="E377" s="2">
        <f ca="1">IFERROR(__xludf.DUMMYFUNCTION("""COMPUTED_VALUE"""),15.6)</f>
        <v>15.6</v>
      </c>
      <c r="F377" s="2" t="str">
        <f ca="1">IFERROR(__xludf.DUMMYFUNCTION("""COMPUTED_VALUE"""),"Full HD 1920x1080")</f>
        <v>Full HD 1920x1080</v>
      </c>
      <c r="G377" s="2" t="str">
        <f ca="1">IFERROR(__xludf.DUMMYFUNCTION("""COMPUTED_VALUE"""),"Intel Core i3 6006U 2GHz")</f>
        <v>Intel Core i3 6006U 2GHz</v>
      </c>
      <c r="H377" s="2" t="str">
        <f ca="1">IFERROR(__xludf.DUMMYFUNCTION("""COMPUTED_VALUE"""),"8GB")</f>
        <v>8GB</v>
      </c>
      <c r="I377" s="2" t="str">
        <f ca="1">IFERROR(__xludf.DUMMYFUNCTION("""COMPUTED_VALUE"""),"256GB SSD")</f>
        <v>256GB SSD</v>
      </c>
      <c r="J377" s="2" t="str">
        <f ca="1">IFERROR(__xludf.DUMMYFUNCTION("""COMPUTED_VALUE"""),"Intel HD Graphics 520")</f>
        <v>Intel HD Graphics 520</v>
      </c>
      <c r="K377" s="2" t="str">
        <f ca="1">IFERROR(__xludf.DUMMYFUNCTION("""COMPUTED_VALUE"""),"Windows 10")</f>
        <v>Windows 10</v>
      </c>
      <c r="L377" s="2" t="str">
        <f ca="1">IFERROR(__xludf.DUMMYFUNCTION("""COMPUTED_VALUE"""),"1.86kg")</f>
        <v>1.86kg</v>
      </c>
      <c r="M377" s="2">
        <f ca="1">IFERROR(__xludf.DUMMYFUNCTION("""COMPUTED_VALUE"""),539)</f>
        <v>539</v>
      </c>
    </row>
    <row r="378" spans="1:13">
      <c r="A378" s="2">
        <f ca="1">IFERROR(__xludf.DUMMYFUNCTION("""COMPUTED_VALUE"""),757)</f>
        <v>757</v>
      </c>
      <c r="B378" s="2" t="str">
        <f ca="1">IFERROR(__xludf.DUMMYFUNCTION("""COMPUTED_VALUE"""),"Dell")</f>
        <v>Dell</v>
      </c>
      <c r="C378" s="2" t="str">
        <f ca="1">IFERROR(__xludf.DUMMYFUNCTION("""COMPUTED_VALUE"""),"Latitude 5480")</f>
        <v>Latitude 5480</v>
      </c>
      <c r="D378" s="2" t="str">
        <f ca="1">IFERROR(__xludf.DUMMYFUNCTION("""COMPUTED_VALUE"""),"Notebook")</f>
        <v>Notebook</v>
      </c>
      <c r="E378" s="2">
        <f ca="1">IFERROR(__xludf.DUMMYFUNCTION("""COMPUTED_VALUE"""),14)</f>
        <v>14</v>
      </c>
      <c r="F378" s="2" t="str">
        <f ca="1">IFERROR(__xludf.DUMMYFUNCTION("""COMPUTED_VALUE"""),"1366x768")</f>
        <v>1366x768</v>
      </c>
      <c r="G378" s="2" t="str">
        <f ca="1">IFERROR(__xludf.DUMMYFUNCTION("""COMPUTED_VALUE"""),"Intel Core i5 7200U 2.5GHz")</f>
        <v>Intel Core i5 7200U 2.5GHz</v>
      </c>
      <c r="H378" s="2" t="str">
        <f ca="1">IFERROR(__xludf.DUMMYFUNCTION("""COMPUTED_VALUE"""),"8GB")</f>
        <v>8GB</v>
      </c>
      <c r="I378" s="2" t="str">
        <f ca="1">IFERROR(__xludf.DUMMYFUNCTION("""COMPUTED_VALUE"""),"256GB SSD")</f>
        <v>256GB SSD</v>
      </c>
      <c r="J378" s="2" t="str">
        <f ca="1">IFERROR(__xludf.DUMMYFUNCTION("""COMPUTED_VALUE"""),"Intel HD Graphics 620")</f>
        <v>Intel HD Graphics 620</v>
      </c>
      <c r="K378" s="2" t="str">
        <f ca="1">IFERROR(__xludf.DUMMYFUNCTION("""COMPUTED_VALUE"""),"Windows 10")</f>
        <v>Windows 10</v>
      </c>
      <c r="L378" s="2" t="str">
        <f ca="1">IFERROR(__xludf.DUMMYFUNCTION("""COMPUTED_VALUE"""),"1.6kg")</f>
        <v>1.6kg</v>
      </c>
      <c r="M378" s="2">
        <f ca="1">IFERROR(__xludf.DUMMYFUNCTION("""COMPUTED_VALUE"""),1126.71)</f>
        <v>1126.71</v>
      </c>
    </row>
    <row r="379" spans="1:13">
      <c r="A379" s="2">
        <f ca="1">IFERROR(__xludf.DUMMYFUNCTION("""COMPUTED_VALUE"""),760)</f>
        <v>760</v>
      </c>
      <c r="B379" s="2" t="str">
        <f ca="1">IFERROR(__xludf.DUMMYFUNCTION("""COMPUTED_VALUE"""),"HP")</f>
        <v>HP</v>
      </c>
      <c r="C379" s="2" t="str">
        <f ca="1">IFERROR(__xludf.DUMMYFUNCTION("""COMPUTED_VALUE"""),"EliteBook 850")</f>
        <v>EliteBook 850</v>
      </c>
      <c r="D379" s="2" t="str">
        <f ca="1">IFERROR(__xludf.DUMMYFUNCTION("""COMPUTED_VALUE"""),"Notebook")</f>
        <v>Notebook</v>
      </c>
      <c r="E379" s="2">
        <f ca="1">IFERROR(__xludf.DUMMYFUNCTION("""COMPUTED_VALUE"""),15.6)</f>
        <v>15.6</v>
      </c>
      <c r="F379" s="2" t="str">
        <f ca="1">IFERROR(__xludf.DUMMYFUNCTION("""COMPUTED_VALUE"""),"Full HD 1920x1080")</f>
        <v>Full HD 1920x1080</v>
      </c>
      <c r="G379" s="2" t="str">
        <f ca="1">IFERROR(__xludf.DUMMYFUNCTION("""COMPUTED_VALUE"""),"Intel Core i5 6300U 2.4GHz")</f>
        <v>Intel Core i5 6300U 2.4GHz</v>
      </c>
      <c r="H379" s="2" t="str">
        <f ca="1">IFERROR(__xludf.DUMMYFUNCTION("""COMPUTED_VALUE"""),"8GB")</f>
        <v>8GB</v>
      </c>
      <c r="I379" s="2" t="str">
        <f ca="1">IFERROR(__xludf.DUMMYFUNCTION("""COMPUTED_VALUE"""),"256GB SSD")</f>
        <v>256GB SSD</v>
      </c>
      <c r="J379" s="2" t="str">
        <f ca="1">IFERROR(__xludf.DUMMYFUNCTION("""COMPUTED_VALUE"""),"Intel HD Graphics 520")</f>
        <v>Intel HD Graphics 520</v>
      </c>
      <c r="K379" s="2" t="str">
        <f ca="1">IFERROR(__xludf.DUMMYFUNCTION("""COMPUTED_VALUE"""),"Windows 10")</f>
        <v>Windows 10</v>
      </c>
      <c r="L379" s="2" t="str">
        <f ca="1">IFERROR(__xludf.DUMMYFUNCTION("""COMPUTED_VALUE"""),"1.84kg")</f>
        <v>1.84kg</v>
      </c>
      <c r="M379" s="2">
        <f ca="1">IFERROR(__xludf.DUMMYFUNCTION("""COMPUTED_VALUE"""),1900)</f>
        <v>1900</v>
      </c>
    </row>
    <row r="380" spans="1:13">
      <c r="A380" s="2">
        <f ca="1">IFERROR(__xludf.DUMMYFUNCTION("""COMPUTED_VALUE"""),764)</f>
        <v>764</v>
      </c>
      <c r="B380" s="2" t="str">
        <f ca="1">IFERROR(__xludf.DUMMYFUNCTION("""COMPUTED_VALUE"""),"Lenovo")</f>
        <v>Lenovo</v>
      </c>
      <c r="C380" s="2" t="str">
        <f ca="1">IFERROR(__xludf.DUMMYFUNCTION("""COMPUTED_VALUE"""),"Yoga 900-13ISK")</f>
        <v>Yoga 900-13ISK</v>
      </c>
      <c r="D380" s="2" t="str">
        <f ca="1">IFERROR(__xludf.DUMMYFUNCTION("""COMPUTED_VALUE"""),"2 in 1 Convertible")</f>
        <v>2 in 1 Convertible</v>
      </c>
      <c r="E380" s="2">
        <f ca="1">IFERROR(__xludf.DUMMYFUNCTION("""COMPUTED_VALUE"""),13.3)</f>
        <v>13.3</v>
      </c>
      <c r="F380" s="2" t="str">
        <f ca="1">IFERROR(__xludf.DUMMYFUNCTION("""COMPUTED_VALUE"""),"IPS Panel Quad HD+ / Touchscreen 3200x1800")</f>
        <v>IPS Panel Quad HD+ / Touchscreen 3200x1800</v>
      </c>
      <c r="G380" s="2" t="str">
        <f ca="1">IFERROR(__xludf.DUMMYFUNCTION("""COMPUTED_VALUE"""),"Intel Core i5 6260U 1.8GHz")</f>
        <v>Intel Core i5 6260U 1.8GHz</v>
      </c>
      <c r="H380" s="2" t="str">
        <f ca="1">IFERROR(__xludf.DUMMYFUNCTION("""COMPUTED_VALUE"""),"8GB")</f>
        <v>8GB</v>
      </c>
      <c r="I380" s="2" t="str">
        <f ca="1">IFERROR(__xludf.DUMMYFUNCTION("""COMPUTED_VALUE"""),"256GB SSD")</f>
        <v>256GB SSD</v>
      </c>
      <c r="J380" s="2" t="str">
        <f ca="1">IFERROR(__xludf.DUMMYFUNCTION("""COMPUTED_VALUE"""),"Intel HD Graphics 540")</f>
        <v>Intel HD Graphics 540</v>
      </c>
      <c r="K380" s="2" t="str">
        <f ca="1">IFERROR(__xludf.DUMMYFUNCTION("""COMPUTED_VALUE"""),"Windows 10")</f>
        <v>Windows 10</v>
      </c>
      <c r="L380" s="2" t="str">
        <f ca="1">IFERROR(__xludf.DUMMYFUNCTION("""COMPUTED_VALUE"""),"1.3kg")</f>
        <v>1.3kg</v>
      </c>
      <c r="M380" s="2">
        <f ca="1">IFERROR(__xludf.DUMMYFUNCTION("""COMPUTED_VALUE"""),1199)</f>
        <v>1199</v>
      </c>
    </row>
    <row r="381" spans="1:13">
      <c r="A381" s="2">
        <f ca="1">IFERROR(__xludf.DUMMYFUNCTION("""COMPUTED_VALUE"""),765)</f>
        <v>765</v>
      </c>
      <c r="B381" s="2" t="str">
        <f ca="1">IFERROR(__xludf.DUMMYFUNCTION("""COMPUTED_VALUE"""),"HP")</f>
        <v>HP</v>
      </c>
      <c r="C381" s="2" t="str">
        <f ca="1">IFERROR(__xludf.DUMMYFUNCTION("""COMPUTED_VALUE"""),"15-cb003na (i5-7300HQ/8GB/1TB")</f>
        <v>15-cb003na (i5-7300HQ/8GB/1TB</v>
      </c>
      <c r="D381" s="2" t="str">
        <f ca="1">IFERROR(__xludf.DUMMYFUNCTION("""COMPUTED_VALUE"""),"Notebook")</f>
        <v>Notebook</v>
      </c>
      <c r="E381" s="2">
        <f ca="1">IFERROR(__xludf.DUMMYFUNCTION("""COMPUTED_VALUE"""),15.6)</f>
        <v>15.6</v>
      </c>
      <c r="F381" s="2" t="str">
        <f ca="1">IFERROR(__xludf.DUMMYFUNCTION("""COMPUTED_VALUE"""),"IPS Panel Full HD 1920x1080")</f>
        <v>IPS Panel Full HD 1920x1080</v>
      </c>
      <c r="G381" s="2" t="str">
        <f ca="1">IFERROR(__xludf.DUMMYFUNCTION("""COMPUTED_VALUE"""),"Intel Core i5 7300HQ 2.5GHz")</f>
        <v>Intel Core i5 7300HQ 2.5GHz</v>
      </c>
      <c r="H381" s="2" t="str">
        <f ca="1">IFERROR(__xludf.DUMMYFUNCTION("""COMPUTED_VALUE"""),"8GB")</f>
        <v>8GB</v>
      </c>
      <c r="I381" s="2" t="str">
        <f ca="1">IFERROR(__xludf.DUMMYFUNCTION("""COMPUTED_VALUE"""),"128GB SSD +  1TB HDD")</f>
        <v>128GB SSD +  1TB HDD</v>
      </c>
      <c r="J381" s="2" t="str">
        <f ca="1">IFERROR(__xludf.DUMMYFUNCTION("""COMPUTED_VALUE"""),"Nvidia GeForce GTX 1050")</f>
        <v>Nvidia GeForce GTX 1050</v>
      </c>
      <c r="K381" s="2" t="str">
        <f ca="1">IFERROR(__xludf.DUMMYFUNCTION("""COMPUTED_VALUE"""),"Windows 10")</f>
        <v>Windows 10</v>
      </c>
      <c r="L381" s="2" t="str">
        <f ca="1">IFERROR(__xludf.DUMMYFUNCTION("""COMPUTED_VALUE"""),"2.2kg")</f>
        <v>2.2kg</v>
      </c>
      <c r="M381" s="2">
        <f ca="1">IFERROR(__xludf.DUMMYFUNCTION("""COMPUTED_VALUE"""),1099)</f>
        <v>1099</v>
      </c>
    </row>
    <row r="382" spans="1:13">
      <c r="A382" s="2">
        <f ca="1">IFERROR(__xludf.DUMMYFUNCTION("""COMPUTED_VALUE"""),766)</f>
        <v>766</v>
      </c>
      <c r="B382" s="2" t="str">
        <f ca="1">IFERROR(__xludf.DUMMYFUNCTION("""COMPUTED_VALUE"""),"HP")</f>
        <v>HP</v>
      </c>
      <c r="C382" s="2" t="str">
        <f ca="1">IFERROR(__xludf.DUMMYFUNCTION("""COMPUTED_VALUE"""),"ZBook 15")</f>
        <v>ZBook 15</v>
      </c>
      <c r="D382" s="2" t="str">
        <f ca="1">IFERROR(__xludf.DUMMYFUNCTION("""COMPUTED_VALUE"""),"Workstation")</f>
        <v>Workstation</v>
      </c>
      <c r="E382" s="2">
        <f ca="1">IFERROR(__xludf.DUMMYFUNCTION("""COMPUTED_VALUE"""),15.6)</f>
        <v>15.6</v>
      </c>
      <c r="F382" s="2" t="str">
        <f ca="1">IFERROR(__xludf.DUMMYFUNCTION("""COMPUTED_VALUE"""),"Full HD 1920x1080")</f>
        <v>Full HD 1920x1080</v>
      </c>
      <c r="G382" s="2" t="str">
        <f ca="1">IFERROR(__xludf.DUMMYFUNCTION("""COMPUTED_VALUE"""),"Intel Core i7 6700HQ 2.6GHz")</f>
        <v>Intel Core i7 6700HQ 2.6GHz</v>
      </c>
      <c r="H382" s="2" t="str">
        <f ca="1">IFERROR(__xludf.DUMMYFUNCTION("""COMPUTED_VALUE"""),"8GB")</f>
        <v>8GB</v>
      </c>
      <c r="I382" s="2" t="str">
        <f ca="1">IFERROR(__xludf.DUMMYFUNCTION("""COMPUTED_VALUE"""),"256GB SSD")</f>
        <v>256GB SSD</v>
      </c>
      <c r="J382" s="2" t="str">
        <f ca="1">IFERROR(__xludf.DUMMYFUNCTION("""COMPUTED_VALUE"""),"Nvidia Quadro M1000M")</f>
        <v>Nvidia Quadro M1000M</v>
      </c>
      <c r="K382" s="2" t="str">
        <f ca="1">IFERROR(__xludf.DUMMYFUNCTION("""COMPUTED_VALUE"""),"Windows 7")</f>
        <v>Windows 7</v>
      </c>
      <c r="L382" s="2" t="str">
        <f ca="1">IFERROR(__xludf.DUMMYFUNCTION("""COMPUTED_VALUE"""),"2.59kg")</f>
        <v>2.59kg</v>
      </c>
      <c r="M382" s="2">
        <f ca="1">IFERROR(__xludf.DUMMYFUNCTION("""COMPUTED_VALUE"""),1561)</f>
        <v>1561</v>
      </c>
    </row>
    <row r="383" spans="1:13">
      <c r="A383" s="2">
        <f ca="1">IFERROR(__xludf.DUMMYFUNCTION("""COMPUTED_VALUE"""),769)</f>
        <v>769</v>
      </c>
      <c r="B383" s="2" t="str">
        <f ca="1">IFERROR(__xludf.DUMMYFUNCTION("""COMPUTED_VALUE"""),"Lenovo")</f>
        <v>Lenovo</v>
      </c>
      <c r="C383" s="2" t="str">
        <f ca="1">IFERROR(__xludf.DUMMYFUNCTION("""COMPUTED_VALUE"""),"Legion Y520-15IKBN")</f>
        <v>Legion Y520-15IKBN</v>
      </c>
      <c r="D383" s="2" t="str">
        <f ca="1">IFERROR(__xludf.DUMMYFUNCTION("""COMPUTED_VALUE"""),"Gaming")</f>
        <v>Gaming</v>
      </c>
      <c r="E383" s="2">
        <f ca="1">IFERROR(__xludf.DUMMYFUNCTION("""COMPUTED_VALUE"""),15.6)</f>
        <v>15.6</v>
      </c>
      <c r="F383" s="2" t="str">
        <f ca="1">IFERROR(__xludf.DUMMYFUNCTION("""COMPUTED_VALUE"""),"IPS Panel Full HD 1920x1080")</f>
        <v>IPS Panel Full HD 1920x1080</v>
      </c>
      <c r="G383" s="2" t="str">
        <f ca="1">IFERROR(__xludf.DUMMYFUNCTION("""COMPUTED_VALUE"""),"Intel Core i7 7700HQ 2.8GHz")</f>
        <v>Intel Core i7 7700HQ 2.8GHz</v>
      </c>
      <c r="H383" s="2" t="str">
        <f ca="1">IFERROR(__xludf.DUMMYFUNCTION("""COMPUTED_VALUE"""),"8GB")</f>
        <v>8GB</v>
      </c>
      <c r="I383" s="2" t="str">
        <f ca="1">IFERROR(__xludf.DUMMYFUNCTION("""COMPUTED_VALUE"""),"128GB SSD +  1TB HDD")</f>
        <v>128GB SSD +  1TB HDD</v>
      </c>
      <c r="J383" s="2" t="str">
        <f ca="1">IFERROR(__xludf.DUMMYFUNCTION("""COMPUTED_VALUE"""),"Nvidia GeForce GTX 1050")</f>
        <v>Nvidia GeForce GTX 1050</v>
      </c>
      <c r="K383" s="2" t="str">
        <f ca="1">IFERROR(__xludf.DUMMYFUNCTION("""COMPUTED_VALUE"""),"Windows 10")</f>
        <v>Windows 10</v>
      </c>
      <c r="L383" s="2" t="str">
        <f ca="1">IFERROR(__xludf.DUMMYFUNCTION("""COMPUTED_VALUE"""),"2.5kg")</f>
        <v>2.5kg</v>
      </c>
      <c r="M383" s="2">
        <f ca="1">IFERROR(__xludf.DUMMYFUNCTION("""COMPUTED_VALUE"""),1048)</f>
        <v>1048</v>
      </c>
    </row>
    <row r="384" spans="1:13">
      <c r="A384" s="2">
        <f ca="1">IFERROR(__xludf.DUMMYFUNCTION("""COMPUTED_VALUE"""),771)</f>
        <v>771</v>
      </c>
      <c r="B384" s="2" t="str">
        <f ca="1">IFERROR(__xludf.DUMMYFUNCTION("""COMPUTED_VALUE"""),"Google")</f>
        <v>Google</v>
      </c>
      <c r="C384" s="2" t="str">
        <f ca="1">IFERROR(__xludf.DUMMYFUNCTION("""COMPUTED_VALUE"""),"Pixelbook (Core")</f>
        <v>Pixelbook (Core</v>
      </c>
      <c r="D384" s="2" t="str">
        <f ca="1">IFERROR(__xludf.DUMMYFUNCTION("""COMPUTED_VALUE"""),"Ultrabook")</f>
        <v>Ultrabook</v>
      </c>
      <c r="E384" s="2">
        <f ca="1">IFERROR(__xludf.DUMMYFUNCTION("""COMPUTED_VALUE"""),12.3)</f>
        <v>12.3</v>
      </c>
      <c r="F384" s="2" t="str">
        <f ca="1">IFERROR(__xludf.DUMMYFUNCTION("""COMPUTED_VALUE"""),"Touchscreen 2400x1600")</f>
        <v>Touchscreen 2400x1600</v>
      </c>
      <c r="G384" s="2" t="str">
        <f ca="1">IFERROR(__xludf.DUMMYFUNCTION("""COMPUTED_VALUE"""),"Intel Core i5 7Y57 1.2GHz")</f>
        <v>Intel Core i5 7Y57 1.2GHz</v>
      </c>
      <c r="H384" s="2" t="str">
        <f ca="1">IFERROR(__xludf.DUMMYFUNCTION("""COMPUTED_VALUE"""),"8GB")</f>
        <v>8GB</v>
      </c>
      <c r="I384" s="2" t="str">
        <f ca="1">IFERROR(__xludf.DUMMYFUNCTION("""COMPUTED_VALUE"""),"256GB SSD")</f>
        <v>256GB SSD</v>
      </c>
      <c r="J384" s="2" t="str">
        <f ca="1">IFERROR(__xludf.DUMMYFUNCTION("""COMPUTED_VALUE"""),"Intel HD Graphics 615")</f>
        <v>Intel HD Graphics 615</v>
      </c>
      <c r="K384" s="2" t="str">
        <f ca="1">IFERROR(__xludf.DUMMYFUNCTION("""COMPUTED_VALUE"""),"Chrome OS")</f>
        <v>Chrome OS</v>
      </c>
      <c r="L384" s="2" t="str">
        <f ca="1">IFERROR(__xludf.DUMMYFUNCTION("""COMPUTED_VALUE"""),"1.1kg")</f>
        <v>1.1kg</v>
      </c>
      <c r="M384" s="2">
        <f ca="1">IFERROR(__xludf.DUMMYFUNCTION("""COMPUTED_VALUE"""),1559)</f>
        <v>1559</v>
      </c>
    </row>
    <row r="385" spans="1:13">
      <c r="A385" s="2">
        <f ca="1">IFERROR(__xludf.DUMMYFUNCTION("""COMPUTED_VALUE"""),772)</f>
        <v>772</v>
      </c>
      <c r="B385" s="2" t="str">
        <f ca="1">IFERROR(__xludf.DUMMYFUNCTION("""COMPUTED_VALUE"""),"Asus")</f>
        <v>Asus</v>
      </c>
      <c r="C385" s="2" t="str">
        <f ca="1">IFERROR(__xludf.DUMMYFUNCTION("""COMPUTED_VALUE"""),"Zenbook UX330UA-AH5Q")</f>
        <v>Zenbook UX330UA-AH5Q</v>
      </c>
      <c r="D385" s="2" t="str">
        <f ca="1">IFERROR(__xludf.DUMMYFUNCTION("""COMPUTED_VALUE"""),"Ultrabook")</f>
        <v>Ultrabook</v>
      </c>
      <c r="E385" s="2">
        <f ca="1">IFERROR(__xludf.DUMMYFUNCTION("""COMPUTED_VALUE"""),13.3)</f>
        <v>13.3</v>
      </c>
      <c r="F385" s="2" t="str">
        <f ca="1">IFERROR(__xludf.DUMMYFUNCTION("""COMPUTED_VALUE"""),"IPS Panel Quad HD+ 3200x1800")</f>
        <v>IPS Panel Quad HD+ 3200x1800</v>
      </c>
      <c r="G385" s="2" t="str">
        <f ca="1">IFERROR(__xludf.DUMMYFUNCTION("""COMPUTED_VALUE"""),"Intel Core i5 7200U 2.5GHz")</f>
        <v>Intel Core i5 7200U 2.5GHz</v>
      </c>
      <c r="H385" s="2" t="str">
        <f ca="1">IFERROR(__xludf.DUMMYFUNCTION("""COMPUTED_VALUE"""),"8GB")</f>
        <v>8GB</v>
      </c>
      <c r="I385" s="2" t="str">
        <f ca="1">IFERROR(__xludf.DUMMYFUNCTION("""COMPUTED_VALUE"""),"256GB SSD")</f>
        <v>256GB SSD</v>
      </c>
      <c r="J385" s="2" t="str">
        <f ca="1">IFERROR(__xludf.DUMMYFUNCTION("""COMPUTED_VALUE"""),"Intel HD Graphics 620")</f>
        <v>Intel HD Graphics 620</v>
      </c>
      <c r="K385" s="2" t="str">
        <f ca="1">IFERROR(__xludf.DUMMYFUNCTION("""COMPUTED_VALUE"""),"Windows 10")</f>
        <v>Windows 10</v>
      </c>
      <c r="L385" s="2" t="str">
        <f ca="1">IFERROR(__xludf.DUMMYFUNCTION("""COMPUTED_VALUE"""),"1.2kg")</f>
        <v>1.2kg</v>
      </c>
      <c r="M385" s="2">
        <f ca="1">IFERROR(__xludf.DUMMYFUNCTION("""COMPUTED_VALUE"""),1129)</f>
        <v>1129</v>
      </c>
    </row>
    <row r="386" spans="1:13">
      <c r="A386" s="2">
        <f ca="1">IFERROR(__xludf.DUMMYFUNCTION("""COMPUTED_VALUE"""),777)</f>
        <v>777</v>
      </c>
      <c r="B386" s="2" t="str">
        <f ca="1">IFERROR(__xludf.DUMMYFUNCTION("""COMPUTED_VALUE"""),"Samsung")</f>
        <v>Samsung</v>
      </c>
      <c r="C386" s="2" t="str">
        <f ca="1">IFERROR(__xludf.DUMMYFUNCTION("""COMPUTED_VALUE"""),"Notebook 9")</f>
        <v>Notebook 9</v>
      </c>
      <c r="D386" s="2" t="str">
        <f ca="1">IFERROR(__xludf.DUMMYFUNCTION("""COMPUTED_VALUE"""),"Ultrabook")</f>
        <v>Ultrabook</v>
      </c>
      <c r="E386" s="2">
        <f ca="1">IFERROR(__xludf.DUMMYFUNCTION("""COMPUTED_VALUE"""),13.3)</f>
        <v>13.3</v>
      </c>
      <c r="F386" s="2" t="str">
        <f ca="1">IFERROR(__xludf.DUMMYFUNCTION("""COMPUTED_VALUE"""),"Full HD / Touchscreen 1920x1080")</f>
        <v>Full HD / Touchscreen 1920x1080</v>
      </c>
      <c r="G386" s="2" t="str">
        <f ca="1">IFERROR(__xludf.DUMMYFUNCTION("""COMPUTED_VALUE"""),"Intel Core i7 7500U 2.7GHz")</f>
        <v>Intel Core i7 7500U 2.7GHz</v>
      </c>
      <c r="H386" s="2" t="str">
        <f ca="1">IFERROR(__xludf.DUMMYFUNCTION("""COMPUTED_VALUE"""),"8GB")</f>
        <v>8GB</v>
      </c>
      <c r="I386" s="2" t="str">
        <f ca="1">IFERROR(__xludf.DUMMYFUNCTION("""COMPUTED_VALUE"""),"256GB SSD")</f>
        <v>256GB SSD</v>
      </c>
      <c r="J386" s="2" t="str">
        <f ca="1">IFERROR(__xludf.DUMMYFUNCTION("""COMPUTED_VALUE"""),"Intel HD Graphics 620")</f>
        <v>Intel HD Graphics 620</v>
      </c>
      <c r="K386" s="2" t="str">
        <f ca="1">IFERROR(__xludf.DUMMYFUNCTION("""COMPUTED_VALUE"""),"Windows 10")</f>
        <v>Windows 10</v>
      </c>
      <c r="L386" s="2" t="str">
        <f ca="1">IFERROR(__xludf.DUMMYFUNCTION("""COMPUTED_VALUE"""),"1.31kg")</f>
        <v>1.31kg</v>
      </c>
      <c r="M386" s="2">
        <f ca="1">IFERROR(__xludf.DUMMYFUNCTION("""COMPUTED_VALUE"""),1599)</f>
        <v>1599</v>
      </c>
    </row>
    <row r="387" spans="1:13">
      <c r="A387" s="2">
        <f ca="1">IFERROR(__xludf.DUMMYFUNCTION("""COMPUTED_VALUE"""),782)</f>
        <v>782</v>
      </c>
      <c r="B387" s="2" t="str">
        <f ca="1">IFERROR(__xludf.DUMMYFUNCTION("""COMPUTED_VALUE"""),"Dell")</f>
        <v>Dell</v>
      </c>
      <c r="C387" s="2" t="str">
        <f ca="1">IFERROR(__xludf.DUMMYFUNCTION("""COMPUTED_VALUE"""),"Inspiron 7567")</f>
        <v>Inspiron 7567</v>
      </c>
      <c r="D387" s="2" t="str">
        <f ca="1">IFERROR(__xludf.DUMMYFUNCTION("""COMPUTED_VALUE"""),"Gaming")</f>
        <v>Gaming</v>
      </c>
      <c r="E387" s="2">
        <f ca="1">IFERROR(__xludf.DUMMYFUNCTION("""COMPUTED_VALUE"""),15.6)</f>
        <v>15.6</v>
      </c>
      <c r="F387" s="2" t="str">
        <f ca="1">IFERROR(__xludf.DUMMYFUNCTION("""COMPUTED_VALUE"""),"Full HD 1920x1080")</f>
        <v>Full HD 1920x1080</v>
      </c>
      <c r="G387" s="2" t="str">
        <f ca="1">IFERROR(__xludf.DUMMYFUNCTION("""COMPUTED_VALUE"""),"Intel Core i7 7700HQ 2.8GHz")</f>
        <v>Intel Core i7 7700HQ 2.8GHz</v>
      </c>
      <c r="H387" s="2" t="str">
        <f ca="1">IFERROR(__xludf.DUMMYFUNCTION("""COMPUTED_VALUE"""),"8GB")</f>
        <v>8GB</v>
      </c>
      <c r="I387" s="2" t="str">
        <f ca="1">IFERROR(__xludf.DUMMYFUNCTION("""COMPUTED_VALUE"""),"1TB HDD")</f>
        <v>1TB HDD</v>
      </c>
      <c r="J387" s="2" t="str">
        <f ca="1">IFERROR(__xludf.DUMMYFUNCTION("""COMPUTED_VALUE"""),"Nvidia GeForce GTX 1050")</f>
        <v>Nvidia GeForce GTX 1050</v>
      </c>
      <c r="K387" s="2" t="str">
        <f ca="1">IFERROR(__xludf.DUMMYFUNCTION("""COMPUTED_VALUE"""),"Windows 10")</f>
        <v>Windows 10</v>
      </c>
      <c r="L387" s="2" t="str">
        <f ca="1">IFERROR(__xludf.DUMMYFUNCTION("""COMPUTED_VALUE"""),"2.62kg")</f>
        <v>2.62kg</v>
      </c>
      <c r="M387" s="2">
        <f ca="1">IFERROR(__xludf.DUMMYFUNCTION("""COMPUTED_VALUE"""),1099)</f>
        <v>1099</v>
      </c>
    </row>
    <row r="388" spans="1:13">
      <c r="A388" s="2">
        <f ca="1">IFERROR(__xludf.DUMMYFUNCTION("""COMPUTED_VALUE"""),788)</f>
        <v>788</v>
      </c>
      <c r="B388" s="2" t="str">
        <f ca="1">IFERROR(__xludf.DUMMYFUNCTION("""COMPUTED_VALUE"""),"Asus")</f>
        <v>Asus</v>
      </c>
      <c r="C388" s="2" t="str">
        <f ca="1">IFERROR(__xludf.DUMMYFUNCTION("""COMPUTED_VALUE"""),"Vivobook Max")</f>
        <v>Vivobook Max</v>
      </c>
      <c r="D388" s="2" t="str">
        <f ca="1">IFERROR(__xludf.DUMMYFUNCTION("""COMPUTED_VALUE"""),"Notebook")</f>
        <v>Notebook</v>
      </c>
      <c r="E388" s="2">
        <f ca="1">IFERROR(__xludf.DUMMYFUNCTION("""COMPUTED_VALUE"""),15.6)</f>
        <v>15.6</v>
      </c>
      <c r="F388" s="2" t="str">
        <f ca="1">IFERROR(__xludf.DUMMYFUNCTION("""COMPUTED_VALUE"""),"1920x1080")</f>
        <v>1920x1080</v>
      </c>
      <c r="G388" s="2" t="str">
        <f ca="1">IFERROR(__xludf.DUMMYFUNCTION("""COMPUTED_VALUE"""),"Intel Pentium Dual Core N4200 1.1GHz")</f>
        <v>Intel Pentium Dual Core N4200 1.1GHz</v>
      </c>
      <c r="H388" s="2" t="str">
        <f ca="1">IFERROR(__xludf.DUMMYFUNCTION("""COMPUTED_VALUE"""),"8GB")</f>
        <v>8GB</v>
      </c>
      <c r="I388" s="2" t="str">
        <f ca="1">IFERROR(__xludf.DUMMYFUNCTION("""COMPUTED_VALUE"""),"128GB SSD")</f>
        <v>128GB SSD</v>
      </c>
      <c r="J388" s="2" t="str">
        <f ca="1">IFERROR(__xludf.DUMMYFUNCTION("""COMPUTED_VALUE"""),"Intel HD Graphics 505")</f>
        <v>Intel HD Graphics 505</v>
      </c>
      <c r="K388" s="2" t="str">
        <f ca="1">IFERROR(__xludf.DUMMYFUNCTION("""COMPUTED_VALUE"""),"Windows 10")</f>
        <v>Windows 10</v>
      </c>
      <c r="L388" s="2" t="str">
        <f ca="1">IFERROR(__xludf.DUMMYFUNCTION("""COMPUTED_VALUE"""),"2kg")</f>
        <v>2kg</v>
      </c>
      <c r="M388" s="2">
        <f ca="1">IFERROR(__xludf.DUMMYFUNCTION("""COMPUTED_VALUE"""),581.9)</f>
        <v>581.9</v>
      </c>
    </row>
    <row r="389" spans="1:13">
      <c r="A389" s="2">
        <f ca="1">IFERROR(__xludf.DUMMYFUNCTION("""COMPUTED_VALUE"""),792)</f>
        <v>792</v>
      </c>
      <c r="B389" s="2" t="str">
        <f ca="1">IFERROR(__xludf.DUMMYFUNCTION("""COMPUTED_VALUE"""),"Lenovo")</f>
        <v>Lenovo</v>
      </c>
      <c r="C389" s="2" t="str">
        <f ca="1">IFERROR(__xludf.DUMMYFUNCTION("""COMPUTED_VALUE"""),"IdeaPad 110-15IBR")</f>
        <v>IdeaPad 110-15IBR</v>
      </c>
      <c r="D389" s="2" t="str">
        <f ca="1">IFERROR(__xludf.DUMMYFUNCTION("""COMPUTED_VALUE"""),"Notebook")</f>
        <v>Notebook</v>
      </c>
      <c r="E389" s="2">
        <f ca="1">IFERROR(__xludf.DUMMYFUNCTION("""COMPUTED_VALUE"""),15.6)</f>
        <v>15.6</v>
      </c>
      <c r="F389" s="2" t="str">
        <f ca="1">IFERROR(__xludf.DUMMYFUNCTION("""COMPUTED_VALUE"""),"1366x768")</f>
        <v>1366x768</v>
      </c>
      <c r="G389" s="2" t="str">
        <f ca="1">IFERROR(__xludf.DUMMYFUNCTION("""COMPUTED_VALUE"""),"Intel Celeron Quad Core N3710 1.6GHz")</f>
        <v>Intel Celeron Quad Core N3710 1.6GHz</v>
      </c>
      <c r="H389" s="2" t="str">
        <f ca="1">IFERROR(__xludf.DUMMYFUNCTION("""COMPUTED_VALUE"""),"8GB")</f>
        <v>8GB</v>
      </c>
      <c r="I389" s="2" t="str">
        <f ca="1">IFERROR(__xludf.DUMMYFUNCTION("""COMPUTED_VALUE"""),"1TB HDD")</f>
        <v>1TB HDD</v>
      </c>
      <c r="J389" s="2" t="str">
        <f ca="1">IFERROR(__xludf.DUMMYFUNCTION("""COMPUTED_VALUE"""),"Intel HD Graphics 405")</f>
        <v>Intel HD Graphics 405</v>
      </c>
      <c r="K389" s="2" t="str">
        <f ca="1">IFERROR(__xludf.DUMMYFUNCTION("""COMPUTED_VALUE"""),"No OS")</f>
        <v>No OS</v>
      </c>
      <c r="L389" s="2" t="str">
        <f ca="1">IFERROR(__xludf.DUMMYFUNCTION("""COMPUTED_VALUE"""),"2.2kg")</f>
        <v>2.2kg</v>
      </c>
      <c r="M389" s="2">
        <f ca="1">IFERROR(__xludf.DUMMYFUNCTION("""COMPUTED_VALUE"""),329)</f>
        <v>329</v>
      </c>
    </row>
    <row r="390" spans="1:13">
      <c r="A390" s="2">
        <f ca="1">IFERROR(__xludf.DUMMYFUNCTION("""COMPUTED_VALUE"""),795)</f>
        <v>795</v>
      </c>
      <c r="B390" s="2" t="str">
        <f ca="1">IFERROR(__xludf.DUMMYFUNCTION("""COMPUTED_VALUE"""),"MSI")</f>
        <v>MSI</v>
      </c>
      <c r="C390" s="2" t="str">
        <f ca="1">IFERROR(__xludf.DUMMYFUNCTION("""COMPUTED_VALUE"""),"GL62M (i5-7300HQ/8GB/1TB")</f>
        <v>GL62M (i5-7300HQ/8GB/1TB</v>
      </c>
      <c r="D390" s="2" t="str">
        <f ca="1">IFERROR(__xludf.DUMMYFUNCTION("""COMPUTED_VALUE"""),"Gaming")</f>
        <v>Gaming</v>
      </c>
      <c r="E390" s="2">
        <f ca="1">IFERROR(__xludf.DUMMYFUNCTION("""COMPUTED_VALUE"""),15.6)</f>
        <v>15.6</v>
      </c>
      <c r="F390" s="2" t="str">
        <f ca="1">IFERROR(__xludf.DUMMYFUNCTION("""COMPUTED_VALUE"""),"Full HD 1920x1080")</f>
        <v>Full HD 1920x1080</v>
      </c>
      <c r="G390" s="2" t="str">
        <f ca="1">IFERROR(__xludf.DUMMYFUNCTION("""COMPUTED_VALUE"""),"Intel Core i5 7300HQ 2.5GHz")</f>
        <v>Intel Core i5 7300HQ 2.5GHz</v>
      </c>
      <c r="H390" s="2" t="str">
        <f ca="1">IFERROR(__xludf.DUMMYFUNCTION("""COMPUTED_VALUE"""),"8GB")</f>
        <v>8GB</v>
      </c>
      <c r="I390" s="2" t="str">
        <f ca="1">IFERROR(__xludf.DUMMYFUNCTION("""COMPUTED_VALUE"""),"128GB SSD +  1TB HDD")</f>
        <v>128GB SSD +  1TB HDD</v>
      </c>
      <c r="J390" s="2" t="str">
        <f ca="1">IFERROR(__xludf.DUMMYFUNCTION("""COMPUTED_VALUE"""),"Nvidia GeForce GTX 1050")</f>
        <v>Nvidia GeForce GTX 1050</v>
      </c>
      <c r="K390" s="2" t="str">
        <f ca="1">IFERROR(__xludf.DUMMYFUNCTION("""COMPUTED_VALUE"""),"Windows 10")</f>
        <v>Windows 10</v>
      </c>
      <c r="L390" s="2" t="str">
        <f ca="1">IFERROR(__xludf.DUMMYFUNCTION("""COMPUTED_VALUE"""),"2.2kg")</f>
        <v>2.2kg</v>
      </c>
      <c r="M390" s="2">
        <f ca="1">IFERROR(__xludf.DUMMYFUNCTION("""COMPUTED_VALUE"""),1089)</f>
        <v>1089</v>
      </c>
    </row>
    <row r="391" spans="1:13">
      <c r="A391" s="2">
        <f ca="1">IFERROR(__xludf.DUMMYFUNCTION("""COMPUTED_VALUE"""),798)</f>
        <v>798</v>
      </c>
      <c r="B391" s="2" t="str">
        <f ca="1">IFERROR(__xludf.DUMMYFUNCTION("""COMPUTED_VALUE"""),"Dell")</f>
        <v>Dell</v>
      </c>
      <c r="C391" s="2" t="str">
        <f ca="1">IFERROR(__xludf.DUMMYFUNCTION("""COMPUTED_VALUE"""),"Inspiron 7567")</f>
        <v>Inspiron 7567</v>
      </c>
      <c r="D391" s="2" t="str">
        <f ca="1">IFERROR(__xludf.DUMMYFUNCTION("""COMPUTED_VALUE"""),"Gaming")</f>
        <v>Gaming</v>
      </c>
      <c r="E391" s="2">
        <f ca="1">IFERROR(__xludf.DUMMYFUNCTION("""COMPUTED_VALUE"""),15.6)</f>
        <v>15.6</v>
      </c>
      <c r="F391" s="2" t="str">
        <f ca="1">IFERROR(__xludf.DUMMYFUNCTION("""COMPUTED_VALUE"""),"Full HD 1920x1080")</f>
        <v>Full HD 1920x1080</v>
      </c>
      <c r="G391" s="2" t="str">
        <f ca="1">IFERROR(__xludf.DUMMYFUNCTION("""COMPUTED_VALUE"""),"Intel Core i5 7300HQ 2.5GHz")</f>
        <v>Intel Core i5 7300HQ 2.5GHz</v>
      </c>
      <c r="H391" s="2" t="str">
        <f ca="1">IFERROR(__xludf.DUMMYFUNCTION("""COMPUTED_VALUE"""),"8GB")</f>
        <v>8GB</v>
      </c>
      <c r="I391" s="2" t="str">
        <f ca="1">IFERROR(__xludf.DUMMYFUNCTION("""COMPUTED_VALUE"""),"256GB SSD")</f>
        <v>256GB SSD</v>
      </c>
      <c r="J391" s="2" t="str">
        <f ca="1">IFERROR(__xludf.DUMMYFUNCTION("""COMPUTED_VALUE"""),"Nvidia GeForce GTX 1050")</f>
        <v>Nvidia GeForce GTX 1050</v>
      </c>
      <c r="K391" s="2" t="str">
        <f ca="1">IFERROR(__xludf.DUMMYFUNCTION("""COMPUTED_VALUE"""),"Windows 10")</f>
        <v>Windows 10</v>
      </c>
      <c r="L391" s="2" t="str">
        <f ca="1">IFERROR(__xludf.DUMMYFUNCTION("""COMPUTED_VALUE"""),"2.62kg")</f>
        <v>2.62kg</v>
      </c>
      <c r="M391" s="2">
        <f ca="1">IFERROR(__xludf.DUMMYFUNCTION("""COMPUTED_VALUE"""),985)</f>
        <v>985</v>
      </c>
    </row>
    <row r="392" spans="1:13">
      <c r="A392" s="2">
        <f ca="1">IFERROR(__xludf.DUMMYFUNCTION("""COMPUTED_VALUE"""),799)</f>
        <v>799</v>
      </c>
      <c r="B392" s="2" t="str">
        <f ca="1">IFERROR(__xludf.DUMMYFUNCTION("""COMPUTED_VALUE"""),"Asus")</f>
        <v>Asus</v>
      </c>
      <c r="C392" s="2" t="str">
        <f ca="1">IFERROR(__xludf.DUMMYFUNCTION("""COMPUTED_VALUE"""),"FX502VM-DM560T (i7-7700HQ/8GB/1TB")</f>
        <v>FX502VM-DM560T (i7-7700HQ/8GB/1TB</v>
      </c>
      <c r="D392" s="2" t="str">
        <f ca="1">IFERROR(__xludf.DUMMYFUNCTION("""COMPUTED_VALUE"""),"Gaming")</f>
        <v>Gaming</v>
      </c>
      <c r="E392" s="2">
        <f ca="1">IFERROR(__xludf.DUMMYFUNCTION("""COMPUTED_VALUE"""),15.6)</f>
        <v>15.6</v>
      </c>
      <c r="F392" s="2" t="str">
        <f ca="1">IFERROR(__xludf.DUMMYFUNCTION("""COMPUTED_VALUE"""),"Full HD 1920x1080")</f>
        <v>Full HD 1920x1080</v>
      </c>
      <c r="G392" s="2" t="str">
        <f ca="1">IFERROR(__xludf.DUMMYFUNCTION("""COMPUTED_VALUE"""),"Intel Core i7 7700HQ 2.8GHz")</f>
        <v>Intel Core i7 7700HQ 2.8GHz</v>
      </c>
      <c r="H392" s="2" t="str">
        <f ca="1">IFERROR(__xludf.DUMMYFUNCTION("""COMPUTED_VALUE"""),"8GB")</f>
        <v>8GB</v>
      </c>
      <c r="I392" s="2" t="str">
        <f ca="1">IFERROR(__xludf.DUMMYFUNCTION("""COMPUTED_VALUE"""),"128GB SSD +  1TB HDD")</f>
        <v>128GB SSD +  1TB HDD</v>
      </c>
      <c r="J392" s="2" t="str">
        <f ca="1">IFERROR(__xludf.DUMMYFUNCTION("""COMPUTED_VALUE"""),"Nvidia GeForce GTX1060")</f>
        <v>Nvidia GeForce GTX1060</v>
      </c>
      <c r="K392" s="2" t="str">
        <f ca="1">IFERROR(__xludf.DUMMYFUNCTION("""COMPUTED_VALUE"""),"Windows 10")</f>
        <v>Windows 10</v>
      </c>
      <c r="L392" s="2" t="str">
        <f ca="1">IFERROR(__xludf.DUMMYFUNCTION("""COMPUTED_VALUE"""),"2.24kg")</f>
        <v>2.24kg</v>
      </c>
      <c r="M392" s="2">
        <f ca="1">IFERROR(__xludf.DUMMYFUNCTION("""COMPUTED_VALUE"""),1339)</f>
        <v>1339</v>
      </c>
    </row>
    <row r="393" spans="1:13">
      <c r="A393" s="2">
        <f ca="1">IFERROR(__xludf.DUMMYFUNCTION("""COMPUTED_VALUE"""),801)</f>
        <v>801</v>
      </c>
      <c r="B393" s="2" t="str">
        <f ca="1">IFERROR(__xludf.DUMMYFUNCTION("""COMPUTED_VALUE"""),"Lenovo")</f>
        <v>Lenovo</v>
      </c>
      <c r="C393" s="2" t="str">
        <f ca="1">IFERROR(__xludf.DUMMYFUNCTION("""COMPUTED_VALUE"""),"ThinkPad Yoga")</f>
        <v>ThinkPad Yoga</v>
      </c>
      <c r="D393" s="2" t="str">
        <f ca="1">IFERROR(__xludf.DUMMYFUNCTION("""COMPUTED_VALUE"""),"2 in 1 Convertible")</f>
        <v>2 in 1 Convertible</v>
      </c>
      <c r="E393" s="2">
        <f ca="1">IFERROR(__xludf.DUMMYFUNCTION("""COMPUTED_VALUE"""),13.3)</f>
        <v>13.3</v>
      </c>
      <c r="F393" s="2" t="str">
        <f ca="1">IFERROR(__xludf.DUMMYFUNCTION("""COMPUTED_VALUE"""),"IPS Panel Full HD / Touchscreen 1920x1080")</f>
        <v>IPS Panel Full HD / Touchscreen 1920x1080</v>
      </c>
      <c r="G393" s="2" t="str">
        <f ca="1">IFERROR(__xludf.DUMMYFUNCTION("""COMPUTED_VALUE"""),"Intel Core i7 7500U 2.7GHz")</f>
        <v>Intel Core i7 7500U 2.7GHz</v>
      </c>
      <c r="H393" s="2" t="str">
        <f ca="1">IFERROR(__xludf.DUMMYFUNCTION("""COMPUTED_VALUE"""),"8GB")</f>
        <v>8GB</v>
      </c>
      <c r="I393" s="2" t="str">
        <f ca="1">IFERROR(__xludf.DUMMYFUNCTION("""COMPUTED_VALUE"""),"512GB SSD")</f>
        <v>512GB SSD</v>
      </c>
      <c r="J393" s="2" t="str">
        <f ca="1">IFERROR(__xludf.DUMMYFUNCTION("""COMPUTED_VALUE"""),"Intel HD Graphics 620")</f>
        <v>Intel HD Graphics 620</v>
      </c>
      <c r="K393" s="2" t="str">
        <f ca="1">IFERROR(__xludf.DUMMYFUNCTION("""COMPUTED_VALUE"""),"Windows 10")</f>
        <v>Windows 10</v>
      </c>
      <c r="L393" s="2" t="str">
        <f ca="1">IFERROR(__xludf.DUMMYFUNCTION("""COMPUTED_VALUE"""),"1.37kg")</f>
        <v>1.37kg</v>
      </c>
      <c r="M393" s="2">
        <f ca="1">IFERROR(__xludf.DUMMYFUNCTION("""COMPUTED_VALUE"""),1970)</f>
        <v>1970</v>
      </c>
    </row>
    <row r="394" spans="1:13">
      <c r="A394" s="2">
        <f ca="1">IFERROR(__xludf.DUMMYFUNCTION("""COMPUTED_VALUE"""),802)</f>
        <v>802</v>
      </c>
      <c r="B394" s="2" t="str">
        <f ca="1">IFERROR(__xludf.DUMMYFUNCTION("""COMPUTED_VALUE"""),"Lenovo")</f>
        <v>Lenovo</v>
      </c>
      <c r="C394" s="2" t="str">
        <f ca="1">IFERROR(__xludf.DUMMYFUNCTION("""COMPUTED_VALUE"""),"Yoga 510-15IKB")</f>
        <v>Yoga 510-15IKB</v>
      </c>
      <c r="D394" s="2" t="str">
        <f ca="1">IFERROR(__xludf.DUMMYFUNCTION("""COMPUTED_VALUE"""),"2 in 1 Convertible")</f>
        <v>2 in 1 Convertible</v>
      </c>
      <c r="E394" s="2">
        <f ca="1">IFERROR(__xludf.DUMMYFUNCTION("""COMPUTED_VALUE"""),15.6)</f>
        <v>15.6</v>
      </c>
      <c r="F394" s="2" t="str">
        <f ca="1">IFERROR(__xludf.DUMMYFUNCTION("""COMPUTED_VALUE"""),"Full HD / Touchscreen 1920x1080")</f>
        <v>Full HD / Touchscreen 1920x1080</v>
      </c>
      <c r="G394" s="2" t="str">
        <f ca="1">IFERROR(__xludf.DUMMYFUNCTION("""COMPUTED_VALUE"""),"Intel Core i5 7200U 2.5GHz")</f>
        <v>Intel Core i5 7200U 2.5GHz</v>
      </c>
      <c r="H394" s="2" t="str">
        <f ca="1">IFERROR(__xludf.DUMMYFUNCTION("""COMPUTED_VALUE"""),"8GB")</f>
        <v>8GB</v>
      </c>
      <c r="I394" s="2" t="str">
        <f ca="1">IFERROR(__xludf.DUMMYFUNCTION("""COMPUTED_VALUE"""),"256GB SSD")</f>
        <v>256GB SSD</v>
      </c>
      <c r="J394" s="2" t="str">
        <f ca="1">IFERROR(__xludf.DUMMYFUNCTION("""COMPUTED_VALUE"""),"AMD Radeon R7 M460")</f>
        <v>AMD Radeon R7 M460</v>
      </c>
      <c r="K394" s="2" t="str">
        <f ca="1">IFERROR(__xludf.DUMMYFUNCTION("""COMPUTED_VALUE"""),"Windows 10")</f>
        <v>Windows 10</v>
      </c>
      <c r="L394" s="2" t="str">
        <f ca="1">IFERROR(__xludf.DUMMYFUNCTION("""COMPUTED_VALUE"""),"2.08kg")</f>
        <v>2.08kg</v>
      </c>
      <c r="M394" s="2">
        <f ca="1">IFERROR(__xludf.DUMMYFUNCTION("""COMPUTED_VALUE"""),959)</f>
        <v>959</v>
      </c>
    </row>
    <row r="395" spans="1:13">
      <c r="A395" s="2">
        <f ca="1">IFERROR(__xludf.DUMMYFUNCTION("""COMPUTED_VALUE"""),803)</f>
        <v>803</v>
      </c>
      <c r="B395" s="2" t="str">
        <f ca="1">IFERROR(__xludf.DUMMYFUNCTION("""COMPUTED_VALUE"""),"Apple")</f>
        <v>Apple</v>
      </c>
      <c r="C395" s="2" t="str">
        <f ca="1">IFERROR(__xludf.DUMMYFUNCTION("""COMPUTED_VALUE"""),"MacBook 12""")</f>
        <v>MacBook 12"</v>
      </c>
      <c r="D395" s="2" t="str">
        <f ca="1">IFERROR(__xludf.DUMMYFUNCTION("""COMPUTED_VALUE"""),"Ultrabook")</f>
        <v>Ultrabook</v>
      </c>
      <c r="E395" s="2">
        <f ca="1">IFERROR(__xludf.DUMMYFUNCTION("""COMPUTED_VALUE"""),12)</f>
        <v>12</v>
      </c>
      <c r="F395" s="2" t="str">
        <f ca="1">IFERROR(__xludf.DUMMYFUNCTION("""COMPUTED_VALUE"""),"IPS Panel Retina Display 2304x1440")</f>
        <v>IPS Panel Retina Display 2304x1440</v>
      </c>
      <c r="G395" s="2" t="str">
        <f ca="1">IFERROR(__xludf.DUMMYFUNCTION("""COMPUTED_VALUE"""),"Intel Core M 1.2GHz")</f>
        <v>Intel Core M 1.2GHz</v>
      </c>
      <c r="H395" s="2" t="str">
        <f ca="1">IFERROR(__xludf.DUMMYFUNCTION("""COMPUTED_VALUE"""),"8GB")</f>
        <v>8GB</v>
      </c>
      <c r="I395" s="2" t="str">
        <f ca="1">IFERROR(__xludf.DUMMYFUNCTION("""COMPUTED_VALUE"""),"512GB Flash Storage")</f>
        <v>512GB Flash Storage</v>
      </c>
      <c r="J395" s="2" t="str">
        <f ca="1">IFERROR(__xludf.DUMMYFUNCTION("""COMPUTED_VALUE"""),"Intel HD Graphics 5300")</f>
        <v>Intel HD Graphics 5300</v>
      </c>
      <c r="K395" s="2" t="str">
        <f ca="1">IFERROR(__xludf.DUMMYFUNCTION("""COMPUTED_VALUE"""),"Mac OS X")</f>
        <v>Mac OS X</v>
      </c>
      <c r="L395" s="2" t="str">
        <f ca="1">IFERROR(__xludf.DUMMYFUNCTION("""COMPUTED_VALUE"""),"0.920kg")</f>
        <v>0.920kg</v>
      </c>
      <c r="M395" s="2">
        <f ca="1">IFERROR(__xludf.DUMMYFUNCTION("""COMPUTED_VALUE"""),1165)</f>
        <v>1165</v>
      </c>
    </row>
    <row r="396" spans="1:13">
      <c r="A396" s="2">
        <f ca="1">IFERROR(__xludf.DUMMYFUNCTION("""COMPUTED_VALUE"""),804)</f>
        <v>804</v>
      </c>
      <c r="B396" s="2" t="str">
        <f ca="1">IFERROR(__xludf.DUMMYFUNCTION("""COMPUTED_VALUE"""),"Lenovo")</f>
        <v>Lenovo</v>
      </c>
      <c r="C396" s="2" t="str">
        <f ca="1">IFERROR(__xludf.DUMMYFUNCTION("""COMPUTED_VALUE"""),"ThinkPad X1")</f>
        <v>ThinkPad X1</v>
      </c>
      <c r="D396" s="2" t="str">
        <f ca="1">IFERROR(__xludf.DUMMYFUNCTION("""COMPUTED_VALUE"""),"2 in 1 Convertible")</f>
        <v>2 in 1 Convertible</v>
      </c>
      <c r="E396" s="2">
        <f ca="1">IFERROR(__xludf.DUMMYFUNCTION("""COMPUTED_VALUE"""),14)</f>
        <v>14</v>
      </c>
      <c r="F396" s="2" t="str">
        <f ca="1">IFERROR(__xludf.DUMMYFUNCTION("""COMPUTED_VALUE"""),"IPS Panel Touchscreen 2560x1440")</f>
        <v>IPS Panel Touchscreen 2560x1440</v>
      </c>
      <c r="G396" s="2" t="str">
        <f ca="1">IFERROR(__xludf.DUMMYFUNCTION("""COMPUTED_VALUE"""),"Intel Core i5 7200U 2.5GHz")</f>
        <v>Intel Core i5 7200U 2.5GHz</v>
      </c>
      <c r="H396" s="2" t="str">
        <f ca="1">IFERROR(__xludf.DUMMYFUNCTION("""COMPUTED_VALUE"""),"8GB")</f>
        <v>8GB</v>
      </c>
      <c r="I396" s="2" t="str">
        <f ca="1">IFERROR(__xludf.DUMMYFUNCTION("""COMPUTED_VALUE"""),"256GB SSD")</f>
        <v>256GB SSD</v>
      </c>
      <c r="J396" s="2" t="str">
        <f ca="1">IFERROR(__xludf.DUMMYFUNCTION("""COMPUTED_VALUE"""),"Intel HD Graphics 620")</f>
        <v>Intel HD Graphics 620</v>
      </c>
      <c r="K396" s="2" t="str">
        <f ca="1">IFERROR(__xludf.DUMMYFUNCTION("""COMPUTED_VALUE"""),"Windows 10")</f>
        <v>Windows 10</v>
      </c>
      <c r="L396" s="2" t="str">
        <f ca="1">IFERROR(__xludf.DUMMYFUNCTION("""COMPUTED_VALUE"""),"1.42kg")</f>
        <v>1.42kg</v>
      </c>
      <c r="M396" s="2">
        <f ca="1">IFERROR(__xludf.DUMMYFUNCTION("""COMPUTED_VALUE"""),2330)</f>
        <v>2330</v>
      </c>
    </row>
    <row r="397" spans="1:13">
      <c r="A397" s="2">
        <f ca="1">IFERROR(__xludf.DUMMYFUNCTION("""COMPUTED_VALUE"""),806)</f>
        <v>806</v>
      </c>
      <c r="B397" s="2" t="str">
        <f ca="1">IFERROR(__xludf.DUMMYFUNCTION("""COMPUTED_VALUE"""),"Dell")</f>
        <v>Dell</v>
      </c>
      <c r="C397" s="2" t="str">
        <f ca="1">IFERROR(__xludf.DUMMYFUNCTION("""COMPUTED_VALUE"""),"Latitude 3580")</f>
        <v>Latitude 3580</v>
      </c>
      <c r="D397" s="2" t="str">
        <f ca="1">IFERROR(__xludf.DUMMYFUNCTION("""COMPUTED_VALUE"""),"Notebook")</f>
        <v>Notebook</v>
      </c>
      <c r="E397" s="2">
        <f ca="1">IFERROR(__xludf.DUMMYFUNCTION("""COMPUTED_VALUE"""),15.6)</f>
        <v>15.6</v>
      </c>
      <c r="F397" s="2" t="str">
        <f ca="1">IFERROR(__xludf.DUMMYFUNCTION("""COMPUTED_VALUE"""),"1366x768")</f>
        <v>1366x768</v>
      </c>
      <c r="G397" s="2" t="str">
        <f ca="1">IFERROR(__xludf.DUMMYFUNCTION("""COMPUTED_VALUE"""),"Intel Core i5 7200U 2.5GHz")</f>
        <v>Intel Core i5 7200U 2.5GHz</v>
      </c>
      <c r="H397" s="2" t="str">
        <f ca="1">IFERROR(__xludf.DUMMYFUNCTION("""COMPUTED_VALUE"""),"8GB")</f>
        <v>8GB</v>
      </c>
      <c r="I397" s="2" t="str">
        <f ca="1">IFERROR(__xludf.DUMMYFUNCTION("""COMPUTED_VALUE"""),"128GB SSD")</f>
        <v>128GB SSD</v>
      </c>
      <c r="J397" s="2" t="str">
        <f ca="1">IFERROR(__xludf.DUMMYFUNCTION("""COMPUTED_VALUE"""),"Intel HD Graphics 620")</f>
        <v>Intel HD Graphics 620</v>
      </c>
      <c r="K397" s="2" t="str">
        <f ca="1">IFERROR(__xludf.DUMMYFUNCTION("""COMPUTED_VALUE"""),"Windows 10")</f>
        <v>Windows 10</v>
      </c>
      <c r="L397" s="2" t="str">
        <f ca="1">IFERROR(__xludf.DUMMYFUNCTION("""COMPUTED_VALUE"""),"1.95kg")</f>
        <v>1.95kg</v>
      </c>
      <c r="M397" s="2">
        <f ca="1">IFERROR(__xludf.DUMMYFUNCTION("""COMPUTED_VALUE"""),810)</f>
        <v>810</v>
      </c>
    </row>
    <row r="398" spans="1:13">
      <c r="A398" s="2">
        <f ca="1">IFERROR(__xludf.DUMMYFUNCTION("""COMPUTED_VALUE"""),807)</f>
        <v>807</v>
      </c>
      <c r="B398" s="2" t="str">
        <f ca="1">IFERROR(__xludf.DUMMYFUNCTION("""COMPUTED_VALUE"""),"Lenovo")</f>
        <v>Lenovo</v>
      </c>
      <c r="C398" s="2" t="str">
        <f ca="1">IFERROR(__xludf.DUMMYFUNCTION("""COMPUTED_VALUE"""),"Yoga 910-13IKB")</f>
        <v>Yoga 910-13IKB</v>
      </c>
      <c r="D398" s="2" t="str">
        <f ca="1">IFERROR(__xludf.DUMMYFUNCTION("""COMPUTED_VALUE"""),"2 in 1 Convertible")</f>
        <v>2 in 1 Convertible</v>
      </c>
      <c r="E398" s="2">
        <f ca="1">IFERROR(__xludf.DUMMYFUNCTION("""COMPUTED_VALUE"""),13.9)</f>
        <v>13.9</v>
      </c>
      <c r="F398" s="2" t="str">
        <f ca="1">IFERROR(__xludf.DUMMYFUNCTION("""COMPUTED_VALUE"""),"IPS Panel Full HD / Touchscreen 1920x1080")</f>
        <v>IPS Panel Full HD / Touchscreen 1920x1080</v>
      </c>
      <c r="G398" s="2" t="str">
        <f ca="1">IFERROR(__xludf.DUMMYFUNCTION("""COMPUTED_VALUE"""),"Intel Core i7 7500U 2.7GHz")</f>
        <v>Intel Core i7 7500U 2.7GHz</v>
      </c>
      <c r="H398" s="2" t="str">
        <f ca="1">IFERROR(__xludf.DUMMYFUNCTION("""COMPUTED_VALUE"""),"8GB")</f>
        <v>8GB</v>
      </c>
      <c r="I398" s="2" t="str">
        <f ca="1">IFERROR(__xludf.DUMMYFUNCTION("""COMPUTED_VALUE"""),"256GB SSD")</f>
        <v>256GB SSD</v>
      </c>
      <c r="J398" s="2" t="str">
        <f ca="1">IFERROR(__xludf.DUMMYFUNCTION("""COMPUTED_VALUE"""),"Intel HD Graphics 620")</f>
        <v>Intel HD Graphics 620</v>
      </c>
      <c r="K398" s="2" t="str">
        <f ca="1">IFERROR(__xludf.DUMMYFUNCTION("""COMPUTED_VALUE"""),"Windows 10")</f>
        <v>Windows 10</v>
      </c>
      <c r="L398" s="2" t="str">
        <f ca="1">IFERROR(__xludf.DUMMYFUNCTION("""COMPUTED_VALUE"""),"1.38kg")</f>
        <v>1.38kg</v>
      </c>
      <c r="M398" s="2">
        <f ca="1">IFERROR(__xludf.DUMMYFUNCTION("""COMPUTED_VALUE"""),1349)</f>
        <v>1349</v>
      </c>
    </row>
    <row r="399" spans="1:13">
      <c r="A399" s="2">
        <f ca="1">IFERROR(__xludf.DUMMYFUNCTION("""COMPUTED_VALUE"""),808)</f>
        <v>808</v>
      </c>
      <c r="B399" s="2" t="str">
        <f ca="1">IFERROR(__xludf.DUMMYFUNCTION("""COMPUTED_VALUE"""),"Dell")</f>
        <v>Dell</v>
      </c>
      <c r="C399" s="2" t="str">
        <f ca="1">IFERROR(__xludf.DUMMYFUNCTION("""COMPUTED_VALUE"""),"Vostro 5568")</f>
        <v>Vostro 5568</v>
      </c>
      <c r="D399" s="2" t="str">
        <f ca="1">IFERROR(__xludf.DUMMYFUNCTION("""COMPUTED_VALUE"""),"Notebook")</f>
        <v>Notebook</v>
      </c>
      <c r="E399" s="2">
        <f ca="1">IFERROR(__xludf.DUMMYFUNCTION("""COMPUTED_VALUE"""),15.6)</f>
        <v>15.6</v>
      </c>
      <c r="F399" s="2" t="str">
        <f ca="1">IFERROR(__xludf.DUMMYFUNCTION("""COMPUTED_VALUE"""),"Full HD 1920x1080")</f>
        <v>Full HD 1920x1080</v>
      </c>
      <c r="G399" s="2" t="str">
        <f ca="1">IFERROR(__xludf.DUMMYFUNCTION("""COMPUTED_VALUE"""),"Intel Core i3 6006U 2GHz")</f>
        <v>Intel Core i3 6006U 2GHz</v>
      </c>
      <c r="H399" s="2" t="str">
        <f ca="1">IFERROR(__xludf.DUMMYFUNCTION("""COMPUTED_VALUE"""),"8GB")</f>
        <v>8GB</v>
      </c>
      <c r="I399" s="2" t="str">
        <f ca="1">IFERROR(__xludf.DUMMYFUNCTION("""COMPUTED_VALUE"""),"256GB SSD")</f>
        <v>256GB SSD</v>
      </c>
      <c r="J399" s="2" t="str">
        <f ca="1">IFERROR(__xludf.DUMMYFUNCTION("""COMPUTED_VALUE"""),"AMD Radeon R5 M420X")</f>
        <v>AMD Radeon R5 M420X</v>
      </c>
      <c r="K399" s="2" t="str">
        <f ca="1">IFERROR(__xludf.DUMMYFUNCTION("""COMPUTED_VALUE"""),"Windows 10")</f>
        <v>Windows 10</v>
      </c>
      <c r="L399" s="2" t="str">
        <f ca="1">IFERROR(__xludf.DUMMYFUNCTION("""COMPUTED_VALUE"""),"2kg")</f>
        <v>2kg</v>
      </c>
      <c r="M399" s="2">
        <f ca="1">IFERROR(__xludf.DUMMYFUNCTION("""COMPUTED_VALUE"""),739)</f>
        <v>739</v>
      </c>
    </row>
    <row r="400" spans="1:13">
      <c r="A400" s="2">
        <f ca="1">IFERROR(__xludf.DUMMYFUNCTION("""COMPUTED_VALUE"""),809)</f>
        <v>809</v>
      </c>
      <c r="B400" s="2" t="str">
        <f ca="1">IFERROR(__xludf.DUMMYFUNCTION("""COMPUTED_VALUE"""),"HP")</f>
        <v>HP</v>
      </c>
      <c r="C400" s="2" t="str">
        <f ca="1">IFERROR(__xludf.DUMMYFUNCTION("""COMPUTED_VALUE"""),"ZBook 17")</f>
        <v>ZBook 17</v>
      </c>
      <c r="D400" s="2" t="str">
        <f ca="1">IFERROR(__xludf.DUMMYFUNCTION("""COMPUTED_VALUE"""),"Workstation")</f>
        <v>Workstation</v>
      </c>
      <c r="E400" s="2">
        <f ca="1">IFERROR(__xludf.DUMMYFUNCTION("""COMPUTED_VALUE"""),15.6)</f>
        <v>15.6</v>
      </c>
      <c r="F400" s="2" t="str">
        <f ca="1">IFERROR(__xludf.DUMMYFUNCTION("""COMPUTED_VALUE"""),"Full HD 1920x1080")</f>
        <v>Full HD 1920x1080</v>
      </c>
      <c r="G400" s="2" t="str">
        <f ca="1">IFERROR(__xludf.DUMMYFUNCTION("""COMPUTED_VALUE"""),"Intel Core i7 7700HQ 2.8GHz")</f>
        <v>Intel Core i7 7700HQ 2.8GHz</v>
      </c>
      <c r="H400" s="2" t="str">
        <f ca="1">IFERROR(__xludf.DUMMYFUNCTION("""COMPUTED_VALUE"""),"8GB")</f>
        <v>8GB</v>
      </c>
      <c r="I400" s="2" t="str">
        <f ca="1">IFERROR(__xludf.DUMMYFUNCTION("""COMPUTED_VALUE"""),"256GB SSD")</f>
        <v>256GB SSD</v>
      </c>
      <c r="J400" s="2" t="str">
        <f ca="1">IFERROR(__xludf.DUMMYFUNCTION("""COMPUTED_VALUE"""),"Nvidia Quadro M2200")</f>
        <v>Nvidia Quadro M2200</v>
      </c>
      <c r="K400" s="2" t="str">
        <f ca="1">IFERROR(__xludf.DUMMYFUNCTION("""COMPUTED_VALUE"""),"Windows 10")</f>
        <v>Windows 10</v>
      </c>
      <c r="L400" s="2" t="str">
        <f ca="1">IFERROR(__xludf.DUMMYFUNCTION("""COMPUTED_VALUE"""),"3.14kg")</f>
        <v>3.14kg</v>
      </c>
      <c r="M400" s="2">
        <f ca="1">IFERROR(__xludf.DUMMYFUNCTION("""COMPUTED_VALUE"""),2064.9)</f>
        <v>2064.9</v>
      </c>
    </row>
    <row r="401" spans="1:13">
      <c r="A401" s="2">
        <f ca="1">IFERROR(__xludf.DUMMYFUNCTION("""COMPUTED_VALUE"""),810)</f>
        <v>810</v>
      </c>
      <c r="B401" s="2" t="str">
        <f ca="1">IFERROR(__xludf.DUMMYFUNCTION("""COMPUTED_VALUE"""),"Asus")</f>
        <v>Asus</v>
      </c>
      <c r="C401" s="2" t="str">
        <f ca="1">IFERROR(__xludf.DUMMYFUNCTION("""COMPUTED_VALUE"""),"Pro P2540UA-XS51")</f>
        <v>Pro P2540UA-XS51</v>
      </c>
      <c r="D401" s="2" t="str">
        <f ca="1">IFERROR(__xludf.DUMMYFUNCTION("""COMPUTED_VALUE"""),"Notebook")</f>
        <v>Notebook</v>
      </c>
      <c r="E401" s="2">
        <f ca="1">IFERROR(__xludf.DUMMYFUNCTION("""COMPUTED_VALUE"""),15.6)</f>
        <v>15.6</v>
      </c>
      <c r="F401" s="2" t="str">
        <f ca="1">IFERROR(__xludf.DUMMYFUNCTION("""COMPUTED_VALUE"""),"Full HD 1920x1080")</f>
        <v>Full HD 1920x1080</v>
      </c>
      <c r="G401" s="2" t="str">
        <f ca="1">IFERROR(__xludf.DUMMYFUNCTION("""COMPUTED_VALUE"""),"Intel Core i5 7200U 2.5GHz")</f>
        <v>Intel Core i5 7200U 2.5GHz</v>
      </c>
      <c r="H401" s="2" t="str">
        <f ca="1">IFERROR(__xludf.DUMMYFUNCTION("""COMPUTED_VALUE"""),"8GB")</f>
        <v>8GB</v>
      </c>
      <c r="I401" s="2" t="str">
        <f ca="1">IFERROR(__xludf.DUMMYFUNCTION("""COMPUTED_VALUE"""),"256GB SSD")</f>
        <v>256GB SSD</v>
      </c>
      <c r="J401" s="2" t="str">
        <f ca="1">IFERROR(__xludf.DUMMYFUNCTION("""COMPUTED_VALUE"""),"Intel HD Graphics 620")</f>
        <v>Intel HD Graphics 620</v>
      </c>
      <c r="K401" s="2" t="str">
        <f ca="1">IFERROR(__xludf.DUMMYFUNCTION("""COMPUTED_VALUE"""),"Windows 10")</f>
        <v>Windows 10</v>
      </c>
      <c r="L401" s="2" t="str">
        <f ca="1">IFERROR(__xludf.DUMMYFUNCTION("""COMPUTED_VALUE"""),"2.37kg")</f>
        <v>2.37kg</v>
      </c>
      <c r="M401" s="2">
        <f ca="1">IFERROR(__xludf.DUMMYFUNCTION("""COMPUTED_VALUE"""),1099)</f>
        <v>1099</v>
      </c>
    </row>
    <row r="402" spans="1:13">
      <c r="A402" s="2">
        <f ca="1">IFERROR(__xludf.DUMMYFUNCTION("""COMPUTED_VALUE"""),811)</f>
        <v>811</v>
      </c>
      <c r="B402" s="2" t="str">
        <f ca="1">IFERROR(__xludf.DUMMYFUNCTION("""COMPUTED_VALUE"""),"Dell")</f>
        <v>Dell</v>
      </c>
      <c r="C402" s="2" t="str">
        <f ca="1">IFERROR(__xludf.DUMMYFUNCTION("""COMPUTED_VALUE"""),"XPS 13")</f>
        <v>XPS 13</v>
      </c>
      <c r="D402" s="2" t="str">
        <f ca="1">IFERROR(__xludf.DUMMYFUNCTION("""COMPUTED_VALUE"""),"Ultrabook")</f>
        <v>Ultrabook</v>
      </c>
      <c r="E402" s="2">
        <f ca="1">IFERROR(__xludf.DUMMYFUNCTION("""COMPUTED_VALUE"""),13.3)</f>
        <v>13.3</v>
      </c>
      <c r="F402" s="2" t="str">
        <f ca="1">IFERROR(__xludf.DUMMYFUNCTION("""COMPUTED_VALUE"""),"Full HD 1920x1080")</f>
        <v>Full HD 1920x1080</v>
      </c>
      <c r="G402" s="2" t="str">
        <f ca="1">IFERROR(__xludf.DUMMYFUNCTION("""COMPUTED_VALUE"""),"Intel Core i5 7200U 2.5GHz")</f>
        <v>Intel Core i5 7200U 2.5GHz</v>
      </c>
      <c r="H402" s="2" t="str">
        <f ca="1">IFERROR(__xludf.DUMMYFUNCTION("""COMPUTED_VALUE"""),"8GB")</f>
        <v>8GB</v>
      </c>
      <c r="I402" s="2" t="str">
        <f ca="1">IFERROR(__xludf.DUMMYFUNCTION("""COMPUTED_VALUE"""),"256GB SSD")</f>
        <v>256GB SSD</v>
      </c>
      <c r="J402" s="2" t="str">
        <f ca="1">IFERROR(__xludf.DUMMYFUNCTION("""COMPUTED_VALUE"""),"Intel HD Graphics 620")</f>
        <v>Intel HD Graphics 620</v>
      </c>
      <c r="K402" s="2" t="str">
        <f ca="1">IFERROR(__xludf.DUMMYFUNCTION("""COMPUTED_VALUE"""),"Windows 10")</f>
        <v>Windows 10</v>
      </c>
      <c r="L402" s="2" t="str">
        <f ca="1">IFERROR(__xludf.DUMMYFUNCTION("""COMPUTED_VALUE"""),"1.29kg")</f>
        <v>1.29kg</v>
      </c>
      <c r="M402" s="2">
        <f ca="1">IFERROR(__xludf.DUMMYFUNCTION("""COMPUTED_VALUE"""),1499)</f>
        <v>1499</v>
      </c>
    </row>
    <row r="403" spans="1:13">
      <c r="A403" s="2">
        <f ca="1">IFERROR(__xludf.DUMMYFUNCTION("""COMPUTED_VALUE"""),812)</f>
        <v>812</v>
      </c>
      <c r="B403" s="2" t="str">
        <f ca="1">IFERROR(__xludf.DUMMYFUNCTION("""COMPUTED_VALUE"""),"Dell")</f>
        <v>Dell</v>
      </c>
      <c r="C403" s="2" t="str">
        <f ca="1">IFERROR(__xludf.DUMMYFUNCTION("""COMPUTED_VALUE"""),"XPS 15")</f>
        <v>XPS 15</v>
      </c>
      <c r="D403" s="2" t="str">
        <f ca="1">IFERROR(__xludf.DUMMYFUNCTION("""COMPUTED_VALUE"""),"Notebook")</f>
        <v>Notebook</v>
      </c>
      <c r="E403" s="2">
        <f ca="1">IFERROR(__xludf.DUMMYFUNCTION("""COMPUTED_VALUE"""),15.6)</f>
        <v>15.6</v>
      </c>
      <c r="F403" s="2" t="str">
        <f ca="1">IFERROR(__xludf.DUMMYFUNCTION("""COMPUTED_VALUE"""),"4K Ultra HD / Touchscreen 3840x2160")</f>
        <v>4K Ultra HD / Touchscreen 3840x2160</v>
      </c>
      <c r="G403" s="2" t="str">
        <f ca="1">IFERROR(__xludf.DUMMYFUNCTION("""COMPUTED_VALUE"""),"Intel Core i5 7300HQ 2.5GHz")</f>
        <v>Intel Core i5 7300HQ 2.5GHz</v>
      </c>
      <c r="H403" s="2" t="str">
        <f ca="1">IFERROR(__xludf.DUMMYFUNCTION("""COMPUTED_VALUE"""),"8GB")</f>
        <v>8GB</v>
      </c>
      <c r="I403" s="2" t="str">
        <f ca="1">IFERROR(__xludf.DUMMYFUNCTION("""COMPUTED_VALUE"""),"256GB SSD")</f>
        <v>256GB SSD</v>
      </c>
      <c r="J403" s="2" t="str">
        <f ca="1">IFERROR(__xludf.DUMMYFUNCTION("""COMPUTED_VALUE"""),"Nvidia GeForce GTX 1050")</f>
        <v>Nvidia GeForce GTX 1050</v>
      </c>
      <c r="K403" s="2" t="str">
        <f ca="1">IFERROR(__xludf.DUMMYFUNCTION("""COMPUTED_VALUE"""),"Windows 10")</f>
        <v>Windows 10</v>
      </c>
      <c r="L403" s="2" t="str">
        <f ca="1">IFERROR(__xludf.DUMMYFUNCTION("""COMPUTED_VALUE"""),"2.06kg")</f>
        <v>2.06kg</v>
      </c>
      <c r="M403" s="2">
        <f ca="1">IFERROR(__xludf.DUMMYFUNCTION("""COMPUTED_VALUE"""),1749)</f>
        <v>1749</v>
      </c>
    </row>
    <row r="404" spans="1:13">
      <c r="A404" s="2">
        <f ca="1">IFERROR(__xludf.DUMMYFUNCTION("""COMPUTED_VALUE"""),814)</f>
        <v>814</v>
      </c>
      <c r="B404" s="2" t="str">
        <f ca="1">IFERROR(__xludf.DUMMYFUNCTION("""COMPUTED_VALUE"""),"HP")</f>
        <v>HP</v>
      </c>
      <c r="C404" s="2" t="str">
        <f ca="1">IFERROR(__xludf.DUMMYFUNCTION("""COMPUTED_VALUE"""),"EliteBook 820")</f>
        <v>EliteBook 820</v>
      </c>
      <c r="D404" s="2" t="str">
        <f ca="1">IFERROR(__xludf.DUMMYFUNCTION("""COMPUTED_VALUE"""),"Netbook")</f>
        <v>Netbook</v>
      </c>
      <c r="E404" s="2">
        <f ca="1">IFERROR(__xludf.DUMMYFUNCTION("""COMPUTED_VALUE"""),12.5)</f>
        <v>12.5</v>
      </c>
      <c r="F404" s="2" t="str">
        <f ca="1">IFERROR(__xludf.DUMMYFUNCTION("""COMPUTED_VALUE"""),"1366x768")</f>
        <v>1366x768</v>
      </c>
      <c r="G404" s="2" t="str">
        <f ca="1">IFERROR(__xludf.DUMMYFUNCTION("""COMPUTED_VALUE"""),"Intel Core i5 7300U 2.6GHz")</f>
        <v>Intel Core i5 7300U 2.6GHz</v>
      </c>
      <c r="H404" s="2" t="str">
        <f ca="1">IFERROR(__xludf.DUMMYFUNCTION("""COMPUTED_VALUE"""),"8GB")</f>
        <v>8GB</v>
      </c>
      <c r="I404" s="2" t="str">
        <f ca="1">IFERROR(__xludf.DUMMYFUNCTION("""COMPUTED_VALUE"""),"256GB SSD")</f>
        <v>256GB SSD</v>
      </c>
      <c r="J404" s="2" t="str">
        <f ca="1">IFERROR(__xludf.DUMMYFUNCTION("""COMPUTED_VALUE"""),"Intel HD Graphics 620")</f>
        <v>Intel HD Graphics 620</v>
      </c>
      <c r="K404" s="2" t="str">
        <f ca="1">IFERROR(__xludf.DUMMYFUNCTION("""COMPUTED_VALUE"""),"Windows 10")</f>
        <v>Windows 10</v>
      </c>
      <c r="L404" s="2" t="str">
        <f ca="1">IFERROR(__xludf.DUMMYFUNCTION("""COMPUTED_VALUE"""),"1.26kg")</f>
        <v>1.26kg</v>
      </c>
      <c r="M404" s="2">
        <f ca="1">IFERROR(__xludf.DUMMYFUNCTION("""COMPUTED_VALUE"""),1389)</f>
        <v>1389</v>
      </c>
    </row>
    <row r="405" spans="1:13">
      <c r="A405" s="2">
        <f ca="1">IFERROR(__xludf.DUMMYFUNCTION("""COMPUTED_VALUE"""),816)</f>
        <v>816</v>
      </c>
      <c r="B405" s="2" t="str">
        <f ca="1">IFERROR(__xludf.DUMMYFUNCTION("""COMPUTED_VALUE"""),"HP")</f>
        <v>HP</v>
      </c>
      <c r="C405" s="2" t="str">
        <f ca="1">IFERROR(__xludf.DUMMYFUNCTION("""COMPUTED_VALUE"""),"15-ba043na (A12-9700P/8GB/2TB/W10)")</f>
        <v>15-ba043na (A12-9700P/8GB/2TB/W10)</v>
      </c>
      <c r="D405" s="2" t="str">
        <f ca="1">IFERROR(__xludf.DUMMYFUNCTION("""COMPUTED_VALUE"""),"Notebook")</f>
        <v>Notebook</v>
      </c>
      <c r="E405" s="2">
        <f ca="1">IFERROR(__xludf.DUMMYFUNCTION("""COMPUTED_VALUE"""),15.6)</f>
        <v>15.6</v>
      </c>
      <c r="F405" s="2" t="str">
        <f ca="1">IFERROR(__xludf.DUMMYFUNCTION("""COMPUTED_VALUE"""),"1366x768")</f>
        <v>1366x768</v>
      </c>
      <c r="G405" s="2" t="str">
        <f ca="1">IFERROR(__xludf.DUMMYFUNCTION("""COMPUTED_VALUE"""),"AMD A12-Series 9700P 2.5GHz")</f>
        <v>AMD A12-Series 9700P 2.5GHz</v>
      </c>
      <c r="H405" s="2" t="str">
        <f ca="1">IFERROR(__xludf.DUMMYFUNCTION("""COMPUTED_VALUE"""),"8GB")</f>
        <v>8GB</v>
      </c>
      <c r="I405" s="2" t="str">
        <f ca="1">IFERROR(__xludf.DUMMYFUNCTION("""COMPUTED_VALUE"""),"2TB HDD")</f>
        <v>2TB HDD</v>
      </c>
      <c r="J405" s="2" t="str">
        <f ca="1">IFERROR(__xludf.DUMMYFUNCTION("""COMPUTED_VALUE"""),"AMD Radeon R7 Graphics")</f>
        <v>AMD Radeon R7 Graphics</v>
      </c>
      <c r="K405" s="2" t="str">
        <f ca="1">IFERROR(__xludf.DUMMYFUNCTION("""COMPUTED_VALUE"""),"Windows 10")</f>
        <v>Windows 10</v>
      </c>
      <c r="L405" s="2" t="str">
        <f ca="1">IFERROR(__xludf.DUMMYFUNCTION("""COMPUTED_VALUE"""),"2.04kg")</f>
        <v>2.04kg</v>
      </c>
      <c r="M405" s="2">
        <f ca="1">IFERROR(__xludf.DUMMYFUNCTION("""COMPUTED_VALUE"""),629)</f>
        <v>629</v>
      </c>
    </row>
    <row r="406" spans="1:13">
      <c r="A406" s="2">
        <f ca="1">IFERROR(__xludf.DUMMYFUNCTION("""COMPUTED_VALUE"""),821)</f>
        <v>821</v>
      </c>
      <c r="B406" s="2" t="str">
        <f ca="1">IFERROR(__xludf.DUMMYFUNCTION("""COMPUTED_VALUE"""),"Samsung")</f>
        <v>Samsung</v>
      </c>
      <c r="C406" s="2" t="str">
        <f ca="1">IFERROR(__xludf.DUMMYFUNCTION("""COMPUTED_VALUE"""),"Notebook 9")</f>
        <v>Notebook 9</v>
      </c>
      <c r="D406" s="2" t="str">
        <f ca="1">IFERROR(__xludf.DUMMYFUNCTION("""COMPUTED_VALUE"""),"Ultrabook")</f>
        <v>Ultrabook</v>
      </c>
      <c r="E406" s="2">
        <f ca="1">IFERROR(__xludf.DUMMYFUNCTION("""COMPUTED_VALUE"""),13.3)</f>
        <v>13.3</v>
      </c>
      <c r="F406" s="2" t="str">
        <f ca="1">IFERROR(__xludf.DUMMYFUNCTION("""COMPUTED_VALUE"""),"Full HD 1920x1080")</f>
        <v>Full HD 1920x1080</v>
      </c>
      <c r="G406" s="2" t="str">
        <f ca="1">IFERROR(__xludf.DUMMYFUNCTION("""COMPUTED_VALUE"""),"Intel Core i5 7200U 2.5GHz")</f>
        <v>Intel Core i5 7200U 2.5GHz</v>
      </c>
      <c r="H406" s="2" t="str">
        <f ca="1">IFERROR(__xludf.DUMMYFUNCTION("""COMPUTED_VALUE"""),"8GB")</f>
        <v>8GB</v>
      </c>
      <c r="I406" s="2" t="str">
        <f ca="1">IFERROR(__xludf.DUMMYFUNCTION("""COMPUTED_VALUE"""),"256GB SSD")</f>
        <v>256GB SSD</v>
      </c>
      <c r="J406" s="2" t="str">
        <f ca="1">IFERROR(__xludf.DUMMYFUNCTION("""COMPUTED_VALUE"""),"Intel HD Graphics 620")</f>
        <v>Intel HD Graphics 620</v>
      </c>
      <c r="K406" s="2" t="str">
        <f ca="1">IFERROR(__xludf.DUMMYFUNCTION("""COMPUTED_VALUE"""),"Windows 10")</f>
        <v>Windows 10</v>
      </c>
      <c r="L406" s="2" t="str">
        <f ca="1">IFERROR(__xludf.DUMMYFUNCTION("""COMPUTED_VALUE"""),"0.81kg")</f>
        <v>0.81kg</v>
      </c>
      <c r="M406" s="2">
        <f ca="1">IFERROR(__xludf.DUMMYFUNCTION("""COMPUTED_VALUE"""),1499)</f>
        <v>1499</v>
      </c>
    </row>
    <row r="407" spans="1:13">
      <c r="A407" s="2">
        <f ca="1">IFERROR(__xludf.DUMMYFUNCTION("""COMPUTED_VALUE"""),822)</f>
        <v>822</v>
      </c>
      <c r="B407" s="2" t="str">
        <f ca="1">IFERROR(__xludf.DUMMYFUNCTION("""COMPUTED_VALUE"""),"Dell")</f>
        <v>Dell</v>
      </c>
      <c r="C407" s="2" t="str">
        <f ca="1">IFERROR(__xludf.DUMMYFUNCTION("""COMPUTED_VALUE"""),"Vostro 5568")</f>
        <v>Vostro 5568</v>
      </c>
      <c r="D407" s="2" t="str">
        <f ca="1">IFERROR(__xludf.DUMMYFUNCTION("""COMPUTED_VALUE"""),"Notebook")</f>
        <v>Notebook</v>
      </c>
      <c r="E407" s="2">
        <f ca="1">IFERROR(__xludf.DUMMYFUNCTION("""COMPUTED_VALUE"""),15.6)</f>
        <v>15.6</v>
      </c>
      <c r="F407" s="2" t="str">
        <f ca="1">IFERROR(__xludf.DUMMYFUNCTION("""COMPUTED_VALUE"""),"Full HD 1920x1080")</f>
        <v>Full HD 1920x1080</v>
      </c>
      <c r="G407" s="2" t="str">
        <f ca="1">IFERROR(__xludf.DUMMYFUNCTION("""COMPUTED_VALUE"""),"Intel Core i7 7500U 2.7GHz")</f>
        <v>Intel Core i7 7500U 2.7GHz</v>
      </c>
      <c r="H407" s="2" t="str">
        <f ca="1">IFERROR(__xludf.DUMMYFUNCTION("""COMPUTED_VALUE"""),"8GB")</f>
        <v>8GB</v>
      </c>
      <c r="I407" s="2" t="str">
        <f ca="1">IFERROR(__xludf.DUMMYFUNCTION("""COMPUTED_VALUE"""),"1TB HDD")</f>
        <v>1TB HDD</v>
      </c>
      <c r="J407" s="2" t="str">
        <f ca="1">IFERROR(__xludf.DUMMYFUNCTION("""COMPUTED_VALUE"""),"Nvidia GeForce GT 940MX")</f>
        <v>Nvidia GeForce GT 940MX</v>
      </c>
      <c r="K407" s="2" t="str">
        <f ca="1">IFERROR(__xludf.DUMMYFUNCTION("""COMPUTED_VALUE"""),"Windows 10")</f>
        <v>Windows 10</v>
      </c>
      <c r="L407" s="2" t="str">
        <f ca="1">IFERROR(__xludf.DUMMYFUNCTION("""COMPUTED_VALUE"""),"1.98kg")</f>
        <v>1.98kg</v>
      </c>
      <c r="M407" s="2">
        <f ca="1">IFERROR(__xludf.DUMMYFUNCTION("""COMPUTED_VALUE"""),961)</f>
        <v>961</v>
      </c>
    </row>
    <row r="408" spans="1:13">
      <c r="A408" s="2">
        <f ca="1">IFERROR(__xludf.DUMMYFUNCTION("""COMPUTED_VALUE"""),823)</f>
        <v>823</v>
      </c>
      <c r="B408" s="2" t="str">
        <f ca="1">IFERROR(__xludf.DUMMYFUNCTION("""COMPUTED_VALUE"""),"Dell")</f>
        <v>Dell</v>
      </c>
      <c r="C408" s="2" t="str">
        <f ca="1">IFERROR(__xludf.DUMMYFUNCTION("""COMPUTED_VALUE"""),"Vostro 3568")</f>
        <v>Vostro 3568</v>
      </c>
      <c r="D408" s="2" t="str">
        <f ca="1">IFERROR(__xludf.DUMMYFUNCTION("""COMPUTED_VALUE"""),"Notebook")</f>
        <v>Notebook</v>
      </c>
      <c r="E408" s="2">
        <f ca="1">IFERROR(__xludf.DUMMYFUNCTION("""COMPUTED_VALUE"""),15.6)</f>
        <v>15.6</v>
      </c>
      <c r="F408" s="2" t="str">
        <f ca="1">IFERROR(__xludf.DUMMYFUNCTION("""COMPUTED_VALUE"""),"Full HD 1920x1080")</f>
        <v>Full HD 1920x1080</v>
      </c>
      <c r="G408" s="2" t="str">
        <f ca="1">IFERROR(__xludf.DUMMYFUNCTION("""COMPUTED_VALUE"""),"Intel Core i5 7200U 2.5GHz")</f>
        <v>Intel Core i5 7200U 2.5GHz</v>
      </c>
      <c r="H408" s="2" t="str">
        <f ca="1">IFERROR(__xludf.DUMMYFUNCTION("""COMPUTED_VALUE"""),"8GB")</f>
        <v>8GB</v>
      </c>
      <c r="I408" s="2" t="str">
        <f ca="1">IFERROR(__xludf.DUMMYFUNCTION("""COMPUTED_VALUE"""),"256GB SSD")</f>
        <v>256GB SSD</v>
      </c>
      <c r="J408" s="2" t="str">
        <f ca="1">IFERROR(__xludf.DUMMYFUNCTION("""COMPUTED_VALUE"""),"AMD Radeon R5 M420")</f>
        <v>AMD Radeon R5 M420</v>
      </c>
      <c r="K408" s="2" t="str">
        <f ca="1">IFERROR(__xludf.DUMMYFUNCTION("""COMPUTED_VALUE"""),"Windows 10")</f>
        <v>Windows 10</v>
      </c>
      <c r="L408" s="2" t="str">
        <f ca="1">IFERROR(__xludf.DUMMYFUNCTION("""COMPUTED_VALUE"""),"2.18kg")</f>
        <v>2.18kg</v>
      </c>
      <c r="M408" s="2">
        <f ca="1">IFERROR(__xludf.DUMMYFUNCTION("""COMPUTED_VALUE"""),789.81)</f>
        <v>789.81</v>
      </c>
    </row>
    <row r="409" spans="1:13">
      <c r="A409" s="2">
        <f ca="1">IFERROR(__xludf.DUMMYFUNCTION("""COMPUTED_VALUE"""),824)</f>
        <v>824</v>
      </c>
      <c r="B409" s="2" t="str">
        <f ca="1">IFERROR(__xludf.DUMMYFUNCTION("""COMPUTED_VALUE"""),"Lenovo")</f>
        <v>Lenovo</v>
      </c>
      <c r="C409" s="2" t="str">
        <f ca="1">IFERROR(__xludf.DUMMYFUNCTION("""COMPUTED_VALUE"""),"Thinkpad T470s")</f>
        <v>Thinkpad T470s</v>
      </c>
      <c r="D409" s="2" t="str">
        <f ca="1">IFERROR(__xludf.DUMMYFUNCTION("""COMPUTED_VALUE"""),"Ultrabook")</f>
        <v>Ultrabook</v>
      </c>
      <c r="E409" s="2">
        <f ca="1">IFERROR(__xludf.DUMMYFUNCTION("""COMPUTED_VALUE"""),14)</f>
        <v>14</v>
      </c>
      <c r="F409" s="2" t="str">
        <f ca="1">IFERROR(__xludf.DUMMYFUNCTION("""COMPUTED_VALUE"""),"Full HD 1920x1080")</f>
        <v>Full HD 1920x1080</v>
      </c>
      <c r="G409" s="2" t="str">
        <f ca="1">IFERROR(__xludf.DUMMYFUNCTION("""COMPUTED_VALUE"""),"Intel Core i7 7500U 2.7GHz")</f>
        <v>Intel Core i7 7500U 2.7GHz</v>
      </c>
      <c r="H409" s="2" t="str">
        <f ca="1">IFERROR(__xludf.DUMMYFUNCTION("""COMPUTED_VALUE"""),"8GB")</f>
        <v>8GB</v>
      </c>
      <c r="I409" s="2" t="str">
        <f ca="1">IFERROR(__xludf.DUMMYFUNCTION("""COMPUTED_VALUE"""),"256GB SSD")</f>
        <v>256GB SSD</v>
      </c>
      <c r="J409" s="2" t="str">
        <f ca="1">IFERROR(__xludf.DUMMYFUNCTION("""COMPUTED_VALUE"""),"Intel HD Graphics 620")</f>
        <v>Intel HD Graphics 620</v>
      </c>
      <c r="K409" s="2" t="str">
        <f ca="1">IFERROR(__xludf.DUMMYFUNCTION("""COMPUTED_VALUE"""),"Windows 10")</f>
        <v>Windows 10</v>
      </c>
      <c r="L409" s="2" t="str">
        <f ca="1">IFERROR(__xludf.DUMMYFUNCTION("""COMPUTED_VALUE"""),"1.32kg")</f>
        <v>1.32kg</v>
      </c>
      <c r="M409" s="2">
        <f ca="1">IFERROR(__xludf.DUMMYFUNCTION("""COMPUTED_VALUE"""),1859)</f>
        <v>1859</v>
      </c>
    </row>
    <row r="410" spans="1:13">
      <c r="A410" s="2">
        <f ca="1">IFERROR(__xludf.DUMMYFUNCTION("""COMPUTED_VALUE"""),831)</f>
        <v>831</v>
      </c>
      <c r="B410" s="2" t="str">
        <f ca="1">IFERROR(__xludf.DUMMYFUNCTION("""COMPUTED_VALUE"""),"Lenovo")</f>
        <v>Lenovo</v>
      </c>
      <c r="C410" s="2" t="str">
        <f ca="1">IFERROR(__xludf.DUMMYFUNCTION("""COMPUTED_VALUE"""),"Thinkpad X1")</f>
        <v>Thinkpad X1</v>
      </c>
      <c r="D410" s="2" t="str">
        <f ca="1">IFERROR(__xludf.DUMMYFUNCTION("""COMPUTED_VALUE"""),"Ultrabook")</f>
        <v>Ultrabook</v>
      </c>
      <c r="E410" s="2">
        <f ca="1">IFERROR(__xludf.DUMMYFUNCTION("""COMPUTED_VALUE"""),14)</f>
        <v>14</v>
      </c>
      <c r="F410" s="2" t="str">
        <f ca="1">IFERROR(__xludf.DUMMYFUNCTION("""COMPUTED_VALUE"""),"IPS Panel Full HD 1920x1080")</f>
        <v>IPS Panel Full HD 1920x1080</v>
      </c>
      <c r="G410" s="2" t="str">
        <f ca="1">IFERROR(__xludf.DUMMYFUNCTION("""COMPUTED_VALUE"""),"Intel Core i7 7500U 2.7GHz")</f>
        <v>Intel Core i7 7500U 2.7GHz</v>
      </c>
      <c r="H410" s="2" t="str">
        <f ca="1">IFERROR(__xludf.DUMMYFUNCTION("""COMPUTED_VALUE"""),"8GB")</f>
        <v>8GB</v>
      </c>
      <c r="I410" s="2" t="str">
        <f ca="1">IFERROR(__xludf.DUMMYFUNCTION("""COMPUTED_VALUE"""),"512GB SSD")</f>
        <v>512GB SSD</v>
      </c>
      <c r="J410" s="2" t="str">
        <f ca="1">IFERROR(__xludf.DUMMYFUNCTION("""COMPUTED_VALUE"""),"Intel HD Graphics 620")</f>
        <v>Intel HD Graphics 620</v>
      </c>
      <c r="K410" s="2" t="str">
        <f ca="1">IFERROR(__xludf.DUMMYFUNCTION("""COMPUTED_VALUE"""),"Windows 10")</f>
        <v>Windows 10</v>
      </c>
      <c r="L410" s="2" t="str">
        <f ca="1">IFERROR(__xludf.DUMMYFUNCTION("""COMPUTED_VALUE"""),"1.13kg")</f>
        <v>1.13kg</v>
      </c>
      <c r="M410" s="2">
        <f ca="1">IFERROR(__xludf.DUMMYFUNCTION("""COMPUTED_VALUE"""),2499)</f>
        <v>2499</v>
      </c>
    </row>
    <row r="411" spans="1:13">
      <c r="A411" s="2">
        <f ca="1">IFERROR(__xludf.DUMMYFUNCTION("""COMPUTED_VALUE"""),832)</f>
        <v>832</v>
      </c>
      <c r="B411" s="2" t="str">
        <f ca="1">IFERROR(__xludf.DUMMYFUNCTION("""COMPUTED_VALUE"""),"MSI")</f>
        <v>MSI</v>
      </c>
      <c r="C411" s="2" t="str">
        <f ca="1">IFERROR(__xludf.DUMMYFUNCTION("""COMPUTED_VALUE"""),"GL62M 7RD")</f>
        <v>GL62M 7RD</v>
      </c>
      <c r="D411" s="2" t="str">
        <f ca="1">IFERROR(__xludf.DUMMYFUNCTION("""COMPUTED_VALUE"""),"Gaming")</f>
        <v>Gaming</v>
      </c>
      <c r="E411" s="2">
        <f ca="1">IFERROR(__xludf.DUMMYFUNCTION("""COMPUTED_VALUE"""),15.6)</f>
        <v>15.6</v>
      </c>
      <c r="F411" s="2" t="str">
        <f ca="1">IFERROR(__xludf.DUMMYFUNCTION("""COMPUTED_VALUE"""),"Full HD 1920x1080")</f>
        <v>Full HD 1920x1080</v>
      </c>
      <c r="G411" s="2" t="str">
        <f ca="1">IFERROR(__xludf.DUMMYFUNCTION("""COMPUTED_VALUE"""),"Intel Core i5 7300HQ 2.5GHz")</f>
        <v>Intel Core i5 7300HQ 2.5GHz</v>
      </c>
      <c r="H411" s="2" t="str">
        <f ca="1">IFERROR(__xludf.DUMMYFUNCTION("""COMPUTED_VALUE"""),"8GB")</f>
        <v>8GB</v>
      </c>
      <c r="I411" s="2" t="str">
        <f ca="1">IFERROR(__xludf.DUMMYFUNCTION("""COMPUTED_VALUE"""),"256GB SSD")</f>
        <v>256GB SSD</v>
      </c>
      <c r="J411" s="2" t="str">
        <f ca="1">IFERROR(__xludf.DUMMYFUNCTION("""COMPUTED_VALUE"""),"Nvidia GeForce GTX 1050")</f>
        <v>Nvidia GeForce GTX 1050</v>
      </c>
      <c r="K411" s="2" t="str">
        <f ca="1">IFERROR(__xludf.DUMMYFUNCTION("""COMPUTED_VALUE"""),"Windows 10")</f>
        <v>Windows 10</v>
      </c>
      <c r="L411" s="2" t="str">
        <f ca="1">IFERROR(__xludf.DUMMYFUNCTION("""COMPUTED_VALUE"""),"2.4kg")</f>
        <v>2.4kg</v>
      </c>
      <c r="M411" s="2">
        <f ca="1">IFERROR(__xludf.DUMMYFUNCTION("""COMPUTED_VALUE"""),1199)</f>
        <v>1199</v>
      </c>
    </row>
    <row r="412" spans="1:13">
      <c r="A412" s="2">
        <f ca="1">IFERROR(__xludf.DUMMYFUNCTION("""COMPUTED_VALUE"""),833)</f>
        <v>833</v>
      </c>
      <c r="B412" s="2" t="str">
        <f ca="1">IFERROR(__xludf.DUMMYFUNCTION("""COMPUTED_VALUE"""),"Lenovo")</f>
        <v>Lenovo</v>
      </c>
      <c r="C412" s="2" t="str">
        <f ca="1">IFERROR(__xludf.DUMMYFUNCTION("""COMPUTED_VALUE"""),"ThinkPad X1")</f>
        <v>ThinkPad X1</v>
      </c>
      <c r="D412" s="2" t="str">
        <f ca="1">IFERROR(__xludf.DUMMYFUNCTION("""COMPUTED_VALUE"""),"Ultrabook")</f>
        <v>Ultrabook</v>
      </c>
      <c r="E412" s="2">
        <f ca="1">IFERROR(__xludf.DUMMYFUNCTION("""COMPUTED_VALUE"""),14)</f>
        <v>14</v>
      </c>
      <c r="F412" s="2" t="str">
        <f ca="1">IFERROR(__xludf.DUMMYFUNCTION("""COMPUTED_VALUE"""),"IPS Panel Full HD 1920x1080")</f>
        <v>IPS Panel Full HD 1920x1080</v>
      </c>
      <c r="G412" s="2" t="str">
        <f ca="1">IFERROR(__xludf.DUMMYFUNCTION("""COMPUTED_VALUE"""),"Intel Core i5 7200U 2.5GHz")</f>
        <v>Intel Core i5 7200U 2.5GHz</v>
      </c>
      <c r="H412" s="2" t="str">
        <f ca="1">IFERROR(__xludf.DUMMYFUNCTION("""COMPUTED_VALUE"""),"8GB")</f>
        <v>8GB</v>
      </c>
      <c r="I412" s="2" t="str">
        <f ca="1">IFERROR(__xludf.DUMMYFUNCTION("""COMPUTED_VALUE"""),"256GB Flash Storage")</f>
        <v>256GB Flash Storage</v>
      </c>
      <c r="J412" s="2" t="str">
        <f ca="1">IFERROR(__xludf.DUMMYFUNCTION("""COMPUTED_VALUE"""),"Intel HD Graphics 620")</f>
        <v>Intel HD Graphics 620</v>
      </c>
      <c r="K412" s="2" t="str">
        <f ca="1">IFERROR(__xludf.DUMMYFUNCTION("""COMPUTED_VALUE"""),"Windows 10")</f>
        <v>Windows 10</v>
      </c>
      <c r="L412" s="2" t="str">
        <f ca="1">IFERROR(__xludf.DUMMYFUNCTION("""COMPUTED_VALUE"""),"1.13kg")</f>
        <v>1.13kg</v>
      </c>
      <c r="M412" s="2">
        <f ca="1">IFERROR(__xludf.DUMMYFUNCTION("""COMPUTED_VALUE"""),1875)</f>
        <v>1875</v>
      </c>
    </row>
    <row r="413" spans="1:13">
      <c r="A413" s="2">
        <f ca="1">IFERROR(__xludf.DUMMYFUNCTION("""COMPUTED_VALUE"""),835)</f>
        <v>835</v>
      </c>
      <c r="B413" s="2" t="str">
        <f ca="1">IFERROR(__xludf.DUMMYFUNCTION("""COMPUTED_VALUE"""),"Asus")</f>
        <v>Asus</v>
      </c>
      <c r="C413" s="2" t="str">
        <f ca="1">IFERROR(__xludf.DUMMYFUNCTION("""COMPUTED_VALUE"""),"ZenBook Flip")</f>
        <v>ZenBook Flip</v>
      </c>
      <c r="D413" s="2" t="str">
        <f ca="1">IFERROR(__xludf.DUMMYFUNCTION("""COMPUTED_VALUE"""),"2 in 1 Convertible")</f>
        <v>2 in 1 Convertible</v>
      </c>
      <c r="E413" s="2">
        <f ca="1">IFERROR(__xludf.DUMMYFUNCTION("""COMPUTED_VALUE"""),13.3)</f>
        <v>13.3</v>
      </c>
      <c r="F413" s="2" t="str">
        <f ca="1">IFERROR(__xludf.DUMMYFUNCTION("""COMPUTED_VALUE"""),"Touchscreen / Full HD 1920x1080")</f>
        <v>Touchscreen / Full HD 1920x1080</v>
      </c>
      <c r="G413" s="2" t="str">
        <f ca="1">IFERROR(__xludf.DUMMYFUNCTION("""COMPUTED_VALUE"""),"Intel Core i5 7200U 2.5GHz")</f>
        <v>Intel Core i5 7200U 2.5GHz</v>
      </c>
      <c r="H413" s="2" t="str">
        <f ca="1">IFERROR(__xludf.DUMMYFUNCTION("""COMPUTED_VALUE"""),"8GB")</f>
        <v>8GB</v>
      </c>
      <c r="I413" s="2" t="str">
        <f ca="1">IFERROR(__xludf.DUMMYFUNCTION("""COMPUTED_VALUE"""),"256GB SSD")</f>
        <v>256GB SSD</v>
      </c>
      <c r="J413" s="2" t="str">
        <f ca="1">IFERROR(__xludf.DUMMYFUNCTION("""COMPUTED_VALUE"""),"Intel HD Graphics 620")</f>
        <v>Intel HD Graphics 620</v>
      </c>
      <c r="K413" s="2" t="str">
        <f ca="1">IFERROR(__xludf.DUMMYFUNCTION("""COMPUTED_VALUE"""),"Windows 10")</f>
        <v>Windows 10</v>
      </c>
      <c r="L413" s="2" t="str">
        <f ca="1">IFERROR(__xludf.DUMMYFUNCTION("""COMPUTED_VALUE"""),"1.1kg")</f>
        <v>1.1kg</v>
      </c>
      <c r="M413" s="2">
        <f ca="1">IFERROR(__xludf.DUMMYFUNCTION("""COMPUTED_VALUE"""),1358)</f>
        <v>1358</v>
      </c>
    </row>
    <row r="414" spans="1:13">
      <c r="A414" s="2">
        <f ca="1">IFERROR(__xludf.DUMMYFUNCTION("""COMPUTED_VALUE"""),838)</f>
        <v>838</v>
      </c>
      <c r="B414" s="2" t="str">
        <f ca="1">IFERROR(__xludf.DUMMYFUNCTION("""COMPUTED_VALUE"""),"Acer")</f>
        <v>Acer</v>
      </c>
      <c r="C414" s="2" t="str">
        <f ca="1">IFERROR(__xludf.DUMMYFUNCTION("""COMPUTED_VALUE"""),"Swift 3")</f>
        <v>Swift 3</v>
      </c>
      <c r="D414" s="2" t="str">
        <f ca="1">IFERROR(__xludf.DUMMYFUNCTION("""COMPUTED_VALUE"""),"Notebook")</f>
        <v>Notebook</v>
      </c>
      <c r="E414" s="2">
        <f ca="1">IFERROR(__xludf.DUMMYFUNCTION("""COMPUTED_VALUE"""),14)</f>
        <v>14</v>
      </c>
      <c r="F414" s="2" t="str">
        <f ca="1">IFERROR(__xludf.DUMMYFUNCTION("""COMPUTED_VALUE"""),"IPS Panel Full HD 1920x1080")</f>
        <v>IPS Panel Full HD 1920x1080</v>
      </c>
      <c r="G414" s="2" t="str">
        <f ca="1">IFERROR(__xludf.DUMMYFUNCTION("""COMPUTED_VALUE"""),"Intel Core i3 7100U 2.4GHz")</f>
        <v>Intel Core i3 7100U 2.4GHz</v>
      </c>
      <c r="H414" s="2" t="str">
        <f ca="1">IFERROR(__xludf.DUMMYFUNCTION("""COMPUTED_VALUE"""),"8GB")</f>
        <v>8GB</v>
      </c>
      <c r="I414" s="2" t="str">
        <f ca="1">IFERROR(__xludf.DUMMYFUNCTION("""COMPUTED_VALUE"""),"128GB SSD")</f>
        <v>128GB SSD</v>
      </c>
      <c r="J414" s="2" t="str">
        <f ca="1">IFERROR(__xludf.DUMMYFUNCTION("""COMPUTED_VALUE"""),"Intel HD Graphics 620")</f>
        <v>Intel HD Graphics 620</v>
      </c>
      <c r="K414" s="2" t="str">
        <f ca="1">IFERROR(__xludf.DUMMYFUNCTION("""COMPUTED_VALUE"""),"Windows 10")</f>
        <v>Windows 10</v>
      </c>
      <c r="L414" s="2" t="str">
        <f ca="1">IFERROR(__xludf.DUMMYFUNCTION("""COMPUTED_VALUE"""),"1.5kg")</f>
        <v>1.5kg</v>
      </c>
      <c r="M414" s="2">
        <f ca="1">IFERROR(__xludf.DUMMYFUNCTION("""COMPUTED_VALUE"""),619)</f>
        <v>619</v>
      </c>
    </row>
    <row r="415" spans="1:13">
      <c r="A415" s="2">
        <f ca="1">IFERROR(__xludf.DUMMYFUNCTION("""COMPUTED_VALUE"""),842)</f>
        <v>842</v>
      </c>
      <c r="B415" s="2" t="str">
        <f ca="1">IFERROR(__xludf.DUMMYFUNCTION("""COMPUTED_VALUE"""),"Lenovo")</f>
        <v>Lenovo</v>
      </c>
      <c r="C415" s="2" t="str">
        <f ca="1">IFERROR(__xludf.DUMMYFUNCTION("""COMPUTED_VALUE"""),"Thinkpad T460")</f>
        <v>Thinkpad T460</v>
      </c>
      <c r="D415" s="2" t="str">
        <f ca="1">IFERROR(__xludf.DUMMYFUNCTION("""COMPUTED_VALUE"""),"Notebook")</f>
        <v>Notebook</v>
      </c>
      <c r="E415" s="2">
        <f ca="1">IFERROR(__xludf.DUMMYFUNCTION("""COMPUTED_VALUE"""),14)</f>
        <v>14</v>
      </c>
      <c r="F415" s="2" t="str">
        <f ca="1">IFERROR(__xludf.DUMMYFUNCTION("""COMPUTED_VALUE"""),"Full HD 1920x1080")</f>
        <v>Full HD 1920x1080</v>
      </c>
      <c r="G415" s="2" t="str">
        <f ca="1">IFERROR(__xludf.DUMMYFUNCTION("""COMPUTED_VALUE"""),"Intel Core i5 6200U 2.3GHz")</f>
        <v>Intel Core i5 6200U 2.3GHz</v>
      </c>
      <c r="H415" s="2" t="str">
        <f ca="1">IFERROR(__xludf.DUMMYFUNCTION("""COMPUTED_VALUE"""),"8GB")</f>
        <v>8GB</v>
      </c>
      <c r="I415" s="2" t="str">
        <f ca="1">IFERROR(__xludf.DUMMYFUNCTION("""COMPUTED_VALUE"""),"256GB SSD")</f>
        <v>256GB SSD</v>
      </c>
      <c r="J415" s="2" t="str">
        <f ca="1">IFERROR(__xludf.DUMMYFUNCTION("""COMPUTED_VALUE"""),"Intel HD Graphics 520")</f>
        <v>Intel HD Graphics 520</v>
      </c>
      <c r="K415" s="2" t="str">
        <f ca="1">IFERROR(__xludf.DUMMYFUNCTION("""COMPUTED_VALUE"""),"Windows 10")</f>
        <v>Windows 10</v>
      </c>
      <c r="L415" s="2" t="str">
        <f ca="1">IFERROR(__xludf.DUMMYFUNCTION("""COMPUTED_VALUE"""),"1.7kg")</f>
        <v>1.7kg</v>
      </c>
      <c r="M415" s="2">
        <f ca="1">IFERROR(__xludf.DUMMYFUNCTION("""COMPUTED_VALUE"""),1186)</f>
        <v>1186</v>
      </c>
    </row>
    <row r="416" spans="1:13">
      <c r="A416" s="2">
        <f ca="1">IFERROR(__xludf.DUMMYFUNCTION("""COMPUTED_VALUE"""),843)</f>
        <v>843</v>
      </c>
      <c r="B416" s="2" t="str">
        <f ca="1">IFERROR(__xludf.DUMMYFUNCTION("""COMPUTED_VALUE"""),"Lenovo")</f>
        <v>Lenovo</v>
      </c>
      <c r="C416" s="2" t="str">
        <f ca="1">IFERROR(__xludf.DUMMYFUNCTION("""COMPUTED_VALUE"""),"ThinkPad T470s")</f>
        <v>ThinkPad T470s</v>
      </c>
      <c r="D416" s="2" t="str">
        <f ca="1">IFERROR(__xludf.DUMMYFUNCTION("""COMPUTED_VALUE"""),"Notebook")</f>
        <v>Notebook</v>
      </c>
      <c r="E416" s="2">
        <f ca="1">IFERROR(__xludf.DUMMYFUNCTION("""COMPUTED_VALUE"""),14)</f>
        <v>14</v>
      </c>
      <c r="F416" s="2" t="str">
        <f ca="1">IFERROR(__xludf.DUMMYFUNCTION("""COMPUTED_VALUE"""),"IPS Panel Full HD 1920x1080")</f>
        <v>IPS Panel Full HD 1920x1080</v>
      </c>
      <c r="G416" s="2" t="str">
        <f ca="1">IFERROR(__xludf.DUMMYFUNCTION("""COMPUTED_VALUE"""),"Intel Core i5 7300U 2.6GHz")</f>
        <v>Intel Core i5 7300U 2.6GHz</v>
      </c>
      <c r="H416" s="2" t="str">
        <f ca="1">IFERROR(__xludf.DUMMYFUNCTION("""COMPUTED_VALUE"""),"8GB")</f>
        <v>8GB</v>
      </c>
      <c r="I416" s="2" t="str">
        <f ca="1">IFERROR(__xludf.DUMMYFUNCTION("""COMPUTED_VALUE"""),"256GB SSD")</f>
        <v>256GB SSD</v>
      </c>
      <c r="J416" s="2" t="str">
        <f ca="1">IFERROR(__xludf.DUMMYFUNCTION("""COMPUTED_VALUE"""),"Intel HD Graphics 620")</f>
        <v>Intel HD Graphics 620</v>
      </c>
      <c r="K416" s="2" t="str">
        <f ca="1">IFERROR(__xludf.DUMMYFUNCTION("""COMPUTED_VALUE"""),"Windows 10")</f>
        <v>Windows 10</v>
      </c>
      <c r="L416" s="2" t="str">
        <f ca="1">IFERROR(__xludf.DUMMYFUNCTION("""COMPUTED_VALUE"""),"1.32kg")</f>
        <v>1.32kg</v>
      </c>
      <c r="M416" s="2">
        <f ca="1">IFERROR(__xludf.DUMMYFUNCTION("""COMPUTED_VALUE"""),1650)</f>
        <v>1650</v>
      </c>
    </row>
    <row r="417" spans="1:13">
      <c r="A417" s="2">
        <f ca="1">IFERROR(__xludf.DUMMYFUNCTION("""COMPUTED_VALUE"""),848)</f>
        <v>848</v>
      </c>
      <c r="B417" s="2" t="str">
        <f ca="1">IFERROR(__xludf.DUMMYFUNCTION("""COMPUTED_VALUE"""),"Asus")</f>
        <v>Asus</v>
      </c>
      <c r="C417" s="2" t="str">
        <f ca="1">IFERROR(__xludf.DUMMYFUNCTION("""COMPUTED_VALUE"""),"R558UA-DM966T (i5-7200U/8GB/128GB/FHD/W10)")</f>
        <v>R558UA-DM966T (i5-7200U/8GB/128GB/FHD/W10)</v>
      </c>
      <c r="D417" s="2" t="str">
        <f ca="1">IFERROR(__xludf.DUMMYFUNCTION("""COMPUTED_VALUE"""),"Notebook")</f>
        <v>Notebook</v>
      </c>
      <c r="E417" s="2">
        <f ca="1">IFERROR(__xludf.DUMMYFUNCTION("""COMPUTED_VALUE"""),15.6)</f>
        <v>15.6</v>
      </c>
      <c r="F417" s="2" t="str">
        <f ca="1">IFERROR(__xludf.DUMMYFUNCTION("""COMPUTED_VALUE"""),"Full HD 1920x1080")</f>
        <v>Full HD 1920x1080</v>
      </c>
      <c r="G417" s="2" t="str">
        <f ca="1">IFERROR(__xludf.DUMMYFUNCTION("""COMPUTED_VALUE"""),"Intel Core i5 7200U 2.5GHz")</f>
        <v>Intel Core i5 7200U 2.5GHz</v>
      </c>
      <c r="H417" s="2" t="str">
        <f ca="1">IFERROR(__xludf.DUMMYFUNCTION("""COMPUTED_VALUE"""),"8GB")</f>
        <v>8GB</v>
      </c>
      <c r="I417" s="2" t="str">
        <f ca="1">IFERROR(__xludf.DUMMYFUNCTION("""COMPUTED_VALUE"""),"128GB HDD")</f>
        <v>128GB HDD</v>
      </c>
      <c r="J417" s="2" t="str">
        <f ca="1">IFERROR(__xludf.DUMMYFUNCTION("""COMPUTED_VALUE"""),"Intel HD Graphics 620")</f>
        <v>Intel HD Graphics 620</v>
      </c>
      <c r="K417" s="2" t="str">
        <f ca="1">IFERROR(__xludf.DUMMYFUNCTION("""COMPUTED_VALUE"""),"Windows 10")</f>
        <v>Windows 10</v>
      </c>
      <c r="L417" s="2" t="str">
        <f ca="1">IFERROR(__xludf.DUMMYFUNCTION("""COMPUTED_VALUE"""),"2.3kg")</f>
        <v>2.3kg</v>
      </c>
      <c r="M417" s="2">
        <f ca="1">IFERROR(__xludf.DUMMYFUNCTION("""COMPUTED_VALUE"""),590)</f>
        <v>590</v>
      </c>
    </row>
    <row r="418" spans="1:13">
      <c r="A418" s="2">
        <f ca="1">IFERROR(__xludf.DUMMYFUNCTION("""COMPUTED_VALUE"""),852)</f>
        <v>852</v>
      </c>
      <c r="B418" s="2" t="str">
        <f ca="1">IFERROR(__xludf.DUMMYFUNCTION("""COMPUTED_VALUE"""),"HP")</f>
        <v>HP</v>
      </c>
      <c r="C418" s="2" t="str">
        <f ca="1">IFERROR(__xludf.DUMMYFUNCTION("""COMPUTED_VALUE"""),"ProBook 470")</f>
        <v>ProBook 470</v>
      </c>
      <c r="D418" s="2" t="str">
        <f ca="1">IFERROR(__xludf.DUMMYFUNCTION("""COMPUTED_VALUE"""),"Notebook")</f>
        <v>Notebook</v>
      </c>
      <c r="E418" s="2">
        <f ca="1">IFERROR(__xludf.DUMMYFUNCTION("""COMPUTED_VALUE"""),17.3)</f>
        <v>17.3</v>
      </c>
      <c r="F418" s="2" t="str">
        <f ca="1">IFERROR(__xludf.DUMMYFUNCTION("""COMPUTED_VALUE"""),"1600x900")</f>
        <v>1600x900</v>
      </c>
      <c r="G418" s="2" t="str">
        <f ca="1">IFERROR(__xludf.DUMMYFUNCTION("""COMPUTED_VALUE"""),"Intel Core i5 7200U 2.5GHz")</f>
        <v>Intel Core i5 7200U 2.5GHz</v>
      </c>
      <c r="H418" s="2" t="str">
        <f ca="1">IFERROR(__xludf.DUMMYFUNCTION("""COMPUTED_VALUE"""),"8GB")</f>
        <v>8GB</v>
      </c>
      <c r="I418" s="2" t="str">
        <f ca="1">IFERROR(__xludf.DUMMYFUNCTION("""COMPUTED_VALUE"""),"1TB HDD")</f>
        <v>1TB HDD</v>
      </c>
      <c r="J418" s="2" t="str">
        <f ca="1">IFERROR(__xludf.DUMMYFUNCTION("""COMPUTED_VALUE"""),"Nvidia GeForce 930MX")</f>
        <v>Nvidia GeForce 930MX</v>
      </c>
      <c r="K418" s="2" t="str">
        <f ca="1">IFERROR(__xludf.DUMMYFUNCTION("""COMPUTED_VALUE"""),"Windows 10")</f>
        <v>Windows 10</v>
      </c>
      <c r="L418" s="2" t="str">
        <f ca="1">IFERROR(__xludf.DUMMYFUNCTION("""COMPUTED_VALUE"""),"2.63kg")</f>
        <v>2.63kg</v>
      </c>
      <c r="M418" s="2">
        <f ca="1">IFERROR(__xludf.DUMMYFUNCTION("""COMPUTED_VALUE"""),910)</f>
        <v>910</v>
      </c>
    </row>
    <row r="419" spans="1:13">
      <c r="A419" s="2">
        <f ca="1">IFERROR(__xludf.DUMMYFUNCTION("""COMPUTED_VALUE"""),853)</f>
        <v>853</v>
      </c>
      <c r="B419" s="2" t="str">
        <f ca="1">IFERROR(__xludf.DUMMYFUNCTION("""COMPUTED_VALUE"""),"Dell")</f>
        <v>Dell</v>
      </c>
      <c r="C419" s="2" t="str">
        <f ca="1">IFERROR(__xludf.DUMMYFUNCTION("""COMPUTED_VALUE"""),"Vostro 3568")</f>
        <v>Vostro 3568</v>
      </c>
      <c r="D419" s="2" t="str">
        <f ca="1">IFERROR(__xludf.DUMMYFUNCTION("""COMPUTED_VALUE"""),"Notebook")</f>
        <v>Notebook</v>
      </c>
      <c r="E419" s="2">
        <f ca="1">IFERROR(__xludf.DUMMYFUNCTION("""COMPUTED_VALUE"""),15.6)</f>
        <v>15.6</v>
      </c>
      <c r="F419" s="2" t="str">
        <f ca="1">IFERROR(__xludf.DUMMYFUNCTION("""COMPUTED_VALUE"""),"1366x768")</f>
        <v>1366x768</v>
      </c>
      <c r="G419" s="2" t="str">
        <f ca="1">IFERROR(__xludf.DUMMYFUNCTION("""COMPUTED_VALUE"""),"Intel Core i5 7200U 2.5GHz")</f>
        <v>Intel Core i5 7200U 2.5GHz</v>
      </c>
      <c r="H419" s="2" t="str">
        <f ca="1">IFERROR(__xludf.DUMMYFUNCTION("""COMPUTED_VALUE"""),"8GB")</f>
        <v>8GB</v>
      </c>
      <c r="I419" s="2" t="str">
        <f ca="1">IFERROR(__xludf.DUMMYFUNCTION("""COMPUTED_VALUE"""),"128GB SSD")</f>
        <v>128GB SSD</v>
      </c>
      <c r="J419" s="2" t="str">
        <f ca="1">IFERROR(__xludf.DUMMYFUNCTION("""COMPUTED_VALUE"""),"Intel HD Graphics 620")</f>
        <v>Intel HD Graphics 620</v>
      </c>
      <c r="K419" s="2" t="str">
        <f ca="1">IFERROR(__xludf.DUMMYFUNCTION("""COMPUTED_VALUE"""),"Windows 10")</f>
        <v>Windows 10</v>
      </c>
      <c r="L419" s="2" t="str">
        <f ca="1">IFERROR(__xludf.DUMMYFUNCTION("""COMPUTED_VALUE"""),"2.18kg")</f>
        <v>2.18kg</v>
      </c>
      <c r="M419" s="2">
        <f ca="1">IFERROR(__xludf.DUMMYFUNCTION("""COMPUTED_VALUE"""),713.99)</f>
        <v>713.99</v>
      </c>
    </row>
    <row r="420" spans="1:13">
      <c r="A420" s="2">
        <f ca="1">IFERROR(__xludf.DUMMYFUNCTION("""COMPUTED_VALUE"""),854)</f>
        <v>854</v>
      </c>
      <c r="B420" s="2" t="str">
        <f ca="1">IFERROR(__xludf.DUMMYFUNCTION("""COMPUTED_VALUE"""),"HP")</f>
        <v>HP</v>
      </c>
      <c r="C420" s="2" t="str">
        <f ca="1">IFERROR(__xludf.DUMMYFUNCTION("""COMPUTED_VALUE"""),"EliteBook 840")</f>
        <v>EliteBook 840</v>
      </c>
      <c r="D420" s="2" t="str">
        <f ca="1">IFERROR(__xludf.DUMMYFUNCTION("""COMPUTED_VALUE"""),"Ultrabook")</f>
        <v>Ultrabook</v>
      </c>
      <c r="E420" s="2">
        <f ca="1">IFERROR(__xludf.DUMMYFUNCTION("""COMPUTED_VALUE"""),14)</f>
        <v>14</v>
      </c>
      <c r="F420" s="2" t="str">
        <f ca="1">IFERROR(__xludf.DUMMYFUNCTION("""COMPUTED_VALUE"""),"Full HD 1920x1080")</f>
        <v>Full HD 1920x1080</v>
      </c>
      <c r="G420" s="2" t="str">
        <f ca="1">IFERROR(__xludf.DUMMYFUNCTION("""COMPUTED_VALUE"""),"Intel Core i7 6500U 2.5GHz")</f>
        <v>Intel Core i7 6500U 2.5GHz</v>
      </c>
      <c r="H420" s="2" t="str">
        <f ca="1">IFERROR(__xludf.DUMMYFUNCTION("""COMPUTED_VALUE"""),"8GB")</f>
        <v>8GB</v>
      </c>
      <c r="I420" s="2" t="str">
        <f ca="1">IFERROR(__xludf.DUMMYFUNCTION("""COMPUTED_VALUE"""),"512GB SSD")</f>
        <v>512GB SSD</v>
      </c>
      <c r="J420" s="2" t="str">
        <f ca="1">IFERROR(__xludf.DUMMYFUNCTION("""COMPUTED_VALUE"""),"Intel HD Graphics 520")</f>
        <v>Intel HD Graphics 520</v>
      </c>
      <c r="K420" s="2" t="str">
        <f ca="1">IFERROR(__xludf.DUMMYFUNCTION("""COMPUTED_VALUE"""),"Windows 7")</f>
        <v>Windows 7</v>
      </c>
      <c r="L420" s="2" t="str">
        <f ca="1">IFERROR(__xludf.DUMMYFUNCTION("""COMPUTED_VALUE"""),"1.54kg")</f>
        <v>1.54kg</v>
      </c>
      <c r="M420" s="2">
        <f ca="1">IFERROR(__xludf.DUMMYFUNCTION("""COMPUTED_VALUE"""),1870)</f>
        <v>1870</v>
      </c>
    </row>
    <row r="421" spans="1:13">
      <c r="A421" s="2">
        <f ca="1">IFERROR(__xludf.DUMMYFUNCTION("""COMPUTED_VALUE"""),857)</f>
        <v>857</v>
      </c>
      <c r="B421" s="2" t="str">
        <f ca="1">IFERROR(__xludf.DUMMYFUNCTION("""COMPUTED_VALUE"""),"Asus")</f>
        <v>Asus</v>
      </c>
      <c r="C421" s="2" t="str">
        <f ca="1">IFERROR(__xludf.DUMMYFUNCTION("""COMPUTED_VALUE"""),"ZenBook UX310UQ-GL026T")</f>
        <v>ZenBook UX310UQ-GL026T</v>
      </c>
      <c r="D421" s="2" t="str">
        <f ca="1">IFERROR(__xludf.DUMMYFUNCTION("""COMPUTED_VALUE"""),"Ultrabook")</f>
        <v>Ultrabook</v>
      </c>
      <c r="E421" s="2">
        <f ca="1">IFERROR(__xludf.DUMMYFUNCTION("""COMPUTED_VALUE"""),13.3)</f>
        <v>13.3</v>
      </c>
      <c r="F421" s="2" t="str">
        <f ca="1">IFERROR(__xludf.DUMMYFUNCTION("""COMPUTED_VALUE"""),"IPS Panel Full HD 1920x1080")</f>
        <v>IPS Panel Full HD 1920x1080</v>
      </c>
      <c r="G421" s="2" t="str">
        <f ca="1">IFERROR(__xludf.DUMMYFUNCTION("""COMPUTED_VALUE"""),"Intel Core i5 6200U 2.3GHz")</f>
        <v>Intel Core i5 6200U 2.3GHz</v>
      </c>
      <c r="H421" s="2" t="str">
        <f ca="1">IFERROR(__xludf.DUMMYFUNCTION("""COMPUTED_VALUE"""),"8GB")</f>
        <v>8GB</v>
      </c>
      <c r="I421" s="2" t="str">
        <f ca="1">IFERROR(__xludf.DUMMYFUNCTION("""COMPUTED_VALUE"""),"512GB SSD")</f>
        <v>512GB SSD</v>
      </c>
      <c r="J421" s="2" t="str">
        <f ca="1">IFERROR(__xludf.DUMMYFUNCTION("""COMPUTED_VALUE"""),"Nvidia GeForce 940M")</f>
        <v>Nvidia GeForce 940M</v>
      </c>
      <c r="K421" s="2" t="str">
        <f ca="1">IFERROR(__xludf.DUMMYFUNCTION("""COMPUTED_VALUE"""),"Windows 10")</f>
        <v>Windows 10</v>
      </c>
      <c r="L421" s="2" t="str">
        <f ca="1">IFERROR(__xludf.DUMMYFUNCTION("""COMPUTED_VALUE"""),"1.45kg")</f>
        <v>1.45kg</v>
      </c>
      <c r="M421" s="2">
        <f ca="1">IFERROR(__xludf.DUMMYFUNCTION("""COMPUTED_VALUE"""),1026)</f>
        <v>1026</v>
      </c>
    </row>
    <row r="422" spans="1:13">
      <c r="A422" s="2">
        <f ca="1">IFERROR(__xludf.DUMMYFUNCTION("""COMPUTED_VALUE"""),858)</f>
        <v>858</v>
      </c>
      <c r="B422" s="2" t="str">
        <f ca="1">IFERROR(__xludf.DUMMYFUNCTION("""COMPUTED_VALUE"""),"HP")</f>
        <v>HP</v>
      </c>
      <c r="C422" s="2" t="str">
        <f ca="1">IFERROR(__xludf.DUMMYFUNCTION("""COMPUTED_VALUE"""),"EliteBook x360")</f>
        <v>EliteBook x360</v>
      </c>
      <c r="D422" s="2" t="str">
        <f ca="1">IFERROR(__xludf.DUMMYFUNCTION("""COMPUTED_VALUE"""),"2 in 1 Convertible")</f>
        <v>2 in 1 Convertible</v>
      </c>
      <c r="E422" s="2">
        <f ca="1">IFERROR(__xludf.DUMMYFUNCTION("""COMPUTED_VALUE"""),13.3)</f>
        <v>13.3</v>
      </c>
      <c r="F422" s="2" t="str">
        <f ca="1">IFERROR(__xludf.DUMMYFUNCTION("""COMPUTED_VALUE"""),"Full HD / Touchscreen 1920x1080")</f>
        <v>Full HD / Touchscreen 1920x1080</v>
      </c>
      <c r="G422" s="2" t="str">
        <f ca="1">IFERROR(__xludf.DUMMYFUNCTION("""COMPUTED_VALUE"""),"Intel Core i5 7200U 2.5GHz")</f>
        <v>Intel Core i5 7200U 2.5GHz</v>
      </c>
      <c r="H422" s="2" t="str">
        <f ca="1">IFERROR(__xludf.DUMMYFUNCTION("""COMPUTED_VALUE"""),"8GB")</f>
        <v>8GB</v>
      </c>
      <c r="I422" s="2" t="str">
        <f ca="1">IFERROR(__xludf.DUMMYFUNCTION("""COMPUTED_VALUE"""),"256GB SSD")</f>
        <v>256GB SSD</v>
      </c>
      <c r="J422" s="2" t="str">
        <f ca="1">IFERROR(__xludf.DUMMYFUNCTION("""COMPUTED_VALUE"""),"Intel HD Graphics 620")</f>
        <v>Intel HD Graphics 620</v>
      </c>
      <c r="K422" s="2" t="str">
        <f ca="1">IFERROR(__xludf.DUMMYFUNCTION("""COMPUTED_VALUE"""),"Windows 10")</f>
        <v>Windows 10</v>
      </c>
      <c r="L422" s="2" t="str">
        <f ca="1">IFERROR(__xludf.DUMMYFUNCTION("""COMPUTED_VALUE"""),"1.28kg")</f>
        <v>1.28kg</v>
      </c>
      <c r="M422" s="2">
        <f ca="1">IFERROR(__xludf.DUMMYFUNCTION("""COMPUTED_VALUE"""),2277)</f>
        <v>2277</v>
      </c>
    </row>
    <row r="423" spans="1:13">
      <c r="A423" s="2">
        <f ca="1">IFERROR(__xludf.DUMMYFUNCTION("""COMPUTED_VALUE"""),859)</f>
        <v>859</v>
      </c>
      <c r="B423" s="2" t="str">
        <f ca="1">IFERROR(__xludf.DUMMYFUNCTION("""COMPUTED_VALUE"""),"HP")</f>
        <v>HP</v>
      </c>
      <c r="C423" s="2" t="str">
        <f ca="1">IFERROR(__xludf.DUMMYFUNCTION("""COMPUTED_VALUE"""),"EliteBook 840")</f>
        <v>EliteBook 840</v>
      </c>
      <c r="D423" s="2" t="str">
        <f ca="1">IFERROR(__xludf.DUMMYFUNCTION("""COMPUTED_VALUE"""),"Ultrabook")</f>
        <v>Ultrabook</v>
      </c>
      <c r="E423" s="2">
        <f ca="1">IFERROR(__xludf.DUMMYFUNCTION("""COMPUTED_VALUE"""),14)</f>
        <v>14</v>
      </c>
      <c r="F423" s="2" t="str">
        <f ca="1">IFERROR(__xludf.DUMMYFUNCTION("""COMPUTED_VALUE"""),"Full HD 1920x1080")</f>
        <v>Full HD 1920x1080</v>
      </c>
      <c r="G423" s="2" t="str">
        <f ca="1">IFERROR(__xludf.DUMMYFUNCTION("""COMPUTED_VALUE"""),"Intel Core i7 6500U 2.5GHz")</f>
        <v>Intel Core i7 6500U 2.5GHz</v>
      </c>
      <c r="H423" s="2" t="str">
        <f ca="1">IFERROR(__xludf.DUMMYFUNCTION("""COMPUTED_VALUE"""),"8GB")</f>
        <v>8GB</v>
      </c>
      <c r="I423" s="2" t="str">
        <f ca="1">IFERROR(__xludf.DUMMYFUNCTION("""COMPUTED_VALUE"""),"512GB SSD")</f>
        <v>512GB SSD</v>
      </c>
      <c r="J423" s="2" t="str">
        <f ca="1">IFERROR(__xludf.DUMMYFUNCTION("""COMPUTED_VALUE"""),"Intel HD Graphics 520")</f>
        <v>Intel HD Graphics 520</v>
      </c>
      <c r="K423" s="2" t="str">
        <f ca="1">IFERROR(__xludf.DUMMYFUNCTION("""COMPUTED_VALUE"""),"Windows 10")</f>
        <v>Windows 10</v>
      </c>
      <c r="L423" s="2" t="str">
        <f ca="1">IFERROR(__xludf.DUMMYFUNCTION("""COMPUTED_VALUE"""),"1.54kg")</f>
        <v>1.54kg</v>
      </c>
      <c r="M423" s="2">
        <f ca="1">IFERROR(__xludf.DUMMYFUNCTION("""COMPUTED_VALUE"""),1468)</f>
        <v>1468</v>
      </c>
    </row>
    <row r="424" spans="1:13">
      <c r="A424" s="2">
        <f ca="1">IFERROR(__xludf.DUMMYFUNCTION("""COMPUTED_VALUE"""),863)</f>
        <v>863</v>
      </c>
      <c r="B424" s="2" t="str">
        <f ca="1">IFERROR(__xludf.DUMMYFUNCTION("""COMPUTED_VALUE"""),"Dell")</f>
        <v>Dell</v>
      </c>
      <c r="C424" s="2" t="str">
        <f ca="1">IFERROR(__xludf.DUMMYFUNCTION("""COMPUTED_VALUE"""),"Inspiron 5767")</f>
        <v>Inspiron 5767</v>
      </c>
      <c r="D424" s="2" t="str">
        <f ca="1">IFERROR(__xludf.DUMMYFUNCTION("""COMPUTED_VALUE"""),"Notebook")</f>
        <v>Notebook</v>
      </c>
      <c r="E424" s="2">
        <f ca="1">IFERROR(__xludf.DUMMYFUNCTION("""COMPUTED_VALUE"""),17.3)</f>
        <v>17.3</v>
      </c>
      <c r="F424" s="2" t="str">
        <f ca="1">IFERROR(__xludf.DUMMYFUNCTION("""COMPUTED_VALUE"""),"Full HD 1920x1080")</f>
        <v>Full HD 1920x1080</v>
      </c>
      <c r="G424" s="2" t="str">
        <f ca="1">IFERROR(__xludf.DUMMYFUNCTION("""COMPUTED_VALUE"""),"Intel Core i7 7500U 2.7GHz")</f>
        <v>Intel Core i7 7500U 2.7GHz</v>
      </c>
      <c r="H424" s="2" t="str">
        <f ca="1">IFERROR(__xludf.DUMMYFUNCTION("""COMPUTED_VALUE"""),"8GB")</f>
        <v>8GB</v>
      </c>
      <c r="I424" s="2" t="str">
        <f ca="1">IFERROR(__xludf.DUMMYFUNCTION("""COMPUTED_VALUE"""),"1TB HDD")</f>
        <v>1TB HDD</v>
      </c>
      <c r="J424" s="2" t="str">
        <f ca="1">IFERROR(__xludf.DUMMYFUNCTION("""COMPUTED_VALUE"""),"AMD Radeon R7 M445")</f>
        <v>AMD Radeon R7 M445</v>
      </c>
      <c r="K424" s="2" t="str">
        <f ca="1">IFERROR(__xludf.DUMMYFUNCTION("""COMPUTED_VALUE"""),"Linux")</f>
        <v>Linux</v>
      </c>
      <c r="L424" s="2" t="str">
        <f ca="1">IFERROR(__xludf.DUMMYFUNCTION("""COMPUTED_VALUE"""),"2.83kg")</f>
        <v>2.83kg</v>
      </c>
      <c r="M424" s="2">
        <f ca="1">IFERROR(__xludf.DUMMYFUNCTION("""COMPUTED_VALUE"""),865)</f>
        <v>865</v>
      </c>
    </row>
    <row r="425" spans="1:13">
      <c r="A425" s="2">
        <f ca="1">IFERROR(__xludf.DUMMYFUNCTION("""COMPUTED_VALUE"""),864)</f>
        <v>864</v>
      </c>
      <c r="B425" s="2" t="str">
        <f ca="1">IFERROR(__xludf.DUMMYFUNCTION("""COMPUTED_VALUE"""),"Lenovo")</f>
        <v>Lenovo</v>
      </c>
      <c r="C425" s="2" t="str">
        <f ca="1">IFERROR(__xludf.DUMMYFUNCTION("""COMPUTED_VALUE"""),"ThinkPad T470p")</f>
        <v>ThinkPad T470p</v>
      </c>
      <c r="D425" s="2" t="str">
        <f ca="1">IFERROR(__xludf.DUMMYFUNCTION("""COMPUTED_VALUE"""),"Ultrabook")</f>
        <v>Ultrabook</v>
      </c>
      <c r="E425" s="2">
        <f ca="1">IFERROR(__xludf.DUMMYFUNCTION("""COMPUTED_VALUE"""),14)</f>
        <v>14</v>
      </c>
      <c r="F425" s="2" t="str">
        <f ca="1">IFERROR(__xludf.DUMMYFUNCTION("""COMPUTED_VALUE"""),"IPS Panel Full HD 1920x1080")</f>
        <v>IPS Panel Full HD 1920x1080</v>
      </c>
      <c r="G425" s="2" t="str">
        <f ca="1">IFERROR(__xludf.DUMMYFUNCTION("""COMPUTED_VALUE"""),"Intel Core i7 7700HQ 2.8GHz")</f>
        <v>Intel Core i7 7700HQ 2.8GHz</v>
      </c>
      <c r="H425" s="2" t="str">
        <f ca="1">IFERROR(__xludf.DUMMYFUNCTION("""COMPUTED_VALUE"""),"8GB")</f>
        <v>8GB</v>
      </c>
      <c r="I425" s="2" t="str">
        <f ca="1">IFERROR(__xludf.DUMMYFUNCTION("""COMPUTED_VALUE"""),"256GB SSD")</f>
        <v>256GB SSD</v>
      </c>
      <c r="J425" s="2" t="str">
        <f ca="1">IFERROR(__xludf.DUMMYFUNCTION("""COMPUTED_VALUE"""),"Nvidia GeForce GT 940MX")</f>
        <v>Nvidia GeForce GT 940MX</v>
      </c>
      <c r="K425" s="2" t="str">
        <f ca="1">IFERROR(__xludf.DUMMYFUNCTION("""COMPUTED_VALUE"""),"Windows 10")</f>
        <v>Windows 10</v>
      </c>
      <c r="L425" s="2" t="str">
        <f ca="1">IFERROR(__xludf.DUMMYFUNCTION("""COMPUTED_VALUE"""),"1.96kg")</f>
        <v>1.96kg</v>
      </c>
      <c r="M425" s="2">
        <f ca="1">IFERROR(__xludf.DUMMYFUNCTION("""COMPUTED_VALUE"""),1903)</f>
        <v>1903</v>
      </c>
    </row>
    <row r="426" spans="1:13">
      <c r="A426" s="2">
        <f ca="1">IFERROR(__xludf.DUMMYFUNCTION("""COMPUTED_VALUE"""),865)</f>
        <v>865</v>
      </c>
      <c r="B426" s="2" t="str">
        <f ca="1">IFERROR(__xludf.DUMMYFUNCTION("""COMPUTED_VALUE"""),"Asus")</f>
        <v>Asus</v>
      </c>
      <c r="C426" s="2" t="str">
        <f ca="1">IFERROR(__xludf.DUMMYFUNCTION("""COMPUTED_VALUE"""),"K556UR-DM621T (i7-7500U/8GB/256GB/GeForce")</f>
        <v>K556UR-DM621T (i7-7500U/8GB/256GB/GeForce</v>
      </c>
      <c r="D426" s="2" t="str">
        <f ca="1">IFERROR(__xludf.DUMMYFUNCTION("""COMPUTED_VALUE"""),"Notebook")</f>
        <v>Notebook</v>
      </c>
      <c r="E426" s="2">
        <f ca="1">IFERROR(__xludf.DUMMYFUNCTION("""COMPUTED_VALUE"""),15.6)</f>
        <v>15.6</v>
      </c>
      <c r="F426" s="2" t="str">
        <f ca="1">IFERROR(__xludf.DUMMYFUNCTION("""COMPUTED_VALUE"""),"IPS Panel Full HD 1920x1080")</f>
        <v>IPS Panel Full HD 1920x1080</v>
      </c>
      <c r="G426" s="2" t="str">
        <f ca="1">IFERROR(__xludf.DUMMYFUNCTION("""COMPUTED_VALUE"""),"Intel Core i7 7500U 2.7GHz")</f>
        <v>Intel Core i7 7500U 2.7GHz</v>
      </c>
      <c r="H426" s="2" t="str">
        <f ca="1">IFERROR(__xludf.DUMMYFUNCTION("""COMPUTED_VALUE"""),"8GB")</f>
        <v>8GB</v>
      </c>
      <c r="I426" s="2" t="str">
        <f ca="1">IFERROR(__xludf.DUMMYFUNCTION("""COMPUTED_VALUE"""),"256GB SSD")</f>
        <v>256GB SSD</v>
      </c>
      <c r="J426" s="2" t="str">
        <f ca="1">IFERROR(__xludf.DUMMYFUNCTION("""COMPUTED_VALUE"""),"Nvidia GeForce GTX 930MX")</f>
        <v>Nvidia GeForce GTX 930MX</v>
      </c>
      <c r="K426" s="2" t="str">
        <f ca="1">IFERROR(__xludf.DUMMYFUNCTION("""COMPUTED_VALUE"""),"Windows 10")</f>
        <v>Windows 10</v>
      </c>
      <c r="L426" s="2" t="str">
        <f ca="1">IFERROR(__xludf.DUMMYFUNCTION("""COMPUTED_VALUE"""),"2.3kg")</f>
        <v>2.3kg</v>
      </c>
      <c r="M426" s="2">
        <f ca="1">IFERROR(__xludf.DUMMYFUNCTION("""COMPUTED_VALUE"""),787)</f>
        <v>787</v>
      </c>
    </row>
    <row r="427" spans="1:13">
      <c r="A427" s="2">
        <f ca="1">IFERROR(__xludf.DUMMYFUNCTION("""COMPUTED_VALUE"""),866)</f>
        <v>866</v>
      </c>
      <c r="B427" s="2" t="str">
        <f ca="1">IFERROR(__xludf.DUMMYFUNCTION("""COMPUTED_VALUE"""),"Dell")</f>
        <v>Dell</v>
      </c>
      <c r="C427" s="2" t="str">
        <f ca="1">IFERROR(__xludf.DUMMYFUNCTION("""COMPUTED_VALUE"""),"Latitude 5580")</f>
        <v>Latitude 5580</v>
      </c>
      <c r="D427" s="2" t="str">
        <f ca="1">IFERROR(__xludf.DUMMYFUNCTION("""COMPUTED_VALUE"""),"Notebook")</f>
        <v>Notebook</v>
      </c>
      <c r="E427" s="2">
        <f ca="1">IFERROR(__xludf.DUMMYFUNCTION("""COMPUTED_VALUE"""),15.6)</f>
        <v>15.6</v>
      </c>
      <c r="F427" s="2" t="str">
        <f ca="1">IFERROR(__xludf.DUMMYFUNCTION("""COMPUTED_VALUE"""),"Full HD 1920x1080")</f>
        <v>Full HD 1920x1080</v>
      </c>
      <c r="G427" s="2" t="str">
        <f ca="1">IFERROR(__xludf.DUMMYFUNCTION("""COMPUTED_VALUE"""),"Intel Core i5 7200U 2.5GHz")</f>
        <v>Intel Core i5 7200U 2.5GHz</v>
      </c>
      <c r="H427" s="2" t="str">
        <f ca="1">IFERROR(__xludf.DUMMYFUNCTION("""COMPUTED_VALUE"""),"8GB")</f>
        <v>8GB</v>
      </c>
      <c r="I427" s="2" t="str">
        <f ca="1">IFERROR(__xludf.DUMMYFUNCTION("""COMPUTED_VALUE"""),"128GB SSD")</f>
        <v>128GB SSD</v>
      </c>
      <c r="J427" s="2" t="str">
        <f ca="1">IFERROR(__xludf.DUMMYFUNCTION("""COMPUTED_VALUE"""),"Intel HD Graphics 620")</f>
        <v>Intel HD Graphics 620</v>
      </c>
      <c r="K427" s="2" t="str">
        <f ca="1">IFERROR(__xludf.DUMMYFUNCTION("""COMPUTED_VALUE"""),"Windows 10")</f>
        <v>Windows 10</v>
      </c>
      <c r="L427" s="2" t="str">
        <f ca="1">IFERROR(__xludf.DUMMYFUNCTION("""COMPUTED_VALUE"""),"1.9kg")</f>
        <v>1.9kg</v>
      </c>
      <c r="M427" s="2">
        <f ca="1">IFERROR(__xludf.DUMMYFUNCTION("""COMPUTED_VALUE"""),945)</f>
        <v>945</v>
      </c>
    </row>
    <row r="428" spans="1:13">
      <c r="A428" s="2">
        <f ca="1">IFERROR(__xludf.DUMMYFUNCTION("""COMPUTED_VALUE"""),868)</f>
        <v>868</v>
      </c>
      <c r="B428" s="2" t="str">
        <f ca="1">IFERROR(__xludf.DUMMYFUNCTION("""COMPUTED_VALUE"""),"HP")</f>
        <v>HP</v>
      </c>
      <c r="C428" s="2" t="str">
        <f ca="1">IFERROR(__xludf.DUMMYFUNCTION("""COMPUTED_VALUE"""),"EliteBook x360")</f>
        <v>EliteBook x360</v>
      </c>
      <c r="D428" s="2" t="str">
        <f ca="1">IFERROR(__xludf.DUMMYFUNCTION("""COMPUTED_VALUE"""),"2 in 1 Convertible")</f>
        <v>2 in 1 Convertible</v>
      </c>
      <c r="E428" s="2">
        <f ca="1">IFERROR(__xludf.DUMMYFUNCTION("""COMPUTED_VALUE"""),13.3)</f>
        <v>13.3</v>
      </c>
      <c r="F428" s="2" t="str">
        <f ca="1">IFERROR(__xludf.DUMMYFUNCTION("""COMPUTED_VALUE"""),"Full HD / Touchscreen 1920x1080")</f>
        <v>Full HD / Touchscreen 1920x1080</v>
      </c>
      <c r="G428" s="2" t="str">
        <f ca="1">IFERROR(__xludf.DUMMYFUNCTION("""COMPUTED_VALUE"""),"Intel Core i7 7600U 2.8GHz")</f>
        <v>Intel Core i7 7600U 2.8GHz</v>
      </c>
      <c r="H428" s="2" t="str">
        <f ca="1">IFERROR(__xludf.DUMMYFUNCTION("""COMPUTED_VALUE"""),"8GB")</f>
        <v>8GB</v>
      </c>
      <c r="I428" s="2" t="str">
        <f ca="1">IFERROR(__xludf.DUMMYFUNCTION("""COMPUTED_VALUE"""),"256GB SSD")</f>
        <v>256GB SSD</v>
      </c>
      <c r="J428" s="2" t="str">
        <f ca="1">IFERROR(__xludf.DUMMYFUNCTION("""COMPUTED_VALUE"""),"Intel HD Graphics 620")</f>
        <v>Intel HD Graphics 620</v>
      </c>
      <c r="K428" s="2" t="str">
        <f ca="1">IFERROR(__xludf.DUMMYFUNCTION("""COMPUTED_VALUE"""),"Windows 10")</f>
        <v>Windows 10</v>
      </c>
      <c r="L428" s="2" t="str">
        <f ca="1">IFERROR(__xludf.DUMMYFUNCTION("""COMPUTED_VALUE"""),"1.28kg")</f>
        <v>1.28kg</v>
      </c>
      <c r="M428" s="2">
        <f ca="1">IFERROR(__xludf.DUMMYFUNCTION("""COMPUTED_VALUE"""),2559)</f>
        <v>2559</v>
      </c>
    </row>
    <row r="429" spans="1:13">
      <c r="A429" s="2">
        <f ca="1">IFERROR(__xludf.DUMMYFUNCTION("""COMPUTED_VALUE"""),869)</f>
        <v>869</v>
      </c>
      <c r="B429" s="2" t="str">
        <f ca="1">IFERROR(__xludf.DUMMYFUNCTION("""COMPUTED_VALUE"""),"Dell")</f>
        <v>Dell</v>
      </c>
      <c r="C429" s="2" t="str">
        <f ca="1">IFERROR(__xludf.DUMMYFUNCTION("""COMPUTED_VALUE"""),"Inspiron 5368")</f>
        <v>Inspiron 5368</v>
      </c>
      <c r="D429" s="2" t="str">
        <f ca="1">IFERROR(__xludf.DUMMYFUNCTION("""COMPUTED_VALUE"""),"Notebook")</f>
        <v>Notebook</v>
      </c>
      <c r="E429" s="2">
        <f ca="1">IFERROR(__xludf.DUMMYFUNCTION("""COMPUTED_VALUE"""),13.3)</f>
        <v>13.3</v>
      </c>
      <c r="F429" s="2" t="str">
        <f ca="1">IFERROR(__xludf.DUMMYFUNCTION("""COMPUTED_VALUE"""),"Full HD / Touchscreen 1920x1080")</f>
        <v>Full HD / Touchscreen 1920x1080</v>
      </c>
      <c r="G429" s="2" t="str">
        <f ca="1">IFERROR(__xludf.DUMMYFUNCTION("""COMPUTED_VALUE"""),"Intel Core i5 6200U 2.3GHz")</f>
        <v>Intel Core i5 6200U 2.3GHz</v>
      </c>
      <c r="H429" s="2" t="str">
        <f ca="1">IFERROR(__xludf.DUMMYFUNCTION("""COMPUTED_VALUE"""),"8GB")</f>
        <v>8GB</v>
      </c>
      <c r="I429" s="2" t="str">
        <f ca="1">IFERROR(__xludf.DUMMYFUNCTION("""COMPUTED_VALUE"""),"1TB HDD")</f>
        <v>1TB HDD</v>
      </c>
      <c r="J429" s="2" t="str">
        <f ca="1">IFERROR(__xludf.DUMMYFUNCTION("""COMPUTED_VALUE"""),"Intel HD Graphics 520")</f>
        <v>Intel HD Graphics 520</v>
      </c>
      <c r="K429" s="2" t="str">
        <f ca="1">IFERROR(__xludf.DUMMYFUNCTION("""COMPUTED_VALUE"""),"Windows 10")</f>
        <v>Windows 10</v>
      </c>
      <c r="L429" s="2" t="str">
        <f ca="1">IFERROR(__xludf.DUMMYFUNCTION("""COMPUTED_VALUE"""),"1.62kg")</f>
        <v>1.62kg</v>
      </c>
      <c r="M429" s="2">
        <f ca="1">IFERROR(__xludf.DUMMYFUNCTION("""COMPUTED_VALUE"""),649)</f>
        <v>649</v>
      </c>
    </row>
    <row r="430" spans="1:13">
      <c r="A430" s="2">
        <f ca="1">IFERROR(__xludf.DUMMYFUNCTION("""COMPUTED_VALUE"""),871)</f>
        <v>871</v>
      </c>
      <c r="B430" s="2" t="str">
        <f ca="1">IFERROR(__xludf.DUMMYFUNCTION("""COMPUTED_VALUE"""),"Lenovo")</f>
        <v>Lenovo</v>
      </c>
      <c r="C430" s="2" t="str">
        <f ca="1">IFERROR(__xludf.DUMMYFUNCTION("""COMPUTED_VALUE"""),"ThinkPad E570")</f>
        <v>ThinkPad E570</v>
      </c>
      <c r="D430" s="2" t="str">
        <f ca="1">IFERROR(__xludf.DUMMYFUNCTION("""COMPUTED_VALUE"""),"Notebook")</f>
        <v>Notebook</v>
      </c>
      <c r="E430" s="2">
        <f ca="1">IFERROR(__xludf.DUMMYFUNCTION("""COMPUTED_VALUE"""),15.6)</f>
        <v>15.6</v>
      </c>
      <c r="F430" s="2" t="str">
        <f ca="1">IFERROR(__xludf.DUMMYFUNCTION("""COMPUTED_VALUE"""),"IPS Panel Full HD 1920x1080")</f>
        <v>IPS Panel Full HD 1920x1080</v>
      </c>
      <c r="G430" s="2" t="str">
        <f ca="1">IFERROR(__xludf.DUMMYFUNCTION("""COMPUTED_VALUE"""),"Intel Core i5 7200U 2.5GHz")</f>
        <v>Intel Core i5 7200U 2.5GHz</v>
      </c>
      <c r="H430" s="2" t="str">
        <f ca="1">IFERROR(__xludf.DUMMYFUNCTION("""COMPUTED_VALUE"""),"8GB")</f>
        <v>8GB</v>
      </c>
      <c r="I430" s="2" t="str">
        <f ca="1">IFERROR(__xludf.DUMMYFUNCTION("""COMPUTED_VALUE"""),"1TB HDD")</f>
        <v>1TB HDD</v>
      </c>
      <c r="J430" s="2" t="str">
        <f ca="1">IFERROR(__xludf.DUMMYFUNCTION("""COMPUTED_VALUE"""),"Intel HD Graphics 620")</f>
        <v>Intel HD Graphics 620</v>
      </c>
      <c r="K430" s="2" t="str">
        <f ca="1">IFERROR(__xludf.DUMMYFUNCTION("""COMPUTED_VALUE"""),"Windows 10")</f>
        <v>Windows 10</v>
      </c>
      <c r="L430" s="2" t="str">
        <f ca="1">IFERROR(__xludf.DUMMYFUNCTION("""COMPUTED_VALUE"""),"2.3kg")</f>
        <v>2.3kg</v>
      </c>
      <c r="M430" s="2">
        <f ca="1">IFERROR(__xludf.DUMMYFUNCTION("""COMPUTED_VALUE"""),850.66)</f>
        <v>850.66</v>
      </c>
    </row>
    <row r="431" spans="1:13">
      <c r="A431" s="2">
        <f ca="1">IFERROR(__xludf.DUMMYFUNCTION("""COMPUTED_VALUE"""),872)</f>
        <v>872</v>
      </c>
      <c r="B431" s="2" t="str">
        <f ca="1">IFERROR(__xludf.DUMMYFUNCTION("""COMPUTED_VALUE"""),"HP")</f>
        <v>HP</v>
      </c>
      <c r="C431" s="2" t="str">
        <f ca="1">IFERROR(__xludf.DUMMYFUNCTION("""COMPUTED_VALUE"""),"EliteBook 850")</f>
        <v>EliteBook 850</v>
      </c>
      <c r="D431" s="2" t="str">
        <f ca="1">IFERROR(__xludf.DUMMYFUNCTION("""COMPUTED_VALUE"""),"Notebook")</f>
        <v>Notebook</v>
      </c>
      <c r="E431" s="2">
        <f ca="1">IFERROR(__xludf.DUMMYFUNCTION("""COMPUTED_VALUE"""),15.6)</f>
        <v>15.6</v>
      </c>
      <c r="F431" s="2" t="str">
        <f ca="1">IFERROR(__xludf.DUMMYFUNCTION("""COMPUTED_VALUE"""),"Full HD 1920x1080")</f>
        <v>Full HD 1920x1080</v>
      </c>
      <c r="G431" s="2" t="str">
        <f ca="1">IFERROR(__xludf.DUMMYFUNCTION("""COMPUTED_VALUE"""),"Intel Core i5 7300U 2.6GHz")</f>
        <v>Intel Core i5 7300U 2.6GHz</v>
      </c>
      <c r="H431" s="2" t="str">
        <f ca="1">IFERROR(__xludf.DUMMYFUNCTION("""COMPUTED_VALUE"""),"8GB")</f>
        <v>8GB</v>
      </c>
      <c r="I431" s="2" t="str">
        <f ca="1">IFERROR(__xludf.DUMMYFUNCTION("""COMPUTED_VALUE"""),"256GB SSD")</f>
        <v>256GB SSD</v>
      </c>
      <c r="J431" s="2" t="str">
        <f ca="1">IFERROR(__xludf.DUMMYFUNCTION("""COMPUTED_VALUE"""),"AMD Radeon R7 M465")</f>
        <v>AMD Radeon R7 M465</v>
      </c>
      <c r="K431" s="2" t="str">
        <f ca="1">IFERROR(__xludf.DUMMYFUNCTION("""COMPUTED_VALUE"""),"Windows 10")</f>
        <v>Windows 10</v>
      </c>
      <c r="L431" s="2" t="str">
        <f ca="1">IFERROR(__xludf.DUMMYFUNCTION("""COMPUTED_VALUE"""),"1.84kg")</f>
        <v>1.84kg</v>
      </c>
      <c r="M431" s="2">
        <f ca="1">IFERROR(__xludf.DUMMYFUNCTION("""COMPUTED_VALUE"""),1349)</f>
        <v>1349</v>
      </c>
    </row>
    <row r="432" spans="1:13">
      <c r="A432" s="2">
        <f ca="1">IFERROR(__xludf.DUMMYFUNCTION("""COMPUTED_VALUE"""),874)</f>
        <v>874</v>
      </c>
      <c r="B432" s="2" t="str">
        <f ca="1">IFERROR(__xludf.DUMMYFUNCTION("""COMPUTED_VALUE"""),"Lenovo")</f>
        <v>Lenovo</v>
      </c>
      <c r="C432" s="2" t="str">
        <f ca="1">IFERROR(__xludf.DUMMYFUNCTION("""COMPUTED_VALUE"""),"Legion Y520-15IKBN")</f>
        <v>Legion Y520-15IKBN</v>
      </c>
      <c r="D432" s="2" t="str">
        <f ca="1">IFERROR(__xludf.DUMMYFUNCTION("""COMPUTED_VALUE"""),"Gaming")</f>
        <v>Gaming</v>
      </c>
      <c r="E432" s="2">
        <f ca="1">IFERROR(__xludf.DUMMYFUNCTION("""COMPUTED_VALUE"""),15.6)</f>
        <v>15.6</v>
      </c>
      <c r="F432" s="2" t="str">
        <f ca="1">IFERROR(__xludf.DUMMYFUNCTION("""COMPUTED_VALUE"""),"IPS Panel Full HD 1920x1080")</f>
        <v>IPS Panel Full HD 1920x1080</v>
      </c>
      <c r="G432" s="2" t="str">
        <f ca="1">IFERROR(__xludf.DUMMYFUNCTION("""COMPUTED_VALUE"""),"Intel Core i5 7300HQ 2.5GHz")</f>
        <v>Intel Core i5 7300HQ 2.5GHz</v>
      </c>
      <c r="H432" s="2" t="str">
        <f ca="1">IFERROR(__xludf.DUMMYFUNCTION("""COMPUTED_VALUE"""),"8GB")</f>
        <v>8GB</v>
      </c>
      <c r="I432" s="2" t="str">
        <f ca="1">IFERROR(__xludf.DUMMYFUNCTION("""COMPUTED_VALUE"""),"1TB HDD")</f>
        <v>1TB HDD</v>
      </c>
      <c r="J432" s="2" t="str">
        <f ca="1">IFERROR(__xludf.DUMMYFUNCTION("""COMPUTED_VALUE"""),"Nvidia GeForce GTX 1050")</f>
        <v>Nvidia GeForce GTX 1050</v>
      </c>
      <c r="K432" s="2" t="str">
        <f ca="1">IFERROR(__xludf.DUMMYFUNCTION("""COMPUTED_VALUE"""),"No OS")</f>
        <v>No OS</v>
      </c>
      <c r="L432" s="2" t="str">
        <f ca="1">IFERROR(__xludf.DUMMYFUNCTION("""COMPUTED_VALUE"""),"2.5kg")</f>
        <v>2.5kg</v>
      </c>
      <c r="M432" s="2">
        <f ca="1">IFERROR(__xludf.DUMMYFUNCTION("""COMPUTED_VALUE"""),1017)</f>
        <v>1017</v>
      </c>
    </row>
    <row r="433" spans="1:13">
      <c r="A433" s="2">
        <f ca="1">IFERROR(__xludf.DUMMYFUNCTION("""COMPUTED_VALUE"""),877)</f>
        <v>877</v>
      </c>
      <c r="B433" s="2" t="str">
        <f ca="1">IFERROR(__xludf.DUMMYFUNCTION("""COMPUTED_VALUE"""),"Toshiba")</f>
        <v>Toshiba</v>
      </c>
      <c r="C433" s="2" t="str">
        <f ca="1">IFERROR(__xludf.DUMMYFUNCTION("""COMPUTED_VALUE"""),"Portégé Z30-C-188")</f>
        <v>Portégé Z30-C-188</v>
      </c>
      <c r="D433" s="2" t="str">
        <f ca="1">IFERROR(__xludf.DUMMYFUNCTION("""COMPUTED_VALUE"""),"Ultrabook")</f>
        <v>Ultrabook</v>
      </c>
      <c r="E433" s="2">
        <f ca="1">IFERROR(__xludf.DUMMYFUNCTION("""COMPUTED_VALUE"""),13.3)</f>
        <v>13.3</v>
      </c>
      <c r="F433" s="2" t="str">
        <f ca="1">IFERROR(__xludf.DUMMYFUNCTION("""COMPUTED_VALUE"""),"1366x768")</f>
        <v>1366x768</v>
      </c>
      <c r="G433" s="2" t="str">
        <f ca="1">IFERROR(__xludf.DUMMYFUNCTION("""COMPUTED_VALUE"""),"Intel Core i5 6200U 2.3GHz")</f>
        <v>Intel Core i5 6200U 2.3GHz</v>
      </c>
      <c r="H433" s="2" t="str">
        <f ca="1">IFERROR(__xludf.DUMMYFUNCTION("""COMPUTED_VALUE"""),"8GB")</f>
        <v>8GB</v>
      </c>
      <c r="I433" s="2" t="str">
        <f ca="1">IFERROR(__xludf.DUMMYFUNCTION("""COMPUTED_VALUE"""),"256GB SSD")</f>
        <v>256GB SSD</v>
      </c>
      <c r="J433" s="2" t="str">
        <f ca="1">IFERROR(__xludf.DUMMYFUNCTION("""COMPUTED_VALUE"""),"Intel HD Graphics 520")</f>
        <v>Intel HD Graphics 520</v>
      </c>
      <c r="K433" s="2" t="str">
        <f ca="1">IFERROR(__xludf.DUMMYFUNCTION("""COMPUTED_VALUE"""),"Windows 10")</f>
        <v>Windows 10</v>
      </c>
      <c r="L433" s="2" t="str">
        <f ca="1">IFERROR(__xludf.DUMMYFUNCTION("""COMPUTED_VALUE"""),"1.2kg")</f>
        <v>1.2kg</v>
      </c>
      <c r="M433" s="2">
        <f ca="1">IFERROR(__xludf.DUMMYFUNCTION("""COMPUTED_VALUE"""),1095)</f>
        <v>1095</v>
      </c>
    </row>
    <row r="434" spans="1:13">
      <c r="A434" s="2">
        <f ca="1">IFERROR(__xludf.DUMMYFUNCTION("""COMPUTED_VALUE"""),878)</f>
        <v>878</v>
      </c>
      <c r="B434" s="2" t="str">
        <f ca="1">IFERROR(__xludf.DUMMYFUNCTION("""COMPUTED_VALUE"""),"Lenovo")</f>
        <v>Lenovo</v>
      </c>
      <c r="C434" s="2" t="str">
        <f ca="1">IFERROR(__xludf.DUMMYFUNCTION("""COMPUTED_VALUE"""),"ThinkPad Yoga")</f>
        <v>ThinkPad Yoga</v>
      </c>
      <c r="D434" s="2" t="str">
        <f ca="1">IFERROR(__xludf.DUMMYFUNCTION("""COMPUTED_VALUE"""),"2 in 1 Convertible")</f>
        <v>2 in 1 Convertible</v>
      </c>
      <c r="E434" s="2">
        <f ca="1">IFERROR(__xludf.DUMMYFUNCTION("""COMPUTED_VALUE"""),13.3)</f>
        <v>13.3</v>
      </c>
      <c r="F434" s="2" t="str">
        <f ca="1">IFERROR(__xludf.DUMMYFUNCTION("""COMPUTED_VALUE"""),"IPS Panel Full HD / Touchscreen 1920x1080")</f>
        <v>IPS Panel Full HD / Touchscreen 1920x1080</v>
      </c>
      <c r="G434" s="2" t="str">
        <f ca="1">IFERROR(__xludf.DUMMYFUNCTION("""COMPUTED_VALUE"""),"Intel Core i7 7500U 2.7GHz")</f>
        <v>Intel Core i7 7500U 2.7GHz</v>
      </c>
      <c r="H434" s="2" t="str">
        <f ca="1">IFERROR(__xludf.DUMMYFUNCTION("""COMPUTED_VALUE"""),"8GB")</f>
        <v>8GB</v>
      </c>
      <c r="I434" s="2" t="str">
        <f ca="1">IFERROR(__xludf.DUMMYFUNCTION("""COMPUTED_VALUE"""),"256GB SSD")</f>
        <v>256GB SSD</v>
      </c>
      <c r="J434" s="2" t="str">
        <f ca="1">IFERROR(__xludf.DUMMYFUNCTION("""COMPUTED_VALUE"""),"Intel HD Graphics 620")</f>
        <v>Intel HD Graphics 620</v>
      </c>
      <c r="K434" s="2" t="str">
        <f ca="1">IFERROR(__xludf.DUMMYFUNCTION("""COMPUTED_VALUE"""),"Windows 10")</f>
        <v>Windows 10</v>
      </c>
      <c r="L434" s="2" t="str">
        <f ca="1">IFERROR(__xludf.DUMMYFUNCTION("""COMPUTED_VALUE"""),"1.37kg")</f>
        <v>1.37kg</v>
      </c>
      <c r="M434" s="2">
        <f ca="1">IFERROR(__xludf.DUMMYFUNCTION("""COMPUTED_VALUE"""),1950)</f>
        <v>1950</v>
      </c>
    </row>
    <row r="435" spans="1:13">
      <c r="A435" s="2">
        <f ca="1">IFERROR(__xludf.DUMMYFUNCTION("""COMPUTED_VALUE"""),879)</f>
        <v>879</v>
      </c>
      <c r="B435" s="2" t="str">
        <f ca="1">IFERROR(__xludf.DUMMYFUNCTION("""COMPUTED_VALUE"""),"Acer")</f>
        <v>Acer</v>
      </c>
      <c r="C435" s="2" t="str">
        <f ca="1">IFERROR(__xludf.DUMMYFUNCTION("""COMPUTED_VALUE"""),"TMX349-G2-M-50FS (i5-7200U/8GB/256GB/FHD/W10)")</f>
        <v>TMX349-G2-M-50FS (i5-7200U/8GB/256GB/FHD/W10)</v>
      </c>
      <c r="D435" s="2" t="str">
        <f ca="1">IFERROR(__xludf.DUMMYFUNCTION("""COMPUTED_VALUE"""),"Notebook")</f>
        <v>Notebook</v>
      </c>
      <c r="E435" s="2">
        <f ca="1">IFERROR(__xludf.DUMMYFUNCTION("""COMPUTED_VALUE"""),14)</f>
        <v>14</v>
      </c>
      <c r="F435" s="2" t="str">
        <f ca="1">IFERROR(__xludf.DUMMYFUNCTION("""COMPUTED_VALUE"""),"IPS Panel Full HD 1920x1080")</f>
        <v>IPS Panel Full HD 1920x1080</v>
      </c>
      <c r="G435" s="2" t="str">
        <f ca="1">IFERROR(__xludf.DUMMYFUNCTION("""COMPUTED_VALUE"""),"Intel Core i5 7200U 2.5GHz")</f>
        <v>Intel Core i5 7200U 2.5GHz</v>
      </c>
      <c r="H435" s="2" t="str">
        <f ca="1">IFERROR(__xludf.DUMMYFUNCTION("""COMPUTED_VALUE"""),"8GB")</f>
        <v>8GB</v>
      </c>
      <c r="I435" s="2" t="str">
        <f ca="1">IFERROR(__xludf.DUMMYFUNCTION("""COMPUTED_VALUE"""),"256GB SSD")</f>
        <v>256GB SSD</v>
      </c>
      <c r="J435" s="2" t="str">
        <f ca="1">IFERROR(__xludf.DUMMYFUNCTION("""COMPUTED_VALUE"""),"Intel HD Graphics 620")</f>
        <v>Intel HD Graphics 620</v>
      </c>
      <c r="K435" s="2" t="str">
        <f ca="1">IFERROR(__xludf.DUMMYFUNCTION("""COMPUTED_VALUE"""),"Windows 10")</f>
        <v>Windows 10</v>
      </c>
      <c r="L435" s="2" t="str">
        <f ca="1">IFERROR(__xludf.DUMMYFUNCTION("""COMPUTED_VALUE"""),"1.56kg")</f>
        <v>1.56kg</v>
      </c>
      <c r="M435" s="2">
        <f ca="1">IFERROR(__xludf.DUMMYFUNCTION("""COMPUTED_VALUE"""),902)</f>
        <v>902</v>
      </c>
    </row>
    <row r="436" spans="1:13">
      <c r="A436" s="2">
        <f ca="1">IFERROR(__xludf.DUMMYFUNCTION("""COMPUTED_VALUE"""),880)</f>
        <v>880</v>
      </c>
      <c r="B436" s="2" t="str">
        <f ca="1">IFERROR(__xludf.DUMMYFUNCTION("""COMPUTED_VALUE"""),"Dell")</f>
        <v>Dell</v>
      </c>
      <c r="C436" s="2" t="str">
        <f ca="1">IFERROR(__xludf.DUMMYFUNCTION("""COMPUTED_VALUE"""),"Precision 3520")</f>
        <v>Precision 3520</v>
      </c>
      <c r="D436" s="2" t="str">
        <f ca="1">IFERROR(__xludf.DUMMYFUNCTION("""COMPUTED_VALUE"""),"Workstation")</f>
        <v>Workstation</v>
      </c>
      <c r="E436" s="2">
        <f ca="1">IFERROR(__xludf.DUMMYFUNCTION("""COMPUTED_VALUE"""),15.6)</f>
        <v>15.6</v>
      </c>
      <c r="F436" s="2" t="str">
        <f ca="1">IFERROR(__xludf.DUMMYFUNCTION("""COMPUTED_VALUE"""),"Full HD 1920x1080")</f>
        <v>Full HD 1920x1080</v>
      </c>
      <c r="G436" s="2" t="str">
        <f ca="1">IFERROR(__xludf.DUMMYFUNCTION("""COMPUTED_VALUE"""),"Intel Core i7 7700HQ 2.8GHz")</f>
        <v>Intel Core i7 7700HQ 2.8GHz</v>
      </c>
      <c r="H436" s="2" t="str">
        <f ca="1">IFERROR(__xludf.DUMMYFUNCTION("""COMPUTED_VALUE"""),"8GB")</f>
        <v>8GB</v>
      </c>
      <c r="I436" s="2" t="str">
        <f ca="1">IFERROR(__xludf.DUMMYFUNCTION("""COMPUTED_VALUE"""),"1TB HDD")</f>
        <v>1TB HDD</v>
      </c>
      <c r="J436" s="2" t="str">
        <f ca="1">IFERROR(__xludf.DUMMYFUNCTION("""COMPUTED_VALUE"""),"Nvidia Quadro M620")</f>
        <v>Nvidia Quadro M620</v>
      </c>
      <c r="K436" s="2" t="str">
        <f ca="1">IFERROR(__xludf.DUMMYFUNCTION("""COMPUTED_VALUE"""),"Windows 10")</f>
        <v>Windows 10</v>
      </c>
      <c r="L436" s="2" t="str">
        <f ca="1">IFERROR(__xludf.DUMMYFUNCTION("""COMPUTED_VALUE"""),"2.23kg")</f>
        <v>2.23kg</v>
      </c>
      <c r="M436" s="2">
        <f ca="1">IFERROR(__xludf.DUMMYFUNCTION("""COMPUTED_VALUE"""),1778)</f>
        <v>1778</v>
      </c>
    </row>
    <row r="437" spans="1:13">
      <c r="A437" s="2">
        <f ca="1">IFERROR(__xludf.DUMMYFUNCTION("""COMPUTED_VALUE"""),883)</f>
        <v>883</v>
      </c>
      <c r="B437" s="2" t="str">
        <f ca="1">IFERROR(__xludf.DUMMYFUNCTION("""COMPUTED_VALUE"""),"Toshiba")</f>
        <v>Toshiba</v>
      </c>
      <c r="C437" s="2" t="str">
        <f ca="1">IFERROR(__xludf.DUMMYFUNCTION("""COMPUTED_VALUE"""),"Tecra A50-D-11D")</f>
        <v>Tecra A50-D-11D</v>
      </c>
      <c r="D437" s="2" t="str">
        <f ca="1">IFERROR(__xludf.DUMMYFUNCTION("""COMPUTED_VALUE"""),"Notebook")</f>
        <v>Notebook</v>
      </c>
      <c r="E437" s="2">
        <f ca="1">IFERROR(__xludf.DUMMYFUNCTION("""COMPUTED_VALUE"""),15.6)</f>
        <v>15.6</v>
      </c>
      <c r="F437" s="2" t="str">
        <f ca="1">IFERROR(__xludf.DUMMYFUNCTION("""COMPUTED_VALUE"""),"IPS Panel Full HD 1920x1080")</f>
        <v>IPS Panel Full HD 1920x1080</v>
      </c>
      <c r="G437" s="2" t="str">
        <f ca="1">IFERROR(__xludf.DUMMYFUNCTION("""COMPUTED_VALUE"""),"Intel Core i7 7500U 2.7GHz")</f>
        <v>Intel Core i7 7500U 2.7GHz</v>
      </c>
      <c r="H437" s="2" t="str">
        <f ca="1">IFERROR(__xludf.DUMMYFUNCTION("""COMPUTED_VALUE"""),"8GB")</f>
        <v>8GB</v>
      </c>
      <c r="I437" s="2" t="str">
        <f ca="1">IFERROR(__xludf.DUMMYFUNCTION("""COMPUTED_VALUE"""),"256GB SSD")</f>
        <v>256GB SSD</v>
      </c>
      <c r="J437" s="2" t="str">
        <f ca="1">IFERROR(__xludf.DUMMYFUNCTION("""COMPUTED_VALUE"""),"Intel HD Graphics 620")</f>
        <v>Intel HD Graphics 620</v>
      </c>
      <c r="K437" s="2" t="str">
        <f ca="1">IFERROR(__xludf.DUMMYFUNCTION("""COMPUTED_VALUE"""),"Windows 10")</f>
        <v>Windows 10</v>
      </c>
      <c r="L437" s="2" t="str">
        <f ca="1">IFERROR(__xludf.DUMMYFUNCTION("""COMPUTED_VALUE"""),"2.0kg")</f>
        <v>2.0kg</v>
      </c>
      <c r="M437" s="2">
        <f ca="1">IFERROR(__xludf.DUMMYFUNCTION("""COMPUTED_VALUE"""),1388)</f>
        <v>1388</v>
      </c>
    </row>
    <row r="438" spans="1:13">
      <c r="A438" s="2">
        <f ca="1">IFERROR(__xludf.DUMMYFUNCTION("""COMPUTED_VALUE"""),886)</f>
        <v>886</v>
      </c>
      <c r="B438" s="2" t="str">
        <f ca="1">IFERROR(__xludf.DUMMYFUNCTION("""COMPUTED_VALUE"""),"Dell")</f>
        <v>Dell</v>
      </c>
      <c r="C438" s="2" t="str">
        <f ca="1">IFERROR(__xludf.DUMMYFUNCTION("""COMPUTED_VALUE"""),"Latitude 7280")</f>
        <v>Latitude 7280</v>
      </c>
      <c r="D438" s="2" t="str">
        <f ca="1">IFERROR(__xludf.DUMMYFUNCTION("""COMPUTED_VALUE"""),"Ultrabook")</f>
        <v>Ultrabook</v>
      </c>
      <c r="E438" s="2">
        <f ca="1">IFERROR(__xludf.DUMMYFUNCTION("""COMPUTED_VALUE"""),12.5)</f>
        <v>12.5</v>
      </c>
      <c r="F438" s="2" t="str">
        <f ca="1">IFERROR(__xludf.DUMMYFUNCTION("""COMPUTED_VALUE"""),"Full HD 1920x1080")</f>
        <v>Full HD 1920x1080</v>
      </c>
      <c r="G438" s="2" t="str">
        <f ca="1">IFERROR(__xludf.DUMMYFUNCTION("""COMPUTED_VALUE"""),"Intel Core i7 7600U 2.8GHz")</f>
        <v>Intel Core i7 7600U 2.8GHz</v>
      </c>
      <c r="H438" s="2" t="str">
        <f ca="1">IFERROR(__xludf.DUMMYFUNCTION("""COMPUTED_VALUE"""),"8GB")</f>
        <v>8GB</v>
      </c>
      <c r="I438" s="2" t="str">
        <f ca="1">IFERROR(__xludf.DUMMYFUNCTION("""COMPUTED_VALUE"""),"256GB SSD")</f>
        <v>256GB SSD</v>
      </c>
      <c r="J438" s="2" t="str">
        <f ca="1">IFERROR(__xludf.DUMMYFUNCTION("""COMPUTED_VALUE"""),"Intel HD Graphics 620")</f>
        <v>Intel HD Graphics 620</v>
      </c>
      <c r="K438" s="2" t="str">
        <f ca="1">IFERROR(__xludf.DUMMYFUNCTION("""COMPUTED_VALUE"""),"Windows 10")</f>
        <v>Windows 10</v>
      </c>
      <c r="L438" s="2" t="str">
        <f ca="1">IFERROR(__xludf.DUMMYFUNCTION("""COMPUTED_VALUE"""),"1.6kg")</f>
        <v>1.6kg</v>
      </c>
      <c r="M438" s="2">
        <f ca="1">IFERROR(__xludf.DUMMYFUNCTION("""COMPUTED_VALUE"""),1690)</f>
        <v>1690</v>
      </c>
    </row>
    <row r="439" spans="1:13">
      <c r="A439" s="2">
        <f ca="1">IFERROR(__xludf.DUMMYFUNCTION("""COMPUTED_VALUE"""),888)</f>
        <v>888</v>
      </c>
      <c r="B439" s="2" t="str">
        <f ca="1">IFERROR(__xludf.DUMMYFUNCTION("""COMPUTED_VALUE"""),"Xiaomi")</f>
        <v>Xiaomi</v>
      </c>
      <c r="C439" s="2" t="str">
        <f ca="1">IFERROR(__xludf.DUMMYFUNCTION("""COMPUTED_VALUE"""),"Mi Notebook")</f>
        <v>Mi Notebook</v>
      </c>
      <c r="D439" s="2" t="str">
        <f ca="1">IFERROR(__xludf.DUMMYFUNCTION("""COMPUTED_VALUE"""),"Ultrabook")</f>
        <v>Ultrabook</v>
      </c>
      <c r="E439" s="2">
        <f ca="1">IFERROR(__xludf.DUMMYFUNCTION("""COMPUTED_VALUE"""),13.3)</f>
        <v>13.3</v>
      </c>
      <c r="F439" s="2" t="str">
        <f ca="1">IFERROR(__xludf.DUMMYFUNCTION("""COMPUTED_VALUE"""),"IPS Panel Full HD 1920x1080")</f>
        <v>IPS Panel Full HD 1920x1080</v>
      </c>
      <c r="G439" s="2" t="str">
        <f ca="1">IFERROR(__xludf.DUMMYFUNCTION("""COMPUTED_VALUE"""),"Intel Core i5 6200U 2.3GHz")</f>
        <v>Intel Core i5 6200U 2.3GHz</v>
      </c>
      <c r="H439" s="2" t="str">
        <f ca="1">IFERROR(__xludf.DUMMYFUNCTION("""COMPUTED_VALUE"""),"8GB")</f>
        <v>8GB</v>
      </c>
      <c r="I439" s="2" t="str">
        <f ca="1">IFERROR(__xludf.DUMMYFUNCTION("""COMPUTED_VALUE"""),"256GB SSD")</f>
        <v>256GB SSD</v>
      </c>
      <c r="J439" s="2" t="str">
        <f ca="1">IFERROR(__xludf.DUMMYFUNCTION("""COMPUTED_VALUE"""),"Nvidia GeForce 940MX")</f>
        <v>Nvidia GeForce 940MX</v>
      </c>
      <c r="K439" s="2" t="str">
        <f ca="1">IFERROR(__xludf.DUMMYFUNCTION("""COMPUTED_VALUE"""),"Windows 10")</f>
        <v>Windows 10</v>
      </c>
      <c r="L439" s="2" t="str">
        <f ca="1">IFERROR(__xludf.DUMMYFUNCTION("""COMPUTED_VALUE"""),"1.28kg")</f>
        <v>1.28kg</v>
      </c>
      <c r="M439" s="2">
        <f ca="1">IFERROR(__xludf.DUMMYFUNCTION("""COMPUTED_VALUE"""),935)</f>
        <v>935</v>
      </c>
    </row>
    <row r="440" spans="1:13">
      <c r="A440" s="2">
        <f ca="1">IFERROR(__xludf.DUMMYFUNCTION("""COMPUTED_VALUE"""),894)</f>
        <v>894</v>
      </c>
      <c r="B440" s="2" t="str">
        <f ca="1">IFERROR(__xludf.DUMMYFUNCTION("""COMPUTED_VALUE"""),"Lenovo")</f>
        <v>Lenovo</v>
      </c>
      <c r="C440" s="2" t="str">
        <f ca="1">IFERROR(__xludf.DUMMYFUNCTION("""COMPUTED_VALUE"""),"IdeaPad 510-15ISK")</f>
        <v>IdeaPad 510-15ISK</v>
      </c>
      <c r="D440" s="2" t="str">
        <f ca="1">IFERROR(__xludf.DUMMYFUNCTION("""COMPUTED_VALUE"""),"Notebook")</f>
        <v>Notebook</v>
      </c>
      <c r="E440" s="2">
        <f ca="1">IFERROR(__xludf.DUMMYFUNCTION("""COMPUTED_VALUE"""),15.6)</f>
        <v>15.6</v>
      </c>
      <c r="F440" s="2" t="str">
        <f ca="1">IFERROR(__xludf.DUMMYFUNCTION("""COMPUTED_VALUE"""),"IPS Panel Full HD 1920x1080")</f>
        <v>IPS Panel Full HD 1920x1080</v>
      </c>
      <c r="G440" s="2" t="str">
        <f ca="1">IFERROR(__xludf.DUMMYFUNCTION("""COMPUTED_VALUE"""),"Intel Core i7 6500U 2.5GHz")</f>
        <v>Intel Core i7 6500U 2.5GHz</v>
      </c>
      <c r="H440" s="2" t="str">
        <f ca="1">IFERROR(__xludf.DUMMYFUNCTION("""COMPUTED_VALUE"""),"8GB")</f>
        <v>8GB</v>
      </c>
      <c r="I440" s="2" t="str">
        <f ca="1">IFERROR(__xludf.DUMMYFUNCTION("""COMPUTED_VALUE"""),"1TB HDD")</f>
        <v>1TB HDD</v>
      </c>
      <c r="J440" s="2" t="str">
        <f ca="1">IFERROR(__xludf.DUMMYFUNCTION("""COMPUTED_VALUE"""),"Nvidia GeForce 940MX")</f>
        <v>Nvidia GeForce 940MX</v>
      </c>
      <c r="K440" s="2" t="str">
        <f ca="1">IFERROR(__xludf.DUMMYFUNCTION("""COMPUTED_VALUE"""),"Windows 10")</f>
        <v>Windows 10</v>
      </c>
      <c r="L440" s="2" t="str">
        <f ca="1">IFERROR(__xludf.DUMMYFUNCTION("""COMPUTED_VALUE"""),"2.2kg")</f>
        <v>2.2kg</v>
      </c>
      <c r="M440" s="2">
        <f ca="1">IFERROR(__xludf.DUMMYFUNCTION("""COMPUTED_VALUE"""),669)</f>
        <v>669</v>
      </c>
    </row>
    <row r="441" spans="1:13">
      <c r="A441" s="2">
        <f ca="1">IFERROR(__xludf.DUMMYFUNCTION("""COMPUTED_VALUE"""),903)</f>
        <v>903</v>
      </c>
      <c r="B441" s="2" t="str">
        <f ca="1">IFERROR(__xludf.DUMMYFUNCTION("""COMPUTED_VALUE"""),"Samsung")</f>
        <v>Samsung</v>
      </c>
      <c r="C441" s="2" t="str">
        <f ca="1">IFERROR(__xludf.DUMMYFUNCTION("""COMPUTED_VALUE"""),"Notebook 9")</f>
        <v>Notebook 9</v>
      </c>
      <c r="D441" s="2" t="str">
        <f ca="1">IFERROR(__xludf.DUMMYFUNCTION("""COMPUTED_VALUE"""),"Ultrabook")</f>
        <v>Ultrabook</v>
      </c>
      <c r="E441" s="2">
        <f ca="1">IFERROR(__xludf.DUMMYFUNCTION("""COMPUTED_VALUE"""),15)</f>
        <v>15</v>
      </c>
      <c r="F441" s="2" t="str">
        <f ca="1">IFERROR(__xludf.DUMMYFUNCTION("""COMPUTED_VALUE"""),"Full HD 1920x1080")</f>
        <v>Full HD 1920x1080</v>
      </c>
      <c r="G441" s="2" t="str">
        <f ca="1">IFERROR(__xludf.DUMMYFUNCTION("""COMPUTED_VALUE"""),"Intel Core i7 7500U 2.7GHz")</f>
        <v>Intel Core i7 7500U 2.7GHz</v>
      </c>
      <c r="H441" s="2" t="str">
        <f ca="1">IFERROR(__xludf.DUMMYFUNCTION("""COMPUTED_VALUE"""),"8GB")</f>
        <v>8GB</v>
      </c>
      <c r="I441" s="2" t="str">
        <f ca="1">IFERROR(__xludf.DUMMYFUNCTION("""COMPUTED_VALUE"""),"256GB SSD")</f>
        <v>256GB SSD</v>
      </c>
      <c r="J441" s="2" t="str">
        <f ca="1">IFERROR(__xludf.DUMMYFUNCTION("""COMPUTED_VALUE"""),"Intel HD Graphics 620")</f>
        <v>Intel HD Graphics 620</v>
      </c>
      <c r="K441" s="2" t="str">
        <f ca="1">IFERROR(__xludf.DUMMYFUNCTION("""COMPUTED_VALUE"""),"Windows 10")</f>
        <v>Windows 10</v>
      </c>
      <c r="L441" s="2" t="str">
        <f ca="1">IFERROR(__xludf.DUMMYFUNCTION("""COMPUTED_VALUE"""),"1.17kg")</f>
        <v>1.17kg</v>
      </c>
      <c r="M441" s="2">
        <f ca="1">IFERROR(__xludf.DUMMYFUNCTION("""COMPUTED_VALUE"""),1699)</f>
        <v>1699</v>
      </c>
    </row>
    <row r="442" spans="1:13">
      <c r="A442" s="2">
        <f ca="1">IFERROR(__xludf.DUMMYFUNCTION("""COMPUTED_VALUE"""),904)</f>
        <v>904</v>
      </c>
      <c r="B442" s="2" t="str">
        <f ca="1">IFERROR(__xludf.DUMMYFUNCTION("""COMPUTED_VALUE"""),"Lenovo")</f>
        <v>Lenovo</v>
      </c>
      <c r="C442" s="2" t="str">
        <f ca="1">IFERROR(__xludf.DUMMYFUNCTION("""COMPUTED_VALUE"""),"ThinkPad T470s")</f>
        <v>ThinkPad T470s</v>
      </c>
      <c r="D442" s="2" t="str">
        <f ca="1">IFERROR(__xludf.DUMMYFUNCTION("""COMPUTED_VALUE"""),"Ultrabook")</f>
        <v>Ultrabook</v>
      </c>
      <c r="E442" s="2">
        <f ca="1">IFERROR(__xludf.DUMMYFUNCTION("""COMPUTED_VALUE"""),14)</f>
        <v>14</v>
      </c>
      <c r="F442" s="2" t="str">
        <f ca="1">IFERROR(__xludf.DUMMYFUNCTION("""COMPUTED_VALUE"""),"IPS Panel Full HD 1920x1080")</f>
        <v>IPS Panel Full HD 1920x1080</v>
      </c>
      <c r="G442" s="2" t="str">
        <f ca="1">IFERROR(__xludf.DUMMYFUNCTION("""COMPUTED_VALUE"""),"Intel Core i5 7200U 2.5GHz")</f>
        <v>Intel Core i5 7200U 2.5GHz</v>
      </c>
      <c r="H442" s="2" t="str">
        <f ca="1">IFERROR(__xludf.DUMMYFUNCTION("""COMPUTED_VALUE"""),"8GB")</f>
        <v>8GB</v>
      </c>
      <c r="I442" s="2" t="str">
        <f ca="1">IFERROR(__xludf.DUMMYFUNCTION("""COMPUTED_VALUE"""),"256GB SSD")</f>
        <v>256GB SSD</v>
      </c>
      <c r="J442" s="2" t="str">
        <f ca="1">IFERROR(__xludf.DUMMYFUNCTION("""COMPUTED_VALUE"""),"Intel HD Graphics 620")</f>
        <v>Intel HD Graphics 620</v>
      </c>
      <c r="K442" s="2" t="str">
        <f ca="1">IFERROR(__xludf.DUMMYFUNCTION("""COMPUTED_VALUE"""),"Windows 10")</f>
        <v>Windows 10</v>
      </c>
      <c r="L442" s="2" t="str">
        <f ca="1">IFERROR(__xludf.DUMMYFUNCTION("""COMPUTED_VALUE"""),"1.32kg")</f>
        <v>1.32kg</v>
      </c>
      <c r="M442" s="2">
        <f ca="1">IFERROR(__xludf.DUMMYFUNCTION("""COMPUTED_VALUE"""),1799)</f>
        <v>1799</v>
      </c>
    </row>
    <row r="443" spans="1:13">
      <c r="A443" s="2">
        <f ca="1">IFERROR(__xludf.DUMMYFUNCTION("""COMPUTED_VALUE"""),906)</f>
        <v>906</v>
      </c>
      <c r="B443" s="2" t="str">
        <f ca="1">IFERROR(__xludf.DUMMYFUNCTION("""COMPUTED_VALUE"""),"Toshiba")</f>
        <v>Toshiba</v>
      </c>
      <c r="C443" s="2" t="str">
        <f ca="1">IFERROR(__xludf.DUMMYFUNCTION("""COMPUTED_VALUE"""),"Portege X30-D-10V")</f>
        <v>Portege X30-D-10V</v>
      </c>
      <c r="D443" s="2" t="str">
        <f ca="1">IFERROR(__xludf.DUMMYFUNCTION("""COMPUTED_VALUE"""),"Notebook")</f>
        <v>Notebook</v>
      </c>
      <c r="E443" s="2">
        <f ca="1">IFERROR(__xludf.DUMMYFUNCTION("""COMPUTED_VALUE"""),13.3)</f>
        <v>13.3</v>
      </c>
      <c r="F443" s="2" t="str">
        <f ca="1">IFERROR(__xludf.DUMMYFUNCTION("""COMPUTED_VALUE"""),"Full HD 1920x1080")</f>
        <v>Full HD 1920x1080</v>
      </c>
      <c r="G443" s="2" t="str">
        <f ca="1">IFERROR(__xludf.DUMMYFUNCTION("""COMPUTED_VALUE"""),"Intel Core i5 7200U 2.5GHz")</f>
        <v>Intel Core i5 7200U 2.5GHz</v>
      </c>
      <c r="H443" s="2" t="str">
        <f ca="1">IFERROR(__xludf.DUMMYFUNCTION("""COMPUTED_VALUE"""),"8GB")</f>
        <v>8GB</v>
      </c>
      <c r="I443" s="2" t="str">
        <f ca="1">IFERROR(__xludf.DUMMYFUNCTION("""COMPUTED_VALUE"""),"256GB SSD")</f>
        <v>256GB SSD</v>
      </c>
      <c r="J443" s="2" t="str">
        <f ca="1">IFERROR(__xludf.DUMMYFUNCTION("""COMPUTED_VALUE"""),"Intel HD Graphics 620")</f>
        <v>Intel HD Graphics 620</v>
      </c>
      <c r="K443" s="2" t="str">
        <f ca="1">IFERROR(__xludf.DUMMYFUNCTION("""COMPUTED_VALUE"""),"Windows 10")</f>
        <v>Windows 10</v>
      </c>
      <c r="L443" s="2" t="str">
        <f ca="1">IFERROR(__xludf.DUMMYFUNCTION("""COMPUTED_VALUE"""),"1.05kg")</f>
        <v>1.05kg</v>
      </c>
      <c r="M443" s="2">
        <f ca="1">IFERROR(__xludf.DUMMYFUNCTION("""COMPUTED_VALUE"""),1475)</f>
        <v>1475</v>
      </c>
    </row>
    <row r="444" spans="1:13">
      <c r="A444" s="2">
        <f ca="1">IFERROR(__xludf.DUMMYFUNCTION("""COMPUTED_VALUE"""),908)</f>
        <v>908</v>
      </c>
      <c r="B444" s="2" t="str">
        <f ca="1">IFERROR(__xludf.DUMMYFUNCTION("""COMPUTED_VALUE"""),"Dell")</f>
        <v>Dell</v>
      </c>
      <c r="C444" s="2" t="str">
        <f ca="1">IFERROR(__xludf.DUMMYFUNCTION("""COMPUTED_VALUE"""),"Inspiron 7567")</f>
        <v>Inspiron 7567</v>
      </c>
      <c r="D444" s="2" t="str">
        <f ca="1">IFERROR(__xludf.DUMMYFUNCTION("""COMPUTED_VALUE"""),"Gaming")</f>
        <v>Gaming</v>
      </c>
      <c r="E444" s="2">
        <f ca="1">IFERROR(__xludf.DUMMYFUNCTION("""COMPUTED_VALUE"""),15.6)</f>
        <v>15.6</v>
      </c>
      <c r="F444" s="2" t="str">
        <f ca="1">IFERROR(__xludf.DUMMYFUNCTION("""COMPUTED_VALUE"""),"Full HD 1920x1080")</f>
        <v>Full HD 1920x1080</v>
      </c>
      <c r="G444" s="2" t="str">
        <f ca="1">IFERROR(__xludf.DUMMYFUNCTION("""COMPUTED_VALUE"""),"Intel Core i7 7700HQ 2.8GHz")</f>
        <v>Intel Core i7 7700HQ 2.8GHz</v>
      </c>
      <c r="H444" s="2" t="str">
        <f ca="1">IFERROR(__xludf.DUMMYFUNCTION("""COMPUTED_VALUE"""),"8GB")</f>
        <v>8GB</v>
      </c>
      <c r="I444" s="2" t="str">
        <f ca="1">IFERROR(__xludf.DUMMYFUNCTION("""COMPUTED_VALUE"""),"1TB HDD")</f>
        <v>1TB HDD</v>
      </c>
      <c r="J444" s="2" t="str">
        <f ca="1">IFERROR(__xludf.DUMMYFUNCTION("""COMPUTED_VALUE"""),"Nvidia GeForce GTX 1050Ti")</f>
        <v>Nvidia GeForce GTX 1050Ti</v>
      </c>
      <c r="K444" s="2" t="str">
        <f ca="1">IFERROR(__xludf.DUMMYFUNCTION("""COMPUTED_VALUE"""),"Linux")</f>
        <v>Linux</v>
      </c>
      <c r="L444" s="2" t="str">
        <f ca="1">IFERROR(__xludf.DUMMYFUNCTION("""COMPUTED_VALUE"""),"2.62kg")</f>
        <v>2.62kg</v>
      </c>
      <c r="M444" s="2">
        <f ca="1">IFERROR(__xludf.DUMMYFUNCTION("""COMPUTED_VALUE"""),929)</f>
        <v>929</v>
      </c>
    </row>
    <row r="445" spans="1:13">
      <c r="A445" s="2">
        <f ca="1">IFERROR(__xludf.DUMMYFUNCTION("""COMPUTED_VALUE"""),909)</f>
        <v>909</v>
      </c>
      <c r="B445" s="2" t="str">
        <f ca="1">IFERROR(__xludf.DUMMYFUNCTION("""COMPUTED_VALUE"""),"HP")</f>
        <v>HP</v>
      </c>
      <c r="C445" s="2" t="str">
        <f ca="1">IFERROR(__xludf.DUMMYFUNCTION("""COMPUTED_VALUE"""),"ProBook 450")</f>
        <v>ProBook 450</v>
      </c>
      <c r="D445" s="2" t="str">
        <f ca="1">IFERROR(__xludf.DUMMYFUNCTION("""COMPUTED_VALUE"""),"Notebook")</f>
        <v>Notebook</v>
      </c>
      <c r="E445" s="2">
        <f ca="1">IFERROR(__xludf.DUMMYFUNCTION("""COMPUTED_VALUE"""),15.6)</f>
        <v>15.6</v>
      </c>
      <c r="F445" s="2" t="str">
        <f ca="1">IFERROR(__xludf.DUMMYFUNCTION("""COMPUTED_VALUE"""),"Full HD 1920x1080")</f>
        <v>Full HD 1920x1080</v>
      </c>
      <c r="G445" s="2" t="str">
        <f ca="1">IFERROR(__xludf.DUMMYFUNCTION("""COMPUTED_VALUE"""),"Intel Core i7 7500U 2.7GHz")</f>
        <v>Intel Core i7 7500U 2.7GHz</v>
      </c>
      <c r="H445" s="2" t="str">
        <f ca="1">IFERROR(__xludf.DUMMYFUNCTION("""COMPUTED_VALUE"""),"8GB")</f>
        <v>8GB</v>
      </c>
      <c r="I445" s="2" t="str">
        <f ca="1">IFERROR(__xludf.DUMMYFUNCTION("""COMPUTED_VALUE"""),"1TB HDD")</f>
        <v>1TB HDD</v>
      </c>
      <c r="J445" s="2" t="str">
        <f ca="1">IFERROR(__xludf.DUMMYFUNCTION("""COMPUTED_VALUE"""),"Nvidia GeForce 930MX")</f>
        <v>Nvidia GeForce 930MX</v>
      </c>
      <c r="K445" s="2" t="str">
        <f ca="1">IFERROR(__xludf.DUMMYFUNCTION("""COMPUTED_VALUE"""),"Windows 10")</f>
        <v>Windows 10</v>
      </c>
      <c r="L445" s="2" t="str">
        <f ca="1">IFERROR(__xludf.DUMMYFUNCTION("""COMPUTED_VALUE"""),"2.04kg")</f>
        <v>2.04kg</v>
      </c>
      <c r="M445" s="2">
        <f ca="1">IFERROR(__xludf.DUMMYFUNCTION("""COMPUTED_VALUE"""),900)</f>
        <v>900</v>
      </c>
    </row>
    <row r="446" spans="1:13">
      <c r="A446" s="2">
        <f ca="1">IFERROR(__xludf.DUMMYFUNCTION("""COMPUTED_VALUE"""),911)</f>
        <v>911</v>
      </c>
      <c r="B446" s="2" t="str">
        <f ca="1">IFERROR(__xludf.DUMMYFUNCTION("""COMPUTED_VALUE"""),"Dell")</f>
        <v>Dell</v>
      </c>
      <c r="C446" s="2" t="str">
        <f ca="1">IFERROR(__xludf.DUMMYFUNCTION("""COMPUTED_VALUE"""),"Latitude 5580")</f>
        <v>Latitude 5580</v>
      </c>
      <c r="D446" s="2" t="str">
        <f ca="1">IFERROR(__xludf.DUMMYFUNCTION("""COMPUTED_VALUE"""),"Notebook")</f>
        <v>Notebook</v>
      </c>
      <c r="E446" s="2">
        <f ca="1">IFERROR(__xludf.DUMMYFUNCTION("""COMPUTED_VALUE"""),15.6)</f>
        <v>15.6</v>
      </c>
      <c r="F446" s="2" t="str">
        <f ca="1">IFERROR(__xludf.DUMMYFUNCTION("""COMPUTED_VALUE"""),"Full HD 1920x1080")</f>
        <v>Full HD 1920x1080</v>
      </c>
      <c r="G446" s="2" t="str">
        <f ca="1">IFERROR(__xludf.DUMMYFUNCTION("""COMPUTED_VALUE"""),"Intel Core i5 7300U 2.6GHz")</f>
        <v>Intel Core i5 7300U 2.6GHz</v>
      </c>
      <c r="H446" s="2" t="str">
        <f ca="1">IFERROR(__xludf.DUMMYFUNCTION("""COMPUTED_VALUE"""),"8GB")</f>
        <v>8GB</v>
      </c>
      <c r="I446" s="2" t="str">
        <f ca="1">IFERROR(__xludf.DUMMYFUNCTION("""COMPUTED_VALUE"""),"500GB HDD")</f>
        <v>500GB HDD</v>
      </c>
      <c r="J446" s="2" t="str">
        <f ca="1">IFERROR(__xludf.DUMMYFUNCTION("""COMPUTED_VALUE"""),"Intel HD Graphics 620")</f>
        <v>Intel HD Graphics 620</v>
      </c>
      <c r="K446" s="2" t="str">
        <f ca="1">IFERROR(__xludf.DUMMYFUNCTION("""COMPUTED_VALUE"""),"Windows 10")</f>
        <v>Windows 10</v>
      </c>
      <c r="L446" s="2" t="str">
        <f ca="1">IFERROR(__xludf.DUMMYFUNCTION("""COMPUTED_VALUE"""),"1.9kg")</f>
        <v>1.9kg</v>
      </c>
      <c r="M446" s="2">
        <f ca="1">IFERROR(__xludf.DUMMYFUNCTION("""COMPUTED_VALUE"""),935)</f>
        <v>935</v>
      </c>
    </row>
    <row r="447" spans="1:13">
      <c r="A447" s="2">
        <f ca="1">IFERROR(__xludf.DUMMYFUNCTION("""COMPUTED_VALUE"""),912)</f>
        <v>912</v>
      </c>
      <c r="B447" s="2" t="str">
        <f ca="1">IFERROR(__xludf.DUMMYFUNCTION("""COMPUTED_VALUE"""),"Dell")</f>
        <v>Dell</v>
      </c>
      <c r="C447" s="2" t="str">
        <f ca="1">IFERROR(__xludf.DUMMYFUNCTION("""COMPUTED_VALUE"""),"XPS 13")</f>
        <v>XPS 13</v>
      </c>
      <c r="D447" s="2" t="str">
        <f ca="1">IFERROR(__xludf.DUMMYFUNCTION("""COMPUTED_VALUE"""),"2 in 1 Convertible")</f>
        <v>2 in 1 Convertible</v>
      </c>
      <c r="E447" s="2">
        <f ca="1">IFERROR(__xludf.DUMMYFUNCTION("""COMPUTED_VALUE"""),13.3)</f>
        <v>13.3</v>
      </c>
      <c r="F447" s="2" t="str">
        <f ca="1">IFERROR(__xludf.DUMMYFUNCTION("""COMPUTED_VALUE"""),"Quad HD+ / Touchscreen 3200x1800")</f>
        <v>Quad HD+ / Touchscreen 3200x1800</v>
      </c>
      <c r="G447" s="2" t="str">
        <f ca="1">IFERROR(__xludf.DUMMYFUNCTION("""COMPUTED_VALUE"""),"Intel Core i7 7Y75 1.3GHz")</f>
        <v>Intel Core i7 7Y75 1.3GHz</v>
      </c>
      <c r="H447" s="2" t="str">
        <f ca="1">IFERROR(__xludf.DUMMYFUNCTION("""COMPUTED_VALUE"""),"8GB")</f>
        <v>8GB</v>
      </c>
      <c r="I447" s="2" t="str">
        <f ca="1">IFERROR(__xludf.DUMMYFUNCTION("""COMPUTED_VALUE"""),"512GB SSD")</f>
        <v>512GB SSD</v>
      </c>
      <c r="J447" s="2" t="str">
        <f ca="1">IFERROR(__xludf.DUMMYFUNCTION("""COMPUTED_VALUE"""),"Intel HD Graphics 615")</f>
        <v>Intel HD Graphics 615</v>
      </c>
      <c r="K447" s="2" t="str">
        <f ca="1">IFERROR(__xludf.DUMMYFUNCTION("""COMPUTED_VALUE"""),"Windows 10")</f>
        <v>Windows 10</v>
      </c>
      <c r="L447" s="2" t="str">
        <f ca="1">IFERROR(__xludf.DUMMYFUNCTION("""COMPUTED_VALUE"""),"1.24kg")</f>
        <v>1.24kg</v>
      </c>
      <c r="M447" s="2">
        <f ca="1">IFERROR(__xludf.DUMMYFUNCTION("""COMPUTED_VALUE"""),2013.1)</f>
        <v>2013.1</v>
      </c>
    </row>
    <row r="448" spans="1:13">
      <c r="A448" s="2">
        <f ca="1">IFERROR(__xludf.DUMMYFUNCTION("""COMPUTED_VALUE"""),915)</f>
        <v>915</v>
      </c>
      <c r="B448" s="2" t="str">
        <f ca="1">IFERROR(__xludf.DUMMYFUNCTION("""COMPUTED_VALUE"""),"Lenovo")</f>
        <v>Lenovo</v>
      </c>
      <c r="C448" s="2" t="str">
        <f ca="1">IFERROR(__xludf.DUMMYFUNCTION("""COMPUTED_VALUE"""),"ThinkPad X1")</f>
        <v>ThinkPad X1</v>
      </c>
      <c r="D448" s="2" t="str">
        <f ca="1">IFERROR(__xludf.DUMMYFUNCTION("""COMPUTED_VALUE"""),"Ultrabook")</f>
        <v>Ultrabook</v>
      </c>
      <c r="E448" s="2">
        <f ca="1">IFERROR(__xludf.DUMMYFUNCTION("""COMPUTED_VALUE"""),14)</f>
        <v>14</v>
      </c>
      <c r="F448" s="2" t="str">
        <f ca="1">IFERROR(__xludf.DUMMYFUNCTION("""COMPUTED_VALUE"""),"IPS Panel Full HD 1920x1080")</f>
        <v>IPS Panel Full HD 1920x1080</v>
      </c>
      <c r="G448" s="2" t="str">
        <f ca="1">IFERROR(__xludf.DUMMYFUNCTION("""COMPUTED_VALUE"""),"Intel Core i7 7500U 2.7GHz")</f>
        <v>Intel Core i7 7500U 2.7GHz</v>
      </c>
      <c r="H448" s="2" t="str">
        <f ca="1">IFERROR(__xludf.DUMMYFUNCTION("""COMPUTED_VALUE"""),"8GB")</f>
        <v>8GB</v>
      </c>
      <c r="I448" s="2" t="str">
        <f ca="1">IFERROR(__xludf.DUMMYFUNCTION("""COMPUTED_VALUE"""),"256GB Flash Storage")</f>
        <v>256GB Flash Storage</v>
      </c>
      <c r="J448" s="2" t="str">
        <f ca="1">IFERROR(__xludf.DUMMYFUNCTION("""COMPUTED_VALUE"""),"Intel HD Graphics 620")</f>
        <v>Intel HD Graphics 620</v>
      </c>
      <c r="K448" s="2" t="str">
        <f ca="1">IFERROR(__xludf.DUMMYFUNCTION("""COMPUTED_VALUE"""),"Windows 10")</f>
        <v>Windows 10</v>
      </c>
      <c r="L448" s="2" t="str">
        <f ca="1">IFERROR(__xludf.DUMMYFUNCTION("""COMPUTED_VALUE"""),"1.13kg")</f>
        <v>1.13kg</v>
      </c>
      <c r="M448" s="2">
        <f ca="1">IFERROR(__xludf.DUMMYFUNCTION("""COMPUTED_VALUE"""),2049)</f>
        <v>2049</v>
      </c>
    </row>
    <row r="449" spans="1:13">
      <c r="A449" s="2">
        <f ca="1">IFERROR(__xludf.DUMMYFUNCTION("""COMPUTED_VALUE"""),916)</f>
        <v>916</v>
      </c>
      <c r="B449" s="2" t="str">
        <f ca="1">IFERROR(__xludf.DUMMYFUNCTION("""COMPUTED_VALUE"""),"Lenovo")</f>
        <v>Lenovo</v>
      </c>
      <c r="C449" s="2" t="str">
        <f ca="1">IFERROR(__xludf.DUMMYFUNCTION("""COMPUTED_VALUE"""),"ThinkPad T570")</f>
        <v>ThinkPad T570</v>
      </c>
      <c r="D449" s="2" t="str">
        <f ca="1">IFERROR(__xludf.DUMMYFUNCTION("""COMPUTED_VALUE"""),"Notebook")</f>
        <v>Notebook</v>
      </c>
      <c r="E449" s="2">
        <f ca="1">IFERROR(__xludf.DUMMYFUNCTION("""COMPUTED_VALUE"""),15.6)</f>
        <v>15.6</v>
      </c>
      <c r="F449" s="2" t="str">
        <f ca="1">IFERROR(__xludf.DUMMYFUNCTION("""COMPUTED_VALUE"""),"IPS Panel Full HD 1920x1080")</f>
        <v>IPS Panel Full HD 1920x1080</v>
      </c>
      <c r="G449" s="2" t="str">
        <f ca="1">IFERROR(__xludf.DUMMYFUNCTION("""COMPUTED_VALUE"""),"Intel Core i5 7200U 2.5GHz")</f>
        <v>Intel Core i5 7200U 2.5GHz</v>
      </c>
      <c r="H449" s="2" t="str">
        <f ca="1">IFERROR(__xludf.DUMMYFUNCTION("""COMPUTED_VALUE"""),"8GB")</f>
        <v>8GB</v>
      </c>
      <c r="I449" s="2" t="str">
        <f ca="1">IFERROR(__xludf.DUMMYFUNCTION("""COMPUTED_VALUE"""),"512GB SSD")</f>
        <v>512GB SSD</v>
      </c>
      <c r="J449" s="2" t="str">
        <f ca="1">IFERROR(__xludf.DUMMYFUNCTION("""COMPUTED_VALUE"""),"Intel HD Graphics 620")</f>
        <v>Intel HD Graphics 620</v>
      </c>
      <c r="K449" s="2" t="str">
        <f ca="1">IFERROR(__xludf.DUMMYFUNCTION("""COMPUTED_VALUE"""),"Windows 10")</f>
        <v>Windows 10</v>
      </c>
      <c r="L449" s="2" t="str">
        <f ca="1">IFERROR(__xludf.DUMMYFUNCTION("""COMPUTED_VALUE"""),"1.95kg")</f>
        <v>1.95kg</v>
      </c>
      <c r="M449" s="2">
        <f ca="1">IFERROR(__xludf.DUMMYFUNCTION("""COMPUTED_VALUE"""),1962.99)</f>
        <v>1962.99</v>
      </c>
    </row>
    <row r="450" spans="1:13">
      <c r="A450" s="2">
        <f ca="1">IFERROR(__xludf.DUMMYFUNCTION("""COMPUTED_VALUE"""),918)</f>
        <v>918</v>
      </c>
      <c r="B450" s="2" t="str">
        <f ca="1">IFERROR(__xludf.DUMMYFUNCTION("""COMPUTED_VALUE"""),"HP")</f>
        <v>HP</v>
      </c>
      <c r="C450" s="2" t="str">
        <f ca="1">IFERROR(__xludf.DUMMYFUNCTION("""COMPUTED_VALUE"""),"Elitebook 820")</f>
        <v>Elitebook 820</v>
      </c>
      <c r="D450" s="2" t="str">
        <f ca="1">IFERROR(__xludf.DUMMYFUNCTION("""COMPUTED_VALUE"""),"Netbook")</f>
        <v>Netbook</v>
      </c>
      <c r="E450" s="2">
        <f ca="1">IFERROR(__xludf.DUMMYFUNCTION("""COMPUTED_VALUE"""),12.5)</f>
        <v>12.5</v>
      </c>
      <c r="F450" s="2" t="str">
        <f ca="1">IFERROR(__xludf.DUMMYFUNCTION("""COMPUTED_VALUE"""),"Full HD 1920x1080")</f>
        <v>Full HD 1920x1080</v>
      </c>
      <c r="G450" s="2" t="str">
        <f ca="1">IFERROR(__xludf.DUMMYFUNCTION("""COMPUTED_VALUE"""),"Intel Core i7 7500U 2.7GHz")</f>
        <v>Intel Core i7 7500U 2.7GHz</v>
      </c>
      <c r="H450" s="2" t="str">
        <f ca="1">IFERROR(__xludf.DUMMYFUNCTION("""COMPUTED_VALUE"""),"8GB")</f>
        <v>8GB</v>
      </c>
      <c r="I450" s="2" t="str">
        <f ca="1">IFERROR(__xludf.DUMMYFUNCTION("""COMPUTED_VALUE"""),"512GB SSD")</f>
        <v>512GB SSD</v>
      </c>
      <c r="J450" s="2" t="str">
        <f ca="1">IFERROR(__xludf.DUMMYFUNCTION("""COMPUTED_VALUE"""),"Intel HD Graphics 620")</f>
        <v>Intel HD Graphics 620</v>
      </c>
      <c r="K450" s="2" t="str">
        <f ca="1">IFERROR(__xludf.DUMMYFUNCTION("""COMPUTED_VALUE"""),"Windows 10")</f>
        <v>Windows 10</v>
      </c>
      <c r="L450" s="2" t="str">
        <f ca="1">IFERROR(__xludf.DUMMYFUNCTION("""COMPUTED_VALUE"""),"1.26kg")</f>
        <v>1.26kg</v>
      </c>
      <c r="M450" s="2">
        <f ca="1">IFERROR(__xludf.DUMMYFUNCTION("""COMPUTED_VALUE"""),1483)</f>
        <v>1483</v>
      </c>
    </row>
    <row r="451" spans="1:13">
      <c r="A451" s="2">
        <f ca="1">IFERROR(__xludf.DUMMYFUNCTION("""COMPUTED_VALUE"""),920)</f>
        <v>920</v>
      </c>
      <c r="B451" s="2" t="str">
        <f ca="1">IFERROR(__xludf.DUMMYFUNCTION("""COMPUTED_VALUE"""),"Lenovo")</f>
        <v>Lenovo</v>
      </c>
      <c r="C451" s="2" t="str">
        <f ca="1">IFERROR(__xludf.DUMMYFUNCTION("""COMPUTED_VALUE"""),"IdeaPad Y700-15ISK")</f>
        <v>IdeaPad Y700-15ISK</v>
      </c>
      <c r="D451" s="2" t="str">
        <f ca="1">IFERROR(__xludf.DUMMYFUNCTION("""COMPUTED_VALUE"""),"Notebook")</f>
        <v>Notebook</v>
      </c>
      <c r="E451" s="2">
        <f ca="1">IFERROR(__xludf.DUMMYFUNCTION("""COMPUTED_VALUE"""),15.6)</f>
        <v>15.6</v>
      </c>
      <c r="F451" s="2" t="str">
        <f ca="1">IFERROR(__xludf.DUMMYFUNCTION("""COMPUTED_VALUE"""),"IPS Panel Full HD 1920x1080")</f>
        <v>IPS Panel Full HD 1920x1080</v>
      </c>
      <c r="G451" s="2" t="str">
        <f ca="1">IFERROR(__xludf.DUMMYFUNCTION("""COMPUTED_VALUE"""),"Intel Core i5 6300HQ 2.3GHz")</f>
        <v>Intel Core i5 6300HQ 2.3GHz</v>
      </c>
      <c r="H451" s="2" t="str">
        <f ca="1">IFERROR(__xludf.DUMMYFUNCTION("""COMPUTED_VALUE"""),"8GB")</f>
        <v>8GB</v>
      </c>
      <c r="I451" s="2" t="str">
        <f ca="1">IFERROR(__xludf.DUMMYFUNCTION("""COMPUTED_VALUE"""),"128GB SSD +  1TB HDD")</f>
        <v>128GB SSD +  1TB HDD</v>
      </c>
      <c r="J451" s="2" t="str">
        <f ca="1">IFERROR(__xludf.DUMMYFUNCTION("""COMPUTED_VALUE"""),"Nvidia GeForce GTX 960M")</f>
        <v>Nvidia GeForce GTX 960M</v>
      </c>
      <c r="K451" s="2" t="str">
        <f ca="1">IFERROR(__xludf.DUMMYFUNCTION("""COMPUTED_VALUE"""),"Windows 10")</f>
        <v>Windows 10</v>
      </c>
      <c r="L451" s="2" t="str">
        <f ca="1">IFERROR(__xludf.DUMMYFUNCTION("""COMPUTED_VALUE"""),"2.6kg")</f>
        <v>2.6kg</v>
      </c>
      <c r="M451" s="2">
        <f ca="1">IFERROR(__xludf.DUMMYFUNCTION("""COMPUTED_VALUE"""),789)</f>
        <v>789</v>
      </c>
    </row>
    <row r="452" spans="1:13">
      <c r="A452" s="2">
        <f ca="1">IFERROR(__xludf.DUMMYFUNCTION("""COMPUTED_VALUE"""),922)</f>
        <v>922</v>
      </c>
      <c r="B452" s="2" t="str">
        <f ca="1">IFERROR(__xludf.DUMMYFUNCTION("""COMPUTED_VALUE"""),"LG")</f>
        <v>LG</v>
      </c>
      <c r="C452" s="2" t="str">
        <f ca="1">IFERROR(__xludf.DUMMYFUNCTION("""COMPUTED_VALUE"""),"Gram 14Z970")</f>
        <v>Gram 14Z970</v>
      </c>
      <c r="D452" s="2" t="str">
        <f ca="1">IFERROR(__xludf.DUMMYFUNCTION("""COMPUTED_VALUE"""),"Ultrabook")</f>
        <v>Ultrabook</v>
      </c>
      <c r="E452" s="2">
        <f ca="1">IFERROR(__xludf.DUMMYFUNCTION("""COMPUTED_VALUE"""),14)</f>
        <v>14</v>
      </c>
      <c r="F452" s="2" t="str">
        <f ca="1">IFERROR(__xludf.DUMMYFUNCTION("""COMPUTED_VALUE"""),"IPS Panel Full HD / Touchscreen 1920x1080")</f>
        <v>IPS Panel Full HD / Touchscreen 1920x1080</v>
      </c>
      <c r="G452" s="2" t="str">
        <f ca="1">IFERROR(__xludf.DUMMYFUNCTION("""COMPUTED_VALUE"""),"Intel Core i7 7500U 2.7GHz")</f>
        <v>Intel Core i7 7500U 2.7GHz</v>
      </c>
      <c r="H452" s="2" t="str">
        <f ca="1">IFERROR(__xludf.DUMMYFUNCTION("""COMPUTED_VALUE"""),"8GB")</f>
        <v>8GB</v>
      </c>
      <c r="I452" s="2" t="str">
        <f ca="1">IFERROR(__xludf.DUMMYFUNCTION("""COMPUTED_VALUE"""),"512GB SSD")</f>
        <v>512GB SSD</v>
      </c>
      <c r="J452" s="2" t="str">
        <f ca="1">IFERROR(__xludf.DUMMYFUNCTION("""COMPUTED_VALUE"""),"Intel HD Graphics 620")</f>
        <v>Intel HD Graphics 620</v>
      </c>
      <c r="K452" s="2" t="str">
        <f ca="1">IFERROR(__xludf.DUMMYFUNCTION("""COMPUTED_VALUE"""),"Windows 10")</f>
        <v>Windows 10</v>
      </c>
      <c r="L452" s="2" t="str">
        <f ca="1">IFERROR(__xludf.DUMMYFUNCTION("""COMPUTED_VALUE"""),"0.98kg")</f>
        <v>0.98kg</v>
      </c>
      <c r="M452" s="2">
        <f ca="1">IFERROR(__xludf.DUMMYFUNCTION("""COMPUTED_VALUE"""),1899)</f>
        <v>1899</v>
      </c>
    </row>
    <row r="453" spans="1:13">
      <c r="A453" s="2">
        <f ca="1">IFERROR(__xludf.DUMMYFUNCTION("""COMPUTED_VALUE"""),923)</f>
        <v>923</v>
      </c>
      <c r="B453" s="2" t="str">
        <f ca="1">IFERROR(__xludf.DUMMYFUNCTION("""COMPUTED_VALUE"""),"Dell")</f>
        <v>Dell</v>
      </c>
      <c r="C453" s="2" t="str">
        <f ca="1">IFERROR(__xludf.DUMMYFUNCTION("""COMPUTED_VALUE"""),"Latitude 5480")</f>
        <v>Latitude 5480</v>
      </c>
      <c r="D453" s="2" t="str">
        <f ca="1">IFERROR(__xludf.DUMMYFUNCTION("""COMPUTED_VALUE"""),"Notebook")</f>
        <v>Notebook</v>
      </c>
      <c r="E453" s="2">
        <f ca="1">IFERROR(__xludf.DUMMYFUNCTION("""COMPUTED_VALUE"""),14)</f>
        <v>14</v>
      </c>
      <c r="F453" s="2" t="str">
        <f ca="1">IFERROR(__xludf.DUMMYFUNCTION("""COMPUTED_VALUE"""),"Full HD 1920x1080")</f>
        <v>Full HD 1920x1080</v>
      </c>
      <c r="G453" s="2" t="str">
        <f ca="1">IFERROR(__xludf.DUMMYFUNCTION("""COMPUTED_VALUE"""),"Intel Core i5 7440HQ 2.8GHz")</f>
        <v>Intel Core i5 7440HQ 2.8GHz</v>
      </c>
      <c r="H453" s="2" t="str">
        <f ca="1">IFERROR(__xludf.DUMMYFUNCTION("""COMPUTED_VALUE"""),"8GB")</f>
        <v>8GB</v>
      </c>
      <c r="I453" s="2" t="str">
        <f ca="1">IFERROR(__xludf.DUMMYFUNCTION("""COMPUTED_VALUE"""),"256GB SSD")</f>
        <v>256GB SSD</v>
      </c>
      <c r="J453" s="2" t="str">
        <f ca="1">IFERROR(__xludf.DUMMYFUNCTION("""COMPUTED_VALUE"""),"Intel HD Graphics 620")</f>
        <v>Intel HD Graphics 620</v>
      </c>
      <c r="K453" s="2" t="str">
        <f ca="1">IFERROR(__xludf.DUMMYFUNCTION("""COMPUTED_VALUE"""),"Windows 10")</f>
        <v>Windows 10</v>
      </c>
      <c r="L453" s="2" t="str">
        <f ca="1">IFERROR(__xludf.DUMMYFUNCTION("""COMPUTED_VALUE"""),"1.6kg")</f>
        <v>1.6kg</v>
      </c>
      <c r="M453" s="2">
        <f ca="1">IFERROR(__xludf.DUMMYFUNCTION("""COMPUTED_VALUE"""),1205)</f>
        <v>1205</v>
      </c>
    </row>
    <row r="454" spans="1:13">
      <c r="A454" s="2">
        <f ca="1">IFERROR(__xludf.DUMMYFUNCTION("""COMPUTED_VALUE"""),924)</f>
        <v>924</v>
      </c>
      <c r="B454" s="2" t="str">
        <f ca="1">IFERROR(__xludf.DUMMYFUNCTION("""COMPUTED_VALUE"""),"HP")</f>
        <v>HP</v>
      </c>
      <c r="C454" s="2" t="str">
        <f ca="1">IFERROR(__xludf.DUMMYFUNCTION("""COMPUTED_VALUE"""),"Elitebook Folio")</f>
        <v>Elitebook Folio</v>
      </c>
      <c r="D454" s="2" t="str">
        <f ca="1">IFERROR(__xludf.DUMMYFUNCTION("""COMPUTED_VALUE"""),"Ultrabook")</f>
        <v>Ultrabook</v>
      </c>
      <c r="E454" s="2">
        <f ca="1">IFERROR(__xludf.DUMMYFUNCTION("""COMPUTED_VALUE"""),12.5)</f>
        <v>12.5</v>
      </c>
      <c r="F454" s="2" t="str">
        <f ca="1">IFERROR(__xludf.DUMMYFUNCTION("""COMPUTED_VALUE"""),"4K Ultra HD / Touchscreen 3840x2160")</f>
        <v>4K Ultra HD / Touchscreen 3840x2160</v>
      </c>
      <c r="G454" s="2" t="str">
        <f ca="1">IFERROR(__xludf.DUMMYFUNCTION("""COMPUTED_VALUE"""),"Intel Core M 6Y75 1.2GHz")</f>
        <v>Intel Core M 6Y75 1.2GHz</v>
      </c>
      <c r="H454" s="2" t="str">
        <f ca="1">IFERROR(__xludf.DUMMYFUNCTION("""COMPUTED_VALUE"""),"8GB")</f>
        <v>8GB</v>
      </c>
      <c r="I454" s="2" t="str">
        <f ca="1">IFERROR(__xludf.DUMMYFUNCTION("""COMPUTED_VALUE"""),"240GB SSD")</f>
        <v>240GB SSD</v>
      </c>
      <c r="J454" s="2" t="str">
        <f ca="1">IFERROR(__xludf.DUMMYFUNCTION("""COMPUTED_VALUE"""),"Intel HD Graphics 515")</f>
        <v>Intel HD Graphics 515</v>
      </c>
      <c r="K454" s="2" t="str">
        <f ca="1">IFERROR(__xludf.DUMMYFUNCTION("""COMPUTED_VALUE"""),"Windows 10")</f>
        <v>Windows 10</v>
      </c>
      <c r="L454" s="2" t="str">
        <f ca="1">IFERROR(__xludf.DUMMYFUNCTION("""COMPUTED_VALUE"""),"1.09kg")</f>
        <v>1.09kg</v>
      </c>
      <c r="M454" s="2">
        <f ca="1">IFERROR(__xludf.DUMMYFUNCTION("""COMPUTED_VALUE"""),3100)</f>
        <v>3100</v>
      </c>
    </row>
    <row r="455" spans="1:13">
      <c r="A455" s="2">
        <f ca="1">IFERROR(__xludf.DUMMYFUNCTION("""COMPUTED_VALUE"""),926)</f>
        <v>926</v>
      </c>
      <c r="B455" s="2" t="str">
        <f ca="1">IFERROR(__xludf.DUMMYFUNCTION("""COMPUTED_VALUE"""),"HP")</f>
        <v>HP</v>
      </c>
      <c r="C455" s="2" t="str">
        <f ca="1">IFERROR(__xludf.DUMMYFUNCTION("""COMPUTED_VALUE"""),"ProBook 450")</f>
        <v>ProBook 450</v>
      </c>
      <c r="D455" s="2" t="str">
        <f ca="1">IFERROR(__xludf.DUMMYFUNCTION("""COMPUTED_VALUE"""),"Notebook")</f>
        <v>Notebook</v>
      </c>
      <c r="E455" s="2">
        <f ca="1">IFERROR(__xludf.DUMMYFUNCTION("""COMPUTED_VALUE"""),15.6)</f>
        <v>15.6</v>
      </c>
      <c r="F455" s="2" t="str">
        <f ca="1">IFERROR(__xludf.DUMMYFUNCTION("""COMPUTED_VALUE"""),"Full HD 1920x1080")</f>
        <v>Full HD 1920x1080</v>
      </c>
      <c r="G455" s="2" t="str">
        <f ca="1">IFERROR(__xludf.DUMMYFUNCTION("""COMPUTED_VALUE"""),"Intel Core i7 7500U 2.7GHz")</f>
        <v>Intel Core i7 7500U 2.7GHz</v>
      </c>
      <c r="H455" s="2" t="str">
        <f ca="1">IFERROR(__xludf.DUMMYFUNCTION("""COMPUTED_VALUE"""),"8GB")</f>
        <v>8GB</v>
      </c>
      <c r="I455" s="2" t="str">
        <f ca="1">IFERROR(__xludf.DUMMYFUNCTION("""COMPUTED_VALUE"""),"256GB SSD")</f>
        <v>256GB SSD</v>
      </c>
      <c r="J455" s="2" t="str">
        <f ca="1">IFERROR(__xludf.DUMMYFUNCTION("""COMPUTED_VALUE"""),"Nvidia GeForce 930MX")</f>
        <v>Nvidia GeForce 930MX</v>
      </c>
      <c r="K455" s="2" t="str">
        <f ca="1">IFERROR(__xludf.DUMMYFUNCTION("""COMPUTED_VALUE"""),"Windows 10")</f>
        <v>Windows 10</v>
      </c>
      <c r="L455" s="2" t="str">
        <f ca="1">IFERROR(__xludf.DUMMYFUNCTION("""COMPUTED_VALUE"""),"2.04kg")</f>
        <v>2.04kg</v>
      </c>
      <c r="M455" s="2">
        <f ca="1">IFERROR(__xludf.DUMMYFUNCTION("""COMPUTED_VALUE"""),1018.99)</f>
        <v>1018.99</v>
      </c>
    </row>
    <row r="456" spans="1:13">
      <c r="A456" s="2">
        <f ca="1">IFERROR(__xludf.DUMMYFUNCTION("""COMPUTED_VALUE"""),930)</f>
        <v>930</v>
      </c>
      <c r="B456" s="2" t="str">
        <f ca="1">IFERROR(__xludf.DUMMYFUNCTION("""COMPUTED_VALUE"""),"HP")</f>
        <v>HP</v>
      </c>
      <c r="C456" s="2" t="str">
        <f ca="1">IFERROR(__xludf.DUMMYFUNCTION("""COMPUTED_VALUE"""),"Probook 430")</f>
        <v>Probook 430</v>
      </c>
      <c r="D456" s="2" t="str">
        <f ca="1">IFERROR(__xludf.DUMMYFUNCTION("""COMPUTED_VALUE"""),"Notebook")</f>
        <v>Notebook</v>
      </c>
      <c r="E456" s="2">
        <f ca="1">IFERROR(__xludf.DUMMYFUNCTION("""COMPUTED_VALUE"""),13.3)</f>
        <v>13.3</v>
      </c>
      <c r="F456" s="2" t="str">
        <f ca="1">IFERROR(__xludf.DUMMYFUNCTION("""COMPUTED_VALUE"""),"Full HD 1920x1080")</f>
        <v>Full HD 1920x1080</v>
      </c>
      <c r="G456" s="2" t="str">
        <f ca="1">IFERROR(__xludf.DUMMYFUNCTION("""COMPUTED_VALUE"""),"Intel Core i5 7200U 2.5GHz")</f>
        <v>Intel Core i5 7200U 2.5GHz</v>
      </c>
      <c r="H456" s="2" t="str">
        <f ca="1">IFERROR(__xludf.DUMMYFUNCTION("""COMPUTED_VALUE"""),"8GB")</f>
        <v>8GB</v>
      </c>
      <c r="I456" s="2" t="str">
        <f ca="1">IFERROR(__xludf.DUMMYFUNCTION("""COMPUTED_VALUE"""),"256GB SSD")</f>
        <v>256GB SSD</v>
      </c>
      <c r="J456" s="2" t="str">
        <f ca="1">IFERROR(__xludf.DUMMYFUNCTION("""COMPUTED_VALUE"""),"Intel HD Graphics 620")</f>
        <v>Intel HD Graphics 620</v>
      </c>
      <c r="K456" s="2" t="str">
        <f ca="1">IFERROR(__xludf.DUMMYFUNCTION("""COMPUTED_VALUE"""),"Windows 10")</f>
        <v>Windows 10</v>
      </c>
      <c r="L456" s="2" t="str">
        <f ca="1">IFERROR(__xludf.DUMMYFUNCTION("""COMPUTED_VALUE"""),"1.49kg")</f>
        <v>1.49kg</v>
      </c>
      <c r="M456" s="2">
        <f ca="1">IFERROR(__xludf.DUMMYFUNCTION("""COMPUTED_VALUE"""),960)</f>
        <v>960</v>
      </c>
    </row>
    <row r="457" spans="1:13">
      <c r="A457" s="2">
        <f ca="1">IFERROR(__xludf.DUMMYFUNCTION("""COMPUTED_VALUE"""),933)</f>
        <v>933</v>
      </c>
      <c r="B457" s="2" t="str">
        <f ca="1">IFERROR(__xludf.DUMMYFUNCTION("""COMPUTED_VALUE"""),"MSI")</f>
        <v>MSI</v>
      </c>
      <c r="C457" s="2" t="str">
        <f ca="1">IFERROR(__xludf.DUMMYFUNCTION("""COMPUTED_VALUE"""),"GL62M 7RD")</f>
        <v>GL62M 7RD</v>
      </c>
      <c r="D457" s="2" t="str">
        <f ca="1">IFERROR(__xludf.DUMMYFUNCTION("""COMPUTED_VALUE"""),"Gaming")</f>
        <v>Gaming</v>
      </c>
      <c r="E457" s="2">
        <f ca="1">IFERROR(__xludf.DUMMYFUNCTION("""COMPUTED_VALUE"""),15.6)</f>
        <v>15.6</v>
      </c>
      <c r="F457" s="2" t="str">
        <f ca="1">IFERROR(__xludf.DUMMYFUNCTION("""COMPUTED_VALUE"""),"Full HD 1920x1080")</f>
        <v>Full HD 1920x1080</v>
      </c>
      <c r="G457" s="2" t="str">
        <f ca="1">IFERROR(__xludf.DUMMYFUNCTION("""COMPUTED_VALUE"""),"Intel Core i5 7300HQ 2.5GHz")</f>
        <v>Intel Core i5 7300HQ 2.5GHz</v>
      </c>
      <c r="H457" s="2" t="str">
        <f ca="1">IFERROR(__xludf.DUMMYFUNCTION("""COMPUTED_VALUE"""),"8GB")</f>
        <v>8GB</v>
      </c>
      <c r="I457" s="2" t="str">
        <f ca="1">IFERROR(__xludf.DUMMYFUNCTION("""COMPUTED_VALUE"""),"128GB SSD +  1TB HDD")</f>
        <v>128GB SSD +  1TB HDD</v>
      </c>
      <c r="J457" s="2" t="str">
        <f ca="1">IFERROR(__xludf.DUMMYFUNCTION("""COMPUTED_VALUE"""),"Nvidia GeForce GTX 1050")</f>
        <v>Nvidia GeForce GTX 1050</v>
      </c>
      <c r="K457" s="2" t="str">
        <f ca="1">IFERROR(__xludf.DUMMYFUNCTION("""COMPUTED_VALUE"""),"Windows 10")</f>
        <v>Windows 10</v>
      </c>
      <c r="L457" s="2" t="str">
        <f ca="1">IFERROR(__xludf.DUMMYFUNCTION("""COMPUTED_VALUE"""),"2.2kg")</f>
        <v>2.2kg</v>
      </c>
      <c r="M457" s="2">
        <f ca="1">IFERROR(__xludf.DUMMYFUNCTION("""COMPUTED_VALUE"""),1119.91)</f>
        <v>1119.9100000000001</v>
      </c>
    </row>
    <row r="458" spans="1:13">
      <c r="A458" s="2">
        <f ca="1">IFERROR(__xludf.DUMMYFUNCTION("""COMPUTED_VALUE"""),935)</f>
        <v>935</v>
      </c>
      <c r="B458" s="2" t="str">
        <f ca="1">IFERROR(__xludf.DUMMYFUNCTION("""COMPUTED_VALUE"""),"HP")</f>
        <v>HP</v>
      </c>
      <c r="C458" s="2" t="str">
        <f ca="1">IFERROR(__xludf.DUMMYFUNCTION("""COMPUTED_VALUE"""),"EliteBook 850")</f>
        <v>EliteBook 850</v>
      </c>
      <c r="D458" s="2" t="str">
        <f ca="1">IFERROR(__xludf.DUMMYFUNCTION("""COMPUTED_VALUE"""),"Ultrabook")</f>
        <v>Ultrabook</v>
      </c>
      <c r="E458" s="2">
        <f ca="1">IFERROR(__xludf.DUMMYFUNCTION("""COMPUTED_VALUE"""),15.6)</f>
        <v>15.6</v>
      </c>
      <c r="F458" s="2" t="str">
        <f ca="1">IFERROR(__xludf.DUMMYFUNCTION("""COMPUTED_VALUE"""),"Full HD 1920x1080")</f>
        <v>Full HD 1920x1080</v>
      </c>
      <c r="G458" s="2" t="str">
        <f ca="1">IFERROR(__xludf.DUMMYFUNCTION("""COMPUTED_VALUE"""),"Intel Core i7 6500U 2.5GHz")</f>
        <v>Intel Core i7 6500U 2.5GHz</v>
      </c>
      <c r="H458" s="2" t="str">
        <f ca="1">IFERROR(__xludf.DUMMYFUNCTION("""COMPUTED_VALUE"""),"8GB")</f>
        <v>8GB</v>
      </c>
      <c r="I458" s="2" t="str">
        <f ca="1">IFERROR(__xludf.DUMMYFUNCTION("""COMPUTED_VALUE"""),"256GB SSD")</f>
        <v>256GB SSD</v>
      </c>
      <c r="J458" s="2" t="str">
        <f ca="1">IFERROR(__xludf.DUMMYFUNCTION("""COMPUTED_VALUE"""),"AMD Radeon R7 M365X")</f>
        <v>AMD Radeon R7 M365X</v>
      </c>
      <c r="K458" s="2" t="str">
        <f ca="1">IFERROR(__xludf.DUMMYFUNCTION("""COMPUTED_VALUE"""),"Windows 10")</f>
        <v>Windows 10</v>
      </c>
      <c r="L458" s="2" t="str">
        <f ca="1">IFERROR(__xludf.DUMMYFUNCTION("""COMPUTED_VALUE"""),"1.84kg")</f>
        <v>1.84kg</v>
      </c>
      <c r="M458" s="2">
        <f ca="1">IFERROR(__xludf.DUMMYFUNCTION("""COMPUTED_VALUE"""),1296.99)</f>
        <v>1296.99</v>
      </c>
    </row>
    <row r="459" spans="1:13">
      <c r="A459" s="2">
        <f ca="1">IFERROR(__xludf.DUMMYFUNCTION("""COMPUTED_VALUE"""),936)</f>
        <v>936</v>
      </c>
      <c r="B459" s="2" t="str">
        <f ca="1">IFERROR(__xludf.DUMMYFUNCTION("""COMPUTED_VALUE"""),"HP")</f>
        <v>HP</v>
      </c>
      <c r="C459" s="2" t="str">
        <f ca="1">IFERROR(__xludf.DUMMYFUNCTION("""COMPUTED_VALUE"""),"Envy 13-AB077cl")</f>
        <v>Envy 13-AB077cl</v>
      </c>
      <c r="D459" s="2" t="str">
        <f ca="1">IFERROR(__xludf.DUMMYFUNCTION("""COMPUTED_VALUE"""),"Ultrabook")</f>
        <v>Ultrabook</v>
      </c>
      <c r="E459" s="2">
        <f ca="1">IFERROR(__xludf.DUMMYFUNCTION("""COMPUTED_VALUE"""),13.3)</f>
        <v>13.3</v>
      </c>
      <c r="F459" s="2" t="str">
        <f ca="1">IFERROR(__xludf.DUMMYFUNCTION("""COMPUTED_VALUE"""),"Quad HD+ / Touchscreen 3200x1800")</f>
        <v>Quad HD+ / Touchscreen 3200x1800</v>
      </c>
      <c r="G459" s="2" t="str">
        <f ca="1">IFERROR(__xludf.DUMMYFUNCTION("""COMPUTED_VALUE"""),"Intel Core i7 7500U 2.7GHz")</f>
        <v>Intel Core i7 7500U 2.7GHz</v>
      </c>
      <c r="H459" s="2" t="str">
        <f ca="1">IFERROR(__xludf.DUMMYFUNCTION("""COMPUTED_VALUE"""),"8GB")</f>
        <v>8GB</v>
      </c>
      <c r="I459" s="2" t="str">
        <f ca="1">IFERROR(__xludf.DUMMYFUNCTION("""COMPUTED_VALUE"""),"256GB SSD")</f>
        <v>256GB SSD</v>
      </c>
      <c r="J459" s="2" t="str">
        <f ca="1">IFERROR(__xludf.DUMMYFUNCTION("""COMPUTED_VALUE"""),"Intel HD Graphics 620")</f>
        <v>Intel HD Graphics 620</v>
      </c>
      <c r="K459" s="2" t="str">
        <f ca="1">IFERROR(__xludf.DUMMYFUNCTION("""COMPUTED_VALUE"""),"Windows 10")</f>
        <v>Windows 10</v>
      </c>
      <c r="L459" s="2" t="str">
        <f ca="1">IFERROR(__xludf.DUMMYFUNCTION("""COMPUTED_VALUE"""),"1.39kg")</f>
        <v>1.39kg</v>
      </c>
      <c r="M459" s="2">
        <f ca="1">IFERROR(__xludf.DUMMYFUNCTION("""COMPUTED_VALUE"""),1149)</f>
        <v>1149</v>
      </c>
    </row>
    <row r="460" spans="1:13">
      <c r="A460" s="2">
        <f ca="1">IFERROR(__xludf.DUMMYFUNCTION("""COMPUTED_VALUE"""),938)</f>
        <v>938</v>
      </c>
      <c r="B460" s="2" t="str">
        <f ca="1">IFERROR(__xludf.DUMMYFUNCTION("""COMPUTED_VALUE"""),"Lenovo")</f>
        <v>Lenovo</v>
      </c>
      <c r="C460" s="2" t="str">
        <f ca="1">IFERROR(__xludf.DUMMYFUNCTION("""COMPUTED_VALUE"""),"ThinkPad Yoga")</f>
        <v>ThinkPad Yoga</v>
      </c>
      <c r="D460" s="2" t="str">
        <f ca="1">IFERROR(__xludf.DUMMYFUNCTION("""COMPUTED_VALUE"""),"2 in 1 Convertible")</f>
        <v>2 in 1 Convertible</v>
      </c>
      <c r="E460" s="2">
        <f ca="1">IFERROR(__xludf.DUMMYFUNCTION("""COMPUTED_VALUE"""),13.3)</f>
        <v>13.3</v>
      </c>
      <c r="F460" s="2" t="str">
        <f ca="1">IFERROR(__xludf.DUMMYFUNCTION("""COMPUTED_VALUE"""),"IPS Panel Full HD / Touchscreen 1920x1080")</f>
        <v>IPS Panel Full HD / Touchscreen 1920x1080</v>
      </c>
      <c r="G460" s="2" t="str">
        <f ca="1">IFERROR(__xludf.DUMMYFUNCTION("""COMPUTED_VALUE"""),"Intel Core i5 7200U 2.5GHz")</f>
        <v>Intel Core i5 7200U 2.5GHz</v>
      </c>
      <c r="H460" s="2" t="str">
        <f ca="1">IFERROR(__xludf.DUMMYFUNCTION("""COMPUTED_VALUE"""),"8GB")</f>
        <v>8GB</v>
      </c>
      <c r="I460" s="2" t="str">
        <f ca="1">IFERROR(__xludf.DUMMYFUNCTION("""COMPUTED_VALUE"""),"512GB SSD")</f>
        <v>512GB SSD</v>
      </c>
      <c r="J460" s="2" t="str">
        <f ca="1">IFERROR(__xludf.DUMMYFUNCTION("""COMPUTED_VALUE"""),"Intel HD Graphics 620")</f>
        <v>Intel HD Graphics 620</v>
      </c>
      <c r="K460" s="2" t="str">
        <f ca="1">IFERROR(__xludf.DUMMYFUNCTION("""COMPUTED_VALUE"""),"Windows 10")</f>
        <v>Windows 10</v>
      </c>
      <c r="L460" s="2" t="str">
        <f ca="1">IFERROR(__xludf.DUMMYFUNCTION("""COMPUTED_VALUE"""),"1.37kg")</f>
        <v>1.37kg</v>
      </c>
      <c r="M460" s="2">
        <f ca="1">IFERROR(__xludf.DUMMYFUNCTION("""COMPUTED_VALUE"""),1825)</f>
        <v>1825</v>
      </c>
    </row>
    <row r="461" spans="1:13">
      <c r="A461" s="2">
        <f ca="1">IFERROR(__xludf.DUMMYFUNCTION("""COMPUTED_VALUE"""),940)</f>
        <v>940</v>
      </c>
      <c r="B461" s="2" t="str">
        <f ca="1">IFERROR(__xludf.DUMMYFUNCTION("""COMPUTED_VALUE"""),"Lenovo")</f>
        <v>Lenovo</v>
      </c>
      <c r="C461" s="2" t="str">
        <f ca="1">IFERROR(__xludf.DUMMYFUNCTION("""COMPUTED_VALUE"""),"Thinkpad X270")</f>
        <v>Thinkpad X270</v>
      </c>
      <c r="D461" s="2" t="str">
        <f ca="1">IFERROR(__xludf.DUMMYFUNCTION("""COMPUTED_VALUE"""),"Ultrabook")</f>
        <v>Ultrabook</v>
      </c>
      <c r="E461" s="2">
        <f ca="1">IFERROR(__xludf.DUMMYFUNCTION("""COMPUTED_VALUE"""),12.5)</f>
        <v>12.5</v>
      </c>
      <c r="F461" s="2" t="str">
        <f ca="1">IFERROR(__xludf.DUMMYFUNCTION("""COMPUTED_VALUE"""),"IPS Panel Full HD 1920x1080")</f>
        <v>IPS Panel Full HD 1920x1080</v>
      </c>
      <c r="G461" s="2" t="str">
        <f ca="1">IFERROR(__xludf.DUMMYFUNCTION("""COMPUTED_VALUE"""),"Intel Core i7 7500U 2.7GHz")</f>
        <v>Intel Core i7 7500U 2.7GHz</v>
      </c>
      <c r="H461" s="2" t="str">
        <f ca="1">IFERROR(__xludf.DUMMYFUNCTION("""COMPUTED_VALUE"""),"8GB")</f>
        <v>8GB</v>
      </c>
      <c r="I461" s="2" t="str">
        <f ca="1">IFERROR(__xludf.DUMMYFUNCTION("""COMPUTED_VALUE"""),"256GB SSD")</f>
        <v>256GB SSD</v>
      </c>
      <c r="J461" s="2" t="str">
        <f ca="1">IFERROR(__xludf.DUMMYFUNCTION("""COMPUTED_VALUE"""),"Intel HD Graphics 620")</f>
        <v>Intel HD Graphics 620</v>
      </c>
      <c r="K461" s="2" t="str">
        <f ca="1">IFERROR(__xludf.DUMMYFUNCTION("""COMPUTED_VALUE"""),"Windows 10")</f>
        <v>Windows 10</v>
      </c>
      <c r="L461" s="2" t="str">
        <f ca="1">IFERROR(__xludf.DUMMYFUNCTION("""COMPUTED_VALUE"""),"1.36kg")</f>
        <v>1.36kg</v>
      </c>
      <c r="M461" s="2">
        <f ca="1">IFERROR(__xludf.DUMMYFUNCTION("""COMPUTED_VALUE"""),1650)</f>
        <v>1650</v>
      </c>
    </row>
    <row r="462" spans="1:13">
      <c r="A462" s="2">
        <f ca="1">IFERROR(__xludf.DUMMYFUNCTION("""COMPUTED_VALUE"""),941)</f>
        <v>941</v>
      </c>
      <c r="B462" s="2" t="str">
        <f ca="1">IFERROR(__xludf.DUMMYFUNCTION("""COMPUTED_VALUE"""),"HP")</f>
        <v>HP</v>
      </c>
      <c r="C462" s="2" t="str">
        <f ca="1">IFERROR(__xludf.DUMMYFUNCTION("""COMPUTED_VALUE"""),"Probook 650")</f>
        <v>Probook 650</v>
      </c>
      <c r="D462" s="2" t="str">
        <f ca="1">IFERROR(__xludf.DUMMYFUNCTION("""COMPUTED_VALUE"""),"Notebook")</f>
        <v>Notebook</v>
      </c>
      <c r="E462" s="2">
        <f ca="1">IFERROR(__xludf.DUMMYFUNCTION("""COMPUTED_VALUE"""),15.6)</f>
        <v>15.6</v>
      </c>
      <c r="F462" s="2" t="str">
        <f ca="1">IFERROR(__xludf.DUMMYFUNCTION("""COMPUTED_VALUE"""),"Full HD 1920x1080")</f>
        <v>Full HD 1920x1080</v>
      </c>
      <c r="G462" s="2" t="str">
        <f ca="1">IFERROR(__xludf.DUMMYFUNCTION("""COMPUTED_VALUE"""),"Intel Core i5 6200U 2.3GHz")</f>
        <v>Intel Core i5 6200U 2.3GHz</v>
      </c>
      <c r="H462" s="2" t="str">
        <f ca="1">IFERROR(__xludf.DUMMYFUNCTION("""COMPUTED_VALUE"""),"8GB")</f>
        <v>8GB</v>
      </c>
      <c r="I462" s="2" t="str">
        <f ca="1">IFERROR(__xludf.DUMMYFUNCTION("""COMPUTED_VALUE"""),"256GB SSD")</f>
        <v>256GB SSD</v>
      </c>
      <c r="J462" s="2" t="str">
        <f ca="1">IFERROR(__xludf.DUMMYFUNCTION("""COMPUTED_VALUE"""),"Intel HD Graphics 520")</f>
        <v>Intel HD Graphics 520</v>
      </c>
      <c r="K462" s="2" t="str">
        <f ca="1">IFERROR(__xludf.DUMMYFUNCTION("""COMPUTED_VALUE"""),"Windows 10")</f>
        <v>Windows 10</v>
      </c>
      <c r="L462" s="2" t="str">
        <f ca="1">IFERROR(__xludf.DUMMYFUNCTION("""COMPUTED_VALUE"""),"2.31kg")</f>
        <v>2.31kg</v>
      </c>
      <c r="M462" s="2">
        <f ca="1">IFERROR(__xludf.DUMMYFUNCTION("""COMPUTED_VALUE"""),1165)</f>
        <v>1165</v>
      </c>
    </row>
    <row r="463" spans="1:13">
      <c r="A463" s="2">
        <f ca="1">IFERROR(__xludf.DUMMYFUNCTION("""COMPUTED_VALUE"""),949)</f>
        <v>949</v>
      </c>
      <c r="B463" s="2" t="str">
        <f ca="1">IFERROR(__xludf.DUMMYFUNCTION("""COMPUTED_VALUE"""),"HP")</f>
        <v>HP</v>
      </c>
      <c r="C463" s="2" t="str">
        <f ca="1">IFERROR(__xludf.DUMMYFUNCTION("""COMPUTED_VALUE"""),"EliteBook 820")</f>
        <v>EliteBook 820</v>
      </c>
      <c r="D463" s="2" t="str">
        <f ca="1">IFERROR(__xludf.DUMMYFUNCTION("""COMPUTED_VALUE"""),"Netbook")</f>
        <v>Netbook</v>
      </c>
      <c r="E463" s="2">
        <f ca="1">IFERROR(__xludf.DUMMYFUNCTION("""COMPUTED_VALUE"""),12.5)</f>
        <v>12.5</v>
      </c>
      <c r="F463" s="2" t="str">
        <f ca="1">IFERROR(__xludf.DUMMYFUNCTION("""COMPUTED_VALUE"""),"Full HD 1920x1080")</f>
        <v>Full HD 1920x1080</v>
      </c>
      <c r="G463" s="2" t="str">
        <f ca="1">IFERROR(__xludf.DUMMYFUNCTION("""COMPUTED_VALUE"""),"Intel Core i5 6200U 2.3GHz")</f>
        <v>Intel Core i5 6200U 2.3GHz</v>
      </c>
      <c r="H463" s="2" t="str">
        <f ca="1">IFERROR(__xludf.DUMMYFUNCTION("""COMPUTED_VALUE"""),"8GB")</f>
        <v>8GB</v>
      </c>
      <c r="I463" s="2" t="str">
        <f ca="1">IFERROR(__xludf.DUMMYFUNCTION("""COMPUTED_VALUE"""),"256GB SSD")</f>
        <v>256GB SSD</v>
      </c>
      <c r="J463" s="2" t="str">
        <f ca="1">IFERROR(__xludf.DUMMYFUNCTION("""COMPUTED_VALUE"""),"Intel HD Graphics 520")</f>
        <v>Intel HD Graphics 520</v>
      </c>
      <c r="K463" s="2" t="str">
        <f ca="1">IFERROR(__xludf.DUMMYFUNCTION("""COMPUTED_VALUE"""),"Windows 10")</f>
        <v>Windows 10</v>
      </c>
      <c r="L463" s="2" t="str">
        <f ca="1">IFERROR(__xludf.DUMMYFUNCTION("""COMPUTED_VALUE"""),"1.26kg")</f>
        <v>1.26kg</v>
      </c>
      <c r="M463" s="2">
        <f ca="1">IFERROR(__xludf.DUMMYFUNCTION("""COMPUTED_VALUE"""),1669)</f>
        <v>1669</v>
      </c>
    </row>
    <row r="464" spans="1:13">
      <c r="A464" s="2">
        <f ca="1">IFERROR(__xludf.DUMMYFUNCTION("""COMPUTED_VALUE"""),951)</f>
        <v>951</v>
      </c>
      <c r="B464" s="2" t="str">
        <f ca="1">IFERROR(__xludf.DUMMYFUNCTION("""COMPUTED_VALUE"""),"MSI")</f>
        <v>MSI</v>
      </c>
      <c r="C464" s="2" t="str">
        <f ca="1">IFERROR(__xludf.DUMMYFUNCTION("""COMPUTED_VALUE"""),"GP62M Leopard")</f>
        <v>GP62M Leopard</v>
      </c>
      <c r="D464" s="2" t="str">
        <f ca="1">IFERROR(__xludf.DUMMYFUNCTION("""COMPUTED_VALUE"""),"Gaming")</f>
        <v>Gaming</v>
      </c>
      <c r="E464" s="2">
        <f ca="1">IFERROR(__xludf.DUMMYFUNCTION("""COMPUTED_VALUE"""),15.6)</f>
        <v>15.6</v>
      </c>
      <c r="F464" s="2" t="str">
        <f ca="1">IFERROR(__xludf.DUMMYFUNCTION("""COMPUTED_VALUE"""),"Full HD 1920x1080")</f>
        <v>Full HD 1920x1080</v>
      </c>
      <c r="G464" s="2" t="str">
        <f ca="1">IFERROR(__xludf.DUMMYFUNCTION("""COMPUTED_VALUE"""),"Intel Core i7 7700HQ 2.8GHz")</f>
        <v>Intel Core i7 7700HQ 2.8GHz</v>
      </c>
      <c r="H464" s="2" t="str">
        <f ca="1">IFERROR(__xludf.DUMMYFUNCTION("""COMPUTED_VALUE"""),"8GB")</f>
        <v>8GB</v>
      </c>
      <c r="I464" s="2" t="str">
        <f ca="1">IFERROR(__xludf.DUMMYFUNCTION("""COMPUTED_VALUE"""),"128GB SSD +  1TB HDD")</f>
        <v>128GB SSD +  1TB HDD</v>
      </c>
      <c r="J464" s="2" t="str">
        <f ca="1">IFERROR(__xludf.DUMMYFUNCTION("""COMPUTED_VALUE"""),"Nvidia GeForce GTX 1050")</f>
        <v>Nvidia GeForce GTX 1050</v>
      </c>
      <c r="K464" s="2" t="str">
        <f ca="1">IFERROR(__xludf.DUMMYFUNCTION("""COMPUTED_VALUE"""),"Windows 10")</f>
        <v>Windows 10</v>
      </c>
      <c r="L464" s="2" t="str">
        <f ca="1">IFERROR(__xludf.DUMMYFUNCTION("""COMPUTED_VALUE"""),"2.2kg")</f>
        <v>2.2kg</v>
      </c>
      <c r="M464" s="2">
        <f ca="1">IFERROR(__xludf.DUMMYFUNCTION("""COMPUTED_VALUE"""),1199)</f>
        <v>1199</v>
      </c>
    </row>
    <row r="465" spans="1:13">
      <c r="A465" s="2">
        <f ca="1">IFERROR(__xludf.DUMMYFUNCTION("""COMPUTED_VALUE"""),952)</f>
        <v>952</v>
      </c>
      <c r="B465" s="2" t="str">
        <f ca="1">IFERROR(__xludf.DUMMYFUNCTION("""COMPUTED_VALUE"""),"Dell")</f>
        <v>Dell</v>
      </c>
      <c r="C465" s="2" t="str">
        <f ca="1">IFERROR(__xludf.DUMMYFUNCTION("""COMPUTED_VALUE"""),"Latitude 7480")</f>
        <v>Latitude 7480</v>
      </c>
      <c r="D465" s="2" t="str">
        <f ca="1">IFERROR(__xludf.DUMMYFUNCTION("""COMPUTED_VALUE"""),"Ultrabook")</f>
        <v>Ultrabook</v>
      </c>
      <c r="E465" s="2">
        <f ca="1">IFERROR(__xludf.DUMMYFUNCTION("""COMPUTED_VALUE"""),14)</f>
        <v>14</v>
      </c>
      <c r="F465" s="2" t="str">
        <f ca="1">IFERROR(__xludf.DUMMYFUNCTION("""COMPUTED_VALUE"""),"Full HD 1920x1080")</f>
        <v>Full HD 1920x1080</v>
      </c>
      <c r="G465" s="2" t="str">
        <f ca="1">IFERROR(__xludf.DUMMYFUNCTION("""COMPUTED_VALUE"""),"Intel Core i5 7200U 2.5GHz")</f>
        <v>Intel Core i5 7200U 2.5GHz</v>
      </c>
      <c r="H465" s="2" t="str">
        <f ca="1">IFERROR(__xludf.DUMMYFUNCTION("""COMPUTED_VALUE"""),"8GB")</f>
        <v>8GB</v>
      </c>
      <c r="I465" s="2" t="str">
        <f ca="1">IFERROR(__xludf.DUMMYFUNCTION("""COMPUTED_VALUE"""),"256GB SSD")</f>
        <v>256GB SSD</v>
      </c>
      <c r="J465" s="2" t="str">
        <f ca="1">IFERROR(__xludf.DUMMYFUNCTION("""COMPUTED_VALUE"""),"Intel HD Graphics 620")</f>
        <v>Intel HD Graphics 620</v>
      </c>
      <c r="K465" s="2" t="str">
        <f ca="1">IFERROR(__xludf.DUMMYFUNCTION("""COMPUTED_VALUE"""),"Windows 10")</f>
        <v>Windows 10</v>
      </c>
      <c r="L465" s="2" t="str">
        <f ca="1">IFERROR(__xludf.DUMMYFUNCTION("""COMPUTED_VALUE"""),"1.36kg")</f>
        <v>1.36kg</v>
      </c>
      <c r="M465" s="2">
        <f ca="1">IFERROR(__xludf.DUMMYFUNCTION("""COMPUTED_VALUE"""),1639)</f>
        <v>1639</v>
      </c>
    </row>
    <row r="466" spans="1:13">
      <c r="A466" s="2">
        <f ca="1">IFERROR(__xludf.DUMMYFUNCTION("""COMPUTED_VALUE"""),954)</f>
        <v>954</v>
      </c>
      <c r="B466" s="2" t="str">
        <f ca="1">IFERROR(__xludf.DUMMYFUNCTION("""COMPUTED_VALUE"""),"HP")</f>
        <v>HP</v>
      </c>
      <c r="C466" s="2" t="str">
        <f ca="1">IFERROR(__xludf.DUMMYFUNCTION("""COMPUTED_VALUE"""),"Omen 17-W006na")</f>
        <v>Omen 17-W006na</v>
      </c>
      <c r="D466" s="2" t="str">
        <f ca="1">IFERROR(__xludf.DUMMYFUNCTION("""COMPUTED_VALUE"""),"Gaming")</f>
        <v>Gaming</v>
      </c>
      <c r="E466" s="2">
        <f ca="1">IFERROR(__xludf.DUMMYFUNCTION("""COMPUTED_VALUE"""),17.3)</f>
        <v>17.3</v>
      </c>
      <c r="F466" s="2" t="str">
        <f ca="1">IFERROR(__xludf.DUMMYFUNCTION("""COMPUTED_VALUE"""),"IPS Panel Full HD 1920x1080")</f>
        <v>IPS Panel Full HD 1920x1080</v>
      </c>
      <c r="G466" s="2" t="str">
        <f ca="1">IFERROR(__xludf.DUMMYFUNCTION("""COMPUTED_VALUE"""),"Intel Core i5 6300HQ 2.3GHz")</f>
        <v>Intel Core i5 6300HQ 2.3GHz</v>
      </c>
      <c r="H466" s="2" t="str">
        <f ca="1">IFERROR(__xludf.DUMMYFUNCTION("""COMPUTED_VALUE"""),"8GB")</f>
        <v>8GB</v>
      </c>
      <c r="I466" s="2" t="str">
        <f ca="1">IFERROR(__xludf.DUMMYFUNCTION("""COMPUTED_VALUE"""),"128GB SSD +  1TB HDD")</f>
        <v>128GB SSD +  1TB HDD</v>
      </c>
      <c r="J466" s="2" t="str">
        <f ca="1">IFERROR(__xludf.DUMMYFUNCTION("""COMPUTED_VALUE"""),"Nvidia GeForce GTX 965M")</f>
        <v>Nvidia GeForce GTX 965M</v>
      </c>
      <c r="K466" s="2" t="str">
        <f ca="1">IFERROR(__xludf.DUMMYFUNCTION("""COMPUTED_VALUE"""),"Windows 10")</f>
        <v>Windows 10</v>
      </c>
      <c r="L466" s="2" t="str">
        <f ca="1">IFERROR(__xludf.DUMMYFUNCTION("""COMPUTED_VALUE"""),"2.75kg")</f>
        <v>2.75kg</v>
      </c>
      <c r="M466" s="2">
        <f ca="1">IFERROR(__xludf.DUMMYFUNCTION("""COMPUTED_VALUE"""),1399)</f>
        <v>1399</v>
      </c>
    </row>
    <row r="467" spans="1:13">
      <c r="A467" s="2">
        <f ca="1">IFERROR(__xludf.DUMMYFUNCTION("""COMPUTED_VALUE"""),957)</f>
        <v>957</v>
      </c>
      <c r="B467" s="2" t="str">
        <f ca="1">IFERROR(__xludf.DUMMYFUNCTION("""COMPUTED_VALUE"""),"Toshiba")</f>
        <v>Toshiba</v>
      </c>
      <c r="C467" s="2" t="str">
        <f ca="1">IFERROR(__xludf.DUMMYFUNCTION("""COMPUTED_VALUE"""),"Tecra A50-C-1ZV")</f>
        <v>Tecra A50-C-1ZV</v>
      </c>
      <c r="D467" s="2" t="str">
        <f ca="1">IFERROR(__xludf.DUMMYFUNCTION("""COMPUTED_VALUE"""),"Notebook")</f>
        <v>Notebook</v>
      </c>
      <c r="E467" s="2">
        <f ca="1">IFERROR(__xludf.DUMMYFUNCTION("""COMPUTED_VALUE"""),15.6)</f>
        <v>15.6</v>
      </c>
      <c r="F467" s="2" t="str">
        <f ca="1">IFERROR(__xludf.DUMMYFUNCTION("""COMPUTED_VALUE"""),"1366x768")</f>
        <v>1366x768</v>
      </c>
      <c r="G467" s="2" t="str">
        <f ca="1">IFERROR(__xludf.DUMMYFUNCTION("""COMPUTED_VALUE"""),"Intel Core i5 6200U 2.3GHz")</f>
        <v>Intel Core i5 6200U 2.3GHz</v>
      </c>
      <c r="H467" s="2" t="str">
        <f ca="1">IFERROR(__xludf.DUMMYFUNCTION("""COMPUTED_VALUE"""),"8GB")</f>
        <v>8GB</v>
      </c>
      <c r="I467" s="2" t="str">
        <f ca="1">IFERROR(__xludf.DUMMYFUNCTION("""COMPUTED_VALUE"""),"256GB SSD")</f>
        <v>256GB SSD</v>
      </c>
      <c r="J467" s="2" t="str">
        <f ca="1">IFERROR(__xludf.DUMMYFUNCTION("""COMPUTED_VALUE"""),"Intel HD Graphics 520")</f>
        <v>Intel HD Graphics 520</v>
      </c>
      <c r="K467" s="2" t="str">
        <f ca="1">IFERROR(__xludf.DUMMYFUNCTION("""COMPUTED_VALUE"""),"Windows 10")</f>
        <v>Windows 10</v>
      </c>
      <c r="L467" s="2" t="str">
        <f ca="1">IFERROR(__xludf.DUMMYFUNCTION("""COMPUTED_VALUE"""),"2.2kg")</f>
        <v>2.2kg</v>
      </c>
      <c r="M467" s="2">
        <f ca="1">IFERROR(__xludf.DUMMYFUNCTION("""COMPUTED_VALUE"""),1119)</f>
        <v>1119</v>
      </c>
    </row>
    <row r="468" spans="1:13">
      <c r="A468" s="2">
        <f ca="1">IFERROR(__xludf.DUMMYFUNCTION("""COMPUTED_VALUE"""),958)</f>
        <v>958</v>
      </c>
      <c r="B468" s="2" t="str">
        <f ca="1">IFERROR(__xludf.DUMMYFUNCTION("""COMPUTED_VALUE"""),"Lenovo")</f>
        <v>Lenovo</v>
      </c>
      <c r="C468" s="2" t="str">
        <f ca="1">IFERROR(__xludf.DUMMYFUNCTION("""COMPUTED_VALUE"""),"Yoga 700-11ISK")</f>
        <v>Yoga 700-11ISK</v>
      </c>
      <c r="D468" s="2" t="str">
        <f ca="1">IFERROR(__xludf.DUMMYFUNCTION("""COMPUTED_VALUE"""),"2 in 1 Convertible")</f>
        <v>2 in 1 Convertible</v>
      </c>
      <c r="E468" s="2">
        <f ca="1">IFERROR(__xludf.DUMMYFUNCTION("""COMPUTED_VALUE"""),11.3)</f>
        <v>11.3</v>
      </c>
      <c r="F468" s="2" t="str">
        <f ca="1">IFERROR(__xludf.DUMMYFUNCTION("""COMPUTED_VALUE"""),"IPS Panel Full HD / Touchscreen 1920x1080")</f>
        <v>IPS Panel Full HD / Touchscreen 1920x1080</v>
      </c>
      <c r="G468" s="2" t="str">
        <f ca="1">IFERROR(__xludf.DUMMYFUNCTION("""COMPUTED_VALUE"""),"Intel Core M m7-6Y75 1.2GHz")</f>
        <v>Intel Core M m7-6Y75 1.2GHz</v>
      </c>
      <c r="H468" s="2" t="str">
        <f ca="1">IFERROR(__xludf.DUMMYFUNCTION("""COMPUTED_VALUE"""),"8GB")</f>
        <v>8GB</v>
      </c>
      <c r="I468" s="2" t="str">
        <f ca="1">IFERROR(__xludf.DUMMYFUNCTION("""COMPUTED_VALUE"""),"256GB SSD")</f>
        <v>256GB SSD</v>
      </c>
      <c r="J468" s="2" t="str">
        <f ca="1">IFERROR(__xludf.DUMMYFUNCTION("""COMPUTED_VALUE"""),"Intel HD Graphics 515")</f>
        <v>Intel HD Graphics 515</v>
      </c>
      <c r="K468" s="2" t="str">
        <f ca="1">IFERROR(__xludf.DUMMYFUNCTION("""COMPUTED_VALUE"""),"Windows 10")</f>
        <v>Windows 10</v>
      </c>
      <c r="L468" s="2" t="str">
        <f ca="1">IFERROR(__xludf.DUMMYFUNCTION("""COMPUTED_VALUE"""),"1.1kg")</f>
        <v>1.1kg</v>
      </c>
      <c r="M468" s="2">
        <f ca="1">IFERROR(__xludf.DUMMYFUNCTION("""COMPUTED_VALUE"""),1299)</f>
        <v>1299</v>
      </c>
    </row>
    <row r="469" spans="1:13">
      <c r="A469" s="2">
        <f ca="1">IFERROR(__xludf.DUMMYFUNCTION("""COMPUTED_VALUE"""),960)</f>
        <v>960</v>
      </c>
      <c r="B469" s="2" t="str">
        <f ca="1">IFERROR(__xludf.DUMMYFUNCTION("""COMPUTED_VALUE"""),"Dell")</f>
        <v>Dell</v>
      </c>
      <c r="C469" s="2" t="str">
        <f ca="1">IFERROR(__xludf.DUMMYFUNCTION("""COMPUTED_VALUE"""),"Latitude 7280")</f>
        <v>Latitude 7280</v>
      </c>
      <c r="D469" s="2" t="str">
        <f ca="1">IFERROR(__xludf.DUMMYFUNCTION("""COMPUTED_VALUE"""),"Ultrabook")</f>
        <v>Ultrabook</v>
      </c>
      <c r="E469" s="2">
        <f ca="1">IFERROR(__xludf.DUMMYFUNCTION("""COMPUTED_VALUE"""),12.5)</f>
        <v>12.5</v>
      </c>
      <c r="F469" s="2" t="str">
        <f ca="1">IFERROR(__xludf.DUMMYFUNCTION("""COMPUTED_VALUE"""),"Full HD / Touchscreen 1920x1080")</f>
        <v>Full HD / Touchscreen 1920x1080</v>
      </c>
      <c r="G469" s="2" t="str">
        <f ca="1">IFERROR(__xludf.DUMMYFUNCTION("""COMPUTED_VALUE"""),"Intel Core i5 7200U 2.5GHz")</f>
        <v>Intel Core i5 7200U 2.5GHz</v>
      </c>
      <c r="H469" s="2" t="str">
        <f ca="1">IFERROR(__xludf.DUMMYFUNCTION("""COMPUTED_VALUE"""),"8GB")</f>
        <v>8GB</v>
      </c>
      <c r="I469" s="2" t="str">
        <f ca="1">IFERROR(__xludf.DUMMYFUNCTION("""COMPUTED_VALUE"""),"256GB SSD")</f>
        <v>256GB SSD</v>
      </c>
      <c r="J469" s="2" t="str">
        <f ca="1">IFERROR(__xludf.DUMMYFUNCTION("""COMPUTED_VALUE"""),"Intel HD Graphics")</f>
        <v>Intel HD Graphics</v>
      </c>
      <c r="K469" s="2" t="str">
        <f ca="1">IFERROR(__xludf.DUMMYFUNCTION("""COMPUTED_VALUE"""),"Windows 10")</f>
        <v>Windows 10</v>
      </c>
      <c r="L469" s="2" t="str">
        <f ca="1">IFERROR(__xludf.DUMMYFUNCTION("""COMPUTED_VALUE"""),"1.36kg")</f>
        <v>1.36kg</v>
      </c>
      <c r="M469" s="2">
        <f ca="1">IFERROR(__xludf.DUMMYFUNCTION("""COMPUTED_VALUE"""),1472.2)</f>
        <v>1472.2</v>
      </c>
    </row>
    <row r="470" spans="1:13">
      <c r="A470" s="2">
        <f ca="1">IFERROR(__xludf.DUMMYFUNCTION("""COMPUTED_VALUE"""),961)</f>
        <v>961</v>
      </c>
      <c r="B470" s="2" t="str">
        <f ca="1">IFERROR(__xludf.DUMMYFUNCTION("""COMPUTED_VALUE"""),"Lenovo")</f>
        <v>Lenovo</v>
      </c>
      <c r="C470" s="2" t="str">
        <f ca="1">IFERROR(__xludf.DUMMYFUNCTION("""COMPUTED_VALUE"""),"IdeaPad 310-15IKB")</f>
        <v>IdeaPad 310-15IKB</v>
      </c>
      <c r="D470" s="2" t="str">
        <f ca="1">IFERROR(__xludf.DUMMYFUNCTION("""COMPUTED_VALUE"""),"Notebook")</f>
        <v>Notebook</v>
      </c>
      <c r="E470" s="2">
        <f ca="1">IFERROR(__xludf.DUMMYFUNCTION("""COMPUTED_VALUE"""),15.6)</f>
        <v>15.6</v>
      </c>
      <c r="F470" s="2" t="str">
        <f ca="1">IFERROR(__xludf.DUMMYFUNCTION("""COMPUTED_VALUE"""),"Full HD 1920x1080")</f>
        <v>Full HD 1920x1080</v>
      </c>
      <c r="G470" s="2" t="str">
        <f ca="1">IFERROR(__xludf.DUMMYFUNCTION("""COMPUTED_VALUE"""),"Intel Core i7 7500U 2.7GHz")</f>
        <v>Intel Core i7 7500U 2.7GHz</v>
      </c>
      <c r="H470" s="2" t="str">
        <f ca="1">IFERROR(__xludf.DUMMYFUNCTION("""COMPUTED_VALUE"""),"8GB")</f>
        <v>8GB</v>
      </c>
      <c r="I470" s="2" t="str">
        <f ca="1">IFERROR(__xludf.DUMMYFUNCTION("""COMPUTED_VALUE"""),"1TB HDD")</f>
        <v>1TB HDD</v>
      </c>
      <c r="J470" s="2" t="str">
        <f ca="1">IFERROR(__xludf.DUMMYFUNCTION("""COMPUTED_VALUE"""),"Nvidia GeForce 920MX")</f>
        <v>Nvidia GeForce 920MX</v>
      </c>
      <c r="K470" s="2" t="str">
        <f ca="1">IFERROR(__xludf.DUMMYFUNCTION("""COMPUTED_VALUE"""),"No OS")</f>
        <v>No OS</v>
      </c>
      <c r="L470" s="2" t="str">
        <f ca="1">IFERROR(__xludf.DUMMYFUNCTION("""COMPUTED_VALUE"""),"2.2kg")</f>
        <v>2.2kg</v>
      </c>
      <c r="M470" s="2">
        <f ca="1">IFERROR(__xludf.DUMMYFUNCTION("""COMPUTED_VALUE"""),685)</f>
        <v>685</v>
      </c>
    </row>
    <row r="471" spans="1:13">
      <c r="A471" s="2">
        <f ca="1">IFERROR(__xludf.DUMMYFUNCTION("""COMPUTED_VALUE"""),964)</f>
        <v>964</v>
      </c>
      <c r="B471" s="2" t="str">
        <f ca="1">IFERROR(__xludf.DUMMYFUNCTION("""COMPUTED_VALUE"""),"HP")</f>
        <v>HP</v>
      </c>
      <c r="C471" s="2" t="str">
        <f ca="1">IFERROR(__xludf.DUMMYFUNCTION("""COMPUTED_VALUE"""),"ZBook Studio")</f>
        <v>ZBook Studio</v>
      </c>
      <c r="D471" s="2" t="str">
        <f ca="1">IFERROR(__xludf.DUMMYFUNCTION("""COMPUTED_VALUE"""),"Workstation")</f>
        <v>Workstation</v>
      </c>
      <c r="E471" s="2">
        <f ca="1">IFERROR(__xludf.DUMMYFUNCTION("""COMPUTED_VALUE"""),15.6)</f>
        <v>15.6</v>
      </c>
      <c r="F471" s="2" t="str">
        <f ca="1">IFERROR(__xludf.DUMMYFUNCTION("""COMPUTED_VALUE"""),"IPS Panel Full HD 1920x1080")</f>
        <v>IPS Panel Full HD 1920x1080</v>
      </c>
      <c r="G471" s="2" t="str">
        <f ca="1">IFERROR(__xludf.DUMMYFUNCTION("""COMPUTED_VALUE"""),"Intel Core i7 6820HQ 2.7GHz")</f>
        <v>Intel Core i7 6820HQ 2.7GHz</v>
      </c>
      <c r="H471" s="2" t="str">
        <f ca="1">IFERROR(__xludf.DUMMYFUNCTION("""COMPUTED_VALUE"""),"8GB")</f>
        <v>8GB</v>
      </c>
      <c r="I471" s="2" t="str">
        <f ca="1">IFERROR(__xludf.DUMMYFUNCTION("""COMPUTED_VALUE"""),"8GB SSD")</f>
        <v>8GB SSD</v>
      </c>
      <c r="J471" s="2" t="str">
        <f ca="1">IFERROR(__xludf.DUMMYFUNCTION("""COMPUTED_VALUE"""),"Nvidia Quadro M1000M")</f>
        <v>Nvidia Quadro M1000M</v>
      </c>
      <c r="K471" s="2" t="str">
        <f ca="1">IFERROR(__xludf.DUMMYFUNCTION("""COMPUTED_VALUE"""),"Windows 10")</f>
        <v>Windows 10</v>
      </c>
      <c r="L471" s="2" t="str">
        <f ca="1">IFERROR(__xludf.DUMMYFUNCTION("""COMPUTED_VALUE"""),"2.0kg")</f>
        <v>2.0kg</v>
      </c>
      <c r="M471" s="2">
        <f ca="1">IFERROR(__xludf.DUMMYFUNCTION("""COMPUTED_VALUE"""),2249)</f>
        <v>2249</v>
      </c>
    </row>
    <row r="472" spans="1:13">
      <c r="A472" s="2">
        <f ca="1">IFERROR(__xludf.DUMMYFUNCTION("""COMPUTED_VALUE"""),965)</f>
        <v>965</v>
      </c>
      <c r="B472" s="2" t="str">
        <f ca="1">IFERROR(__xludf.DUMMYFUNCTION("""COMPUTED_VALUE"""),"Dell")</f>
        <v>Dell</v>
      </c>
      <c r="C472" s="2" t="str">
        <f ca="1">IFERROR(__xludf.DUMMYFUNCTION("""COMPUTED_VALUE"""),"Latitude 7480")</f>
        <v>Latitude 7480</v>
      </c>
      <c r="D472" s="2" t="str">
        <f ca="1">IFERROR(__xludf.DUMMYFUNCTION("""COMPUTED_VALUE"""),"Ultrabook")</f>
        <v>Ultrabook</v>
      </c>
      <c r="E472" s="2">
        <f ca="1">IFERROR(__xludf.DUMMYFUNCTION("""COMPUTED_VALUE"""),14)</f>
        <v>14</v>
      </c>
      <c r="F472" s="2" t="str">
        <f ca="1">IFERROR(__xludf.DUMMYFUNCTION("""COMPUTED_VALUE"""),"Full HD 1920x1080")</f>
        <v>Full HD 1920x1080</v>
      </c>
      <c r="G472" s="2" t="str">
        <f ca="1">IFERROR(__xludf.DUMMYFUNCTION("""COMPUTED_VALUE"""),"Intel Core i7 7600U 2.8GHz")</f>
        <v>Intel Core i7 7600U 2.8GHz</v>
      </c>
      <c r="H472" s="2" t="str">
        <f ca="1">IFERROR(__xludf.DUMMYFUNCTION("""COMPUTED_VALUE"""),"8GB")</f>
        <v>8GB</v>
      </c>
      <c r="I472" s="2" t="str">
        <f ca="1">IFERROR(__xludf.DUMMYFUNCTION("""COMPUTED_VALUE"""),"256GB SSD")</f>
        <v>256GB SSD</v>
      </c>
      <c r="J472" s="2" t="str">
        <f ca="1">IFERROR(__xludf.DUMMYFUNCTION("""COMPUTED_VALUE"""),"Intel HD Graphics 620")</f>
        <v>Intel HD Graphics 620</v>
      </c>
      <c r="K472" s="2" t="str">
        <f ca="1">IFERROR(__xludf.DUMMYFUNCTION("""COMPUTED_VALUE"""),"Windows 10")</f>
        <v>Windows 10</v>
      </c>
      <c r="L472" s="2" t="str">
        <f ca="1">IFERROR(__xludf.DUMMYFUNCTION("""COMPUTED_VALUE"""),"1.36kg")</f>
        <v>1.36kg</v>
      </c>
      <c r="M472" s="2">
        <f ca="1">IFERROR(__xludf.DUMMYFUNCTION("""COMPUTED_VALUE"""),1775)</f>
        <v>1775</v>
      </c>
    </row>
    <row r="473" spans="1:13">
      <c r="A473" s="2">
        <f ca="1">IFERROR(__xludf.DUMMYFUNCTION("""COMPUTED_VALUE"""),966)</f>
        <v>966</v>
      </c>
      <c r="B473" s="2" t="str">
        <f ca="1">IFERROR(__xludf.DUMMYFUNCTION("""COMPUTED_VALUE"""),"Toshiba")</f>
        <v>Toshiba</v>
      </c>
      <c r="C473" s="2" t="str">
        <f ca="1">IFERROR(__xludf.DUMMYFUNCTION("""COMPUTED_VALUE"""),"Portege Z30-C-1CW")</f>
        <v>Portege Z30-C-1CW</v>
      </c>
      <c r="D473" s="2" t="str">
        <f ca="1">IFERROR(__xludf.DUMMYFUNCTION("""COMPUTED_VALUE"""),"Notebook")</f>
        <v>Notebook</v>
      </c>
      <c r="E473" s="2">
        <f ca="1">IFERROR(__xludf.DUMMYFUNCTION("""COMPUTED_VALUE"""),13.3)</f>
        <v>13.3</v>
      </c>
      <c r="F473" s="2" t="str">
        <f ca="1">IFERROR(__xludf.DUMMYFUNCTION("""COMPUTED_VALUE"""),"Full HD 1920x1080")</f>
        <v>Full HD 1920x1080</v>
      </c>
      <c r="G473" s="2" t="str">
        <f ca="1">IFERROR(__xludf.DUMMYFUNCTION("""COMPUTED_VALUE"""),"Intel Core i5 6200U 2.3GHz")</f>
        <v>Intel Core i5 6200U 2.3GHz</v>
      </c>
      <c r="H473" s="2" t="str">
        <f ca="1">IFERROR(__xludf.DUMMYFUNCTION("""COMPUTED_VALUE"""),"8GB")</f>
        <v>8GB</v>
      </c>
      <c r="I473" s="2" t="str">
        <f ca="1">IFERROR(__xludf.DUMMYFUNCTION("""COMPUTED_VALUE"""),"256GB SSD")</f>
        <v>256GB SSD</v>
      </c>
      <c r="J473" s="2" t="str">
        <f ca="1">IFERROR(__xludf.DUMMYFUNCTION("""COMPUTED_VALUE"""),"Intel HD Graphics 520")</f>
        <v>Intel HD Graphics 520</v>
      </c>
      <c r="K473" s="2" t="str">
        <f ca="1">IFERROR(__xludf.DUMMYFUNCTION("""COMPUTED_VALUE"""),"Windows 7")</f>
        <v>Windows 7</v>
      </c>
      <c r="L473" s="2" t="str">
        <f ca="1">IFERROR(__xludf.DUMMYFUNCTION("""COMPUTED_VALUE"""),"1.2kg")</f>
        <v>1.2kg</v>
      </c>
      <c r="M473" s="2">
        <f ca="1">IFERROR(__xludf.DUMMYFUNCTION("""COMPUTED_VALUE"""),1460)</f>
        <v>1460</v>
      </c>
    </row>
    <row r="474" spans="1:13">
      <c r="A474" s="2">
        <f ca="1">IFERROR(__xludf.DUMMYFUNCTION("""COMPUTED_VALUE"""),967)</f>
        <v>967</v>
      </c>
      <c r="B474" s="2" t="str">
        <f ca="1">IFERROR(__xludf.DUMMYFUNCTION("""COMPUTED_VALUE"""),"Asus")</f>
        <v>Asus</v>
      </c>
      <c r="C474" s="2" t="str">
        <f ca="1">IFERROR(__xludf.DUMMYFUNCTION("""COMPUTED_VALUE"""),"Chromebook Flip")</f>
        <v>Chromebook Flip</v>
      </c>
      <c r="D474" s="2" t="str">
        <f ca="1">IFERROR(__xludf.DUMMYFUNCTION("""COMPUTED_VALUE"""),"2 in 1 Convertible")</f>
        <v>2 in 1 Convertible</v>
      </c>
      <c r="E474" s="2">
        <f ca="1">IFERROR(__xludf.DUMMYFUNCTION("""COMPUTED_VALUE"""),12.5)</f>
        <v>12.5</v>
      </c>
      <c r="F474" s="2" t="str">
        <f ca="1">IFERROR(__xludf.DUMMYFUNCTION("""COMPUTED_VALUE"""),"Full HD 1920x1080")</f>
        <v>Full HD 1920x1080</v>
      </c>
      <c r="G474" s="2" t="str">
        <f ca="1">IFERROR(__xludf.DUMMYFUNCTION("""COMPUTED_VALUE"""),"Intel Core M M7-6Y75 1.2GHz")</f>
        <v>Intel Core M M7-6Y75 1.2GHz</v>
      </c>
      <c r="H474" s="2" t="str">
        <f ca="1">IFERROR(__xludf.DUMMYFUNCTION("""COMPUTED_VALUE"""),"8GB")</f>
        <v>8GB</v>
      </c>
      <c r="I474" s="2" t="str">
        <f ca="1">IFERROR(__xludf.DUMMYFUNCTION("""COMPUTED_VALUE"""),"64GB Flash Storage")</f>
        <v>64GB Flash Storage</v>
      </c>
      <c r="J474" s="2" t="str">
        <f ca="1">IFERROR(__xludf.DUMMYFUNCTION("""COMPUTED_VALUE"""),"Intel HD Graphics 515")</f>
        <v>Intel HD Graphics 515</v>
      </c>
      <c r="K474" s="2" t="str">
        <f ca="1">IFERROR(__xludf.DUMMYFUNCTION("""COMPUTED_VALUE"""),"Chrome OS")</f>
        <v>Chrome OS</v>
      </c>
      <c r="L474" s="2" t="str">
        <f ca="1">IFERROR(__xludf.DUMMYFUNCTION("""COMPUTED_VALUE"""),"1.2kg")</f>
        <v>1.2kg</v>
      </c>
      <c r="M474" s="2">
        <f ca="1">IFERROR(__xludf.DUMMYFUNCTION("""COMPUTED_VALUE"""),1159)</f>
        <v>1159</v>
      </c>
    </row>
    <row r="475" spans="1:13">
      <c r="A475" s="2">
        <f ca="1">IFERROR(__xludf.DUMMYFUNCTION("""COMPUTED_VALUE"""),968)</f>
        <v>968</v>
      </c>
      <c r="B475" s="2" t="str">
        <f ca="1">IFERROR(__xludf.DUMMYFUNCTION("""COMPUTED_VALUE"""),"Lenovo")</f>
        <v>Lenovo</v>
      </c>
      <c r="C475" s="2" t="str">
        <f ca="1">IFERROR(__xludf.DUMMYFUNCTION("""COMPUTED_VALUE"""),"Thinkpad T460")</f>
        <v>Thinkpad T460</v>
      </c>
      <c r="D475" s="2" t="str">
        <f ca="1">IFERROR(__xludf.DUMMYFUNCTION("""COMPUTED_VALUE"""),"Ultrabook")</f>
        <v>Ultrabook</v>
      </c>
      <c r="E475" s="2">
        <f ca="1">IFERROR(__xludf.DUMMYFUNCTION("""COMPUTED_VALUE"""),14)</f>
        <v>14</v>
      </c>
      <c r="F475" s="2" t="str">
        <f ca="1">IFERROR(__xludf.DUMMYFUNCTION("""COMPUTED_VALUE"""),"IPS Panel Full HD 1920x1080")</f>
        <v>IPS Panel Full HD 1920x1080</v>
      </c>
      <c r="G475" s="2" t="str">
        <f ca="1">IFERROR(__xludf.DUMMYFUNCTION("""COMPUTED_VALUE"""),"Intel Core i7 6600U 2.6GHz")</f>
        <v>Intel Core i7 6600U 2.6GHz</v>
      </c>
      <c r="H475" s="2" t="str">
        <f ca="1">IFERROR(__xludf.DUMMYFUNCTION("""COMPUTED_VALUE"""),"8GB")</f>
        <v>8GB</v>
      </c>
      <c r="I475" s="2" t="str">
        <f ca="1">IFERROR(__xludf.DUMMYFUNCTION("""COMPUTED_VALUE"""),"256GB SSD")</f>
        <v>256GB SSD</v>
      </c>
      <c r="J475" s="2" t="str">
        <f ca="1">IFERROR(__xludf.DUMMYFUNCTION("""COMPUTED_VALUE"""),"Intel HD Graphics 520")</f>
        <v>Intel HD Graphics 520</v>
      </c>
      <c r="K475" s="2" t="str">
        <f ca="1">IFERROR(__xludf.DUMMYFUNCTION("""COMPUTED_VALUE"""),"Windows 10")</f>
        <v>Windows 10</v>
      </c>
      <c r="L475" s="2" t="str">
        <f ca="1">IFERROR(__xludf.DUMMYFUNCTION("""COMPUTED_VALUE"""),"1.7kg")</f>
        <v>1.7kg</v>
      </c>
      <c r="M475" s="2">
        <f ca="1">IFERROR(__xludf.DUMMYFUNCTION("""COMPUTED_VALUE"""),1488.99)</f>
        <v>1488.99</v>
      </c>
    </row>
    <row r="476" spans="1:13">
      <c r="A476" s="2">
        <f ca="1">IFERROR(__xludf.DUMMYFUNCTION("""COMPUTED_VALUE"""),970)</f>
        <v>970</v>
      </c>
      <c r="B476" s="2" t="str">
        <f ca="1">IFERROR(__xludf.DUMMYFUNCTION("""COMPUTED_VALUE"""),"Dell")</f>
        <v>Dell</v>
      </c>
      <c r="C476" s="2" t="str">
        <f ca="1">IFERROR(__xludf.DUMMYFUNCTION("""COMPUTED_VALUE"""),"XPS 13")</f>
        <v>XPS 13</v>
      </c>
      <c r="D476" s="2" t="str">
        <f ca="1">IFERROR(__xludf.DUMMYFUNCTION("""COMPUTED_VALUE"""),"2 in 1 Convertible")</f>
        <v>2 in 1 Convertible</v>
      </c>
      <c r="E476" s="2">
        <f ca="1">IFERROR(__xludf.DUMMYFUNCTION("""COMPUTED_VALUE"""),13.3)</f>
        <v>13.3</v>
      </c>
      <c r="F476" s="2" t="str">
        <f ca="1">IFERROR(__xludf.DUMMYFUNCTION("""COMPUTED_VALUE"""),"Full HD / Touchscreen 1920x1080")</f>
        <v>Full HD / Touchscreen 1920x1080</v>
      </c>
      <c r="G476" s="2" t="str">
        <f ca="1">IFERROR(__xludf.DUMMYFUNCTION("""COMPUTED_VALUE"""),"Intel Core i5 7Y54 1.2GHz")</f>
        <v>Intel Core i5 7Y54 1.2GHz</v>
      </c>
      <c r="H476" s="2" t="str">
        <f ca="1">IFERROR(__xludf.DUMMYFUNCTION("""COMPUTED_VALUE"""),"8GB")</f>
        <v>8GB</v>
      </c>
      <c r="I476" s="2" t="str">
        <f ca="1">IFERROR(__xludf.DUMMYFUNCTION("""COMPUTED_VALUE"""),"256GB SSD")</f>
        <v>256GB SSD</v>
      </c>
      <c r="J476" s="2" t="str">
        <f ca="1">IFERROR(__xludf.DUMMYFUNCTION("""COMPUTED_VALUE"""),"Intel HD Graphics 615")</f>
        <v>Intel HD Graphics 615</v>
      </c>
      <c r="K476" s="2" t="str">
        <f ca="1">IFERROR(__xludf.DUMMYFUNCTION("""COMPUTED_VALUE"""),"Windows 10")</f>
        <v>Windows 10</v>
      </c>
      <c r="L476" s="2" t="str">
        <f ca="1">IFERROR(__xludf.DUMMYFUNCTION("""COMPUTED_VALUE"""),"1.24kg")</f>
        <v>1.24kg</v>
      </c>
      <c r="M476" s="2">
        <f ca="1">IFERROR(__xludf.DUMMYFUNCTION("""COMPUTED_VALUE"""),1899)</f>
        <v>1899</v>
      </c>
    </row>
    <row r="477" spans="1:13">
      <c r="A477" s="2">
        <f ca="1">IFERROR(__xludf.DUMMYFUNCTION("""COMPUTED_VALUE"""),972)</f>
        <v>972</v>
      </c>
      <c r="B477" s="2" t="str">
        <f ca="1">IFERROR(__xludf.DUMMYFUNCTION("""COMPUTED_VALUE"""),"Dell")</f>
        <v>Dell</v>
      </c>
      <c r="C477" s="2" t="str">
        <f ca="1">IFERROR(__xludf.DUMMYFUNCTION("""COMPUTED_VALUE"""),"XPS 13")</f>
        <v>XPS 13</v>
      </c>
      <c r="D477" s="2" t="str">
        <f ca="1">IFERROR(__xludf.DUMMYFUNCTION("""COMPUTED_VALUE"""),"Ultrabook")</f>
        <v>Ultrabook</v>
      </c>
      <c r="E477" s="2">
        <f ca="1">IFERROR(__xludf.DUMMYFUNCTION("""COMPUTED_VALUE"""),13.3)</f>
        <v>13.3</v>
      </c>
      <c r="F477" s="2" t="str">
        <f ca="1">IFERROR(__xludf.DUMMYFUNCTION("""COMPUTED_VALUE"""),"Quad HD+ 3200x1800")</f>
        <v>Quad HD+ 3200x1800</v>
      </c>
      <c r="G477" s="2" t="str">
        <f ca="1">IFERROR(__xludf.DUMMYFUNCTION("""COMPUTED_VALUE"""),"Intel Core i7 6500U 2.5GHz")</f>
        <v>Intel Core i7 6500U 2.5GHz</v>
      </c>
      <c r="H477" s="2" t="str">
        <f ca="1">IFERROR(__xludf.DUMMYFUNCTION("""COMPUTED_VALUE"""),"8GB")</f>
        <v>8GB</v>
      </c>
      <c r="I477" s="2" t="str">
        <f ca="1">IFERROR(__xludf.DUMMYFUNCTION("""COMPUTED_VALUE"""),"256GB SSD")</f>
        <v>256GB SSD</v>
      </c>
      <c r="J477" s="2" t="str">
        <f ca="1">IFERROR(__xludf.DUMMYFUNCTION("""COMPUTED_VALUE"""),"Intel HD Graphics 520")</f>
        <v>Intel HD Graphics 520</v>
      </c>
      <c r="K477" s="2" t="str">
        <f ca="1">IFERROR(__xludf.DUMMYFUNCTION("""COMPUTED_VALUE"""),"Windows 10")</f>
        <v>Windows 10</v>
      </c>
      <c r="L477" s="2" t="str">
        <f ca="1">IFERROR(__xludf.DUMMYFUNCTION("""COMPUTED_VALUE"""),"1.3kg")</f>
        <v>1.3kg</v>
      </c>
      <c r="M477" s="2">
        <f ca="1">IFERROR(__xludf.DUMMYFUNCTION("""COMPUTED_VALUE"""),1268)</f>
        <v>1268</v>
      </c>
    </row>
    <row r="478" spans="1:13">
      <c r="A478" s="2">
        <f ca="1">IFERROR(__xludf.DUMMYFUNCTION("""COMPUTED_VALUE"""),974)</f>
        <v>974</v>
      </c>
      <c r="B478" s="2" t="str">
        <f ca="1">IFERROR(__xludf.DUMMYFUNCTION("""COMPUTED_VALUE"""),"Toshiba")</f>
        <v>Toshiba</v>
      </c>
      <c r="C478" s="2" t="str">
        <f ca="1">IFERROR(__xludf.DUMMYFUNCTION("""COMPUTED_VALUE"""),"Portege Z30-C-16Z")</f>
        <v>Portege Z30-C-16Z</v>
      </c>
      <c r="D478" s="2" t="str">
        <f ca="1">IFERROR(__xludf.DUMMYFUNCTION("""COMPUTED_VALUE"""),"Notebook")</f>
        <v>Notebook</v>
      </c>
      <c r="E478" s="2">
        <f ca="1">IFERROR(__xludf.DUMMYFUNCTION("""COMPUTED_VALUE"""),13.3)</f>
        <v>13.3</v>
      </c>
      <c r="F478" s="2" t="str">
        <f ca="1">IFERROR(__xludf.DUMMYFUNCTION("""COMPUTED_VALUE"""),"Full HD 1920x1080")</f>
        <v>Full HD 1920x1080</v>
      </c>
      <c r="G478" s="2" t="str">
        <f ca="1">IFERROR(__xludf.DUMMYFUNCTION("""COMPUTED_VALUE"""),"Intel Core i5 6300U 2.4GHz")</f>
        <v>Intel Core i5 6300U 2.4GHz</v>
      </c>
      <c r="H478" s="2" t="str">
        <f ca="1">IFERROR(__xludf.DUMMYFUNCTION("""COMPUTED_VALUE"""),"8GB")</f>
        <v>8GB</v>
      </c>
      <c r="I478" s="2" t="str">
        <f ca="1">IFERROR(__xludf.DUMMYFUNCTION("""COMPUTED_VALUE"""),"256GB SSD")</f>
        <v>256GB SSD</v>
      </c>
      <c r="J478" s="2" t="str">
        <f ca="1">IFERROR(__xludf.DUMMYFUNCTION("""COMPUTED_VALUE"""),"Intel HD Graphics 520")</f>
        <v>Intel HD Graphics 520</v>
      </c>
      <c r="K478" s="2" t="str">
        <f ca="1">IFERROR(__xludf.DUMMYFUNCTION("""COMPUTED_VALUE"""),"Windows 10")</f>
        <v>Windows 10</v>
      </c>
      <c r="L478" s="2" t="str">
        <f ca="1">IFERROR(__xludf.DUMMYFUNCTION("""COMPUTED_VALUE"""),"1.2kg")</f>
        <v>1.2kg</v>
      </c>
      <c r="M478" s="2">
        <f ca="1">IFERROR(__xludf.DUMMYFUNCTION("""COMPUTED_VALUE"""),1535)</f>
        <v>1535</v>
      </c>
    </row>
    <row r="479" spans="1:13">
      <c r="A479" s="2">
        <f ca="1">IFERROR(__xludf.DUMMYFUNCTION("""COMPUTED_VALUE"""),975)</f>
        <v>975</v>
      </c>
      <c r="B479" s="2" t="str">
        <f ca="1">IFERROR(__xludf.DUMMYFUNCTION("""COMPUTED_VALUE"""),"Lenovo")</f>
        <v>Lenovo</v>
      </c>
      <c r="C479" s="2" t="str">
        <f ca="1">IFERROR(__xludf.DUMMYFUNCTION("""COMPUTED_VALUE"""),"ThinkPad X270")</f>
        <v>ThinkPad X270</v>
      </c>
      <c r="D479" s="2" t="str">
        <f ca="1">IFERROR(__xludf.DUMMYFUNCTION("""COMPUTED_VALUE"""),"Ultrabook")</f>
        <v>Ultrabook</v>
      </c>
      <c r="E479" s="2">
        <f ca="1">IFERROR(__xludf.DUMMYFUNCTION("""COMPUTED_VALUE"""),12.5)</f>
        <v>12.5</v>
      </c>
      <c r="F479" s="2" t="str">
        <f ca="1">IFERROR(__xludf.DUMMYFUNCTION("""COMPUTED_VALUE"""),"IPS Panel Full HD 1920x1080")</f>
        <v>IPS Panel Full HD 1920x1080</v>
      </c>
      <c r="G479" s="2" t="str">
        <f ca="1">IFERROR(__xludf.DUMMYFUNCTION("""COMPUTED_VALUE"""),"Intel Core i5 7300U 2.6GHz")</f>
        <v>Intel Core i5 7300U 2.6GHz</v>
      </c>
      <c r="H479" s="2" t="str">
        <f ca="1">IFERROR(__xludf.DUMMYFUNCTION("""COMPUTED_VALUE"""),"8GB")</f>
        <v>8GB</v>
      </c>
      <c r="I479" s="2" t="str">
        <f ca="1">IFERROR(__xludf.DUMMYFUNCTION("""COMPUTED_VALUE"""),"256GB SSD")</f>
        <v>256GB SSD</v>
      </c>
      <c r="J479" s="2" t="str">
        <f ca="1">IFERROR(__xludf.DUMMYFUNCTION("""COMPUTED_VALUE"""),"Intel HD Graphics 620")</f>
        <v>Intel HD Graphics 620</v>
      </c>
      <c r="K479" s="2" t="str">
        <f ca="1">IFERROR(__xludf.DUMMYFUNCTION("""COMPUTED_VALUE"""),"Windows 10")</f>
        <v>Windows 10</v>
      </c>
      <c r="L479" s="2" t="str">
        <f ca="1">IFERROR(__xludf.DUMMYFUNCTION("""COMPUTED_VALUE"""),"1.36kg")</f>
        <v>1.36kg</v>
      </c>
      <c r="M479" s="2">
        <f ca="1">IFERROR(__xludf.DUMMYFUNCTION("""COMPUTED_VALUE"""),1760)</f>
        <v>1760</v>
      </c>
    </row>
    <row r="480" spans="1:13">
      <c r="A480" s="2">
        <f ca="1">IFERROR(__xludf.DUMMYFUNCTION("""COMPUTED_VALUE"""),977)</f>
        <v>977</v>
      </c>
      <c r="B480" s="2" t="str">
        <f ca="1">IFERROR(__xludf.DUMMYFUNCTION("""COMPUTED_VALUE"""),"Toshiba")</f>
        <v>Toshiba</v>
      </c>
      <c r="C480" s="2" t="str">
        <f ca="1">IFERROR(__xludf.DUMMYFUNCTION("""COMPUTED_VALUE"""),"Portege X20W-D-10V")</f>
        <v>Portege X20W-D-10V</v>
      </c>
      <c r="D480" s="2" t="str">
        <f ca="1">IFERROR(__xludf.DUMMYFUNCTION("""COMPUTED_VALUE"""),"Ultrabook")</f>
        <v>Ultrabook</v>
      </c>
      <c r="E480" s="2">
        <f ca="1">IFERROR(__xludf.DUMMYFUNCTION("""COMPUTED_VALUE"""),12.5)</f>
        <v>12.5</v>
      </c>
      <c r="F480" s="2" t="str">
        <f ca="1">IFERROR(__xludf.DUMMYFUNCTION("""COMPUTED_VALUE"""),"Full HD / Touchscreen 1920x1080")</f>
        <v>Full HD / Touchscreen 1920x1080</v>
      </c>
      <c r="G480" s="2" t="str">
        <f ca="1">IFERROR(__xludf.DUMMYFUNCTION("""COMPUTED_VALUE"""),"Intel Core i7 7500U 2.7GHz")</f>
        <v>Intel Core i7 7500U 2.7GHz</v>
      </c>
      <c r="H480" s="2" t="str">
        <f ca="1">IFERROR(__xludf.DUMMYFUNCTION("""COMPUTED_VALUE"""),"8GB")</f>
        <v>8GB</v>
      </c>
      <c r="I480" s="2" t="str">
        <f ca="1">IFERROR(__xludf.DUMMYFUNCTION("""COMPUTED_VALUE"""),"512GB SSD")</f>
        <v>512GB SSD</v>
      </c>
      <c r="J480" s="2" t="str">
        <f ca="1">IFERROR(__xludf.DUMMYFUNCTION("""COMPUTED_VALUE"""),"Intel HD Graphics 620")</f>
        <v>Intel HD Graphics 620</v>
      </c>
      <c r="K480" s="2" t="str">
        <f ca="1">IFERROR(__xludf.DUMMYFUNCTION("""COMPUTED_VALUE"""),"Windows 10")</f>
        <v>Windows 10</v>
      </c>
      <c r="L480" s="2" t="str">
        <f ca="1">IFERROR(__xludf.DUMMYFUNCTION("""COMPUTED_VALUE"""),"1.1kg")</f>
        <v>1.1kg</v>
      </c>
      <c r="M480" s="2">
        <f ca="1">IFERROR(__xludf.DUMMYFUNCTION("""COMPUTED_VALUE"""),1790)</f>
        <v>1790</v>
      </c>
    </row>
    <row r="481" spans="1:13">
      <c r="A481" s="2">
        <f ca="1">IFERROR(__xludf.DUMMYFUNCTION("""COMPUTED_VALUE"""),978)</f>
        <v>978</v>
      </c>
      <c r="B481" s="2" t="str">
        <f ca="1">IFERROR(__xludf.DUMMYFUNCTION("""COMPUTED_VALUE"""),"HP")</f>
        <v>HP</v>
      </c>
      <c r="C481" s="2" t="str">
        <f ca="1">IFERROR(__xludf.DUMMYFUNCTION("""COMPUTED_VALUE"""),"ProBook 450")</f>
        <v>ProBook 450</v>
      </c>
      <c r="D481" s="2" t="str">
        <f ca="1">IFERROR(__xludf.DUMMYFUNCTION("""COMPUTED_VALUE"""),"Notebook")</f>
        <v>Notebook</v>
      </c>
      <c r="E481" s="2">
        <f ca="1">IFERROR(__xludf.DUMMYFUNCTION("""COMPUTED_VALUE"""),15.6)</f>
        <v>15.6</v>
      </c>
      <c r="F481" s="2" t="str">
        <f ca="1">IFERROR(__xludf.DUMMYFUNCTION("""COMPUTED_VALUE"""),"1366x768")</f>
        <v>1366x768</v>
      </c>
      <c r="G481" s="2" t="str">
        <f ca="1">IFERROR(__xludf.DUMMYFUNCTION("""COMPUTED_VALUE"""),"Intel Core i5 7200U 2.50GHz")</f>
        <v>Intel Core i5 7200U 2.50GHz</v>
      </c>
      <c r="H481" s="2" t="str">
        <f ca="1">IFERROR(__xludf.DUMMYFUNCTION("""COMPUTED_VALUE"""),"8GB")</f>
        <v>8GB</v>
      </c>
      <c r="I481" s="2" t="str">
        <f ca="1">IFERROR(__xludf.DUMMYFUNCTION("""COMPUTED_VALUE"""),"1TB HDD")</f>
        <v>1TB HDD</v>
      </c>
      <c r="J481" s="2" t="str">
        <f ca="1">IFERROR(__xludf.DUMMYFUNCTION("""COMPUTED_VALUE"""),"Nvidia GeForce 930MX")</f>
        <v>Nvidia GeForce 930MX</v>
      </c>
      <c r="K481" s="2" t="str">
        <f ca="1">IFERROR(__xludf.DUMMYFUNCTION("""COMPUTED_VALUE"""),"Windows 10")</f>
        <v>Windows 10</v>
      </c>
      <c r="L481" s="2" t="str">
        <f ca="1">IFERROR(__xludf.DUMMYFUNCTION("""COMPUTED_VALUE"""),"2.04kg")</f>
        <v>2.04kg</v>
      </c>
      <c r="M481" s="2">
        <f ca="1">IFERROR(__xludf.DUMMYFUNCTION("""COMPUTED_VALUE"""),846.5)</f>
        <v>846.5</v>
      </c>
    </row>
    <row r="482" spans="1:13">
      <c r="A482" s="2">
        <f ca="1">IFERROR(__xludf.DUMMYFUNCTION("""COMPUTED_VALUE"""),985)</f>
        <v>985</v>
      </c>
      <c r="B482" s="2" t="str">
        <f ca="1">IFERROR(__xludf.DUMMYFUNCTION("""COMPUTED_VALUE"""),"Dell")</f>
        <v>Dell</v>
      </c>
      <c r="C482" s="2" t="str">
        <f ca="1">IFERROR(__xludf.DUMMYFUNCTION("""COMPUTED_VALUE"""),"Latitude E7470")</f>
        <v>Latitude E7470</v>
      </c>
      <c r="D482" s="2" t="str">
        <f ca="1">IFERROR(__xludf.DUMMYFUNCTION("""COMPUTED_VALUE"""),"Ultrabook")</f>
        <v>Ultrabook</v>
      </c>
      <c r="E482" s="2">
        <f ca="1">IFERROR(__xludf.DUMMYFUNCTION("""COMPUTED_VALUE"""),14)</f>
        <v>14</v>
      </c>
      <c r="F482" s="2" t="str">
        <f ca="1">IFERROR(__xludf.DUMMYFUNCTION("""COMPUTED_VALUE"""),"Touchscreen 2560x1440")</f>
        <v>Touchscreen 2560x1440</v>
      </c>
      <c r="G482" s="2" t="str">
        <f ca="1">IFERROR(__xludf.DUMMYFUNCTION("""COMPUTED_VALUE"""),"Intel Core i7 6600U 2.6GHz")</f>
        <v>Intel Core i7 6600U 2.6GHz</v>
      </c>
      <c r="H482" s="2" t="str">
        <f ca="1">IFERROR(__xludf.DUMMYFUNCTION("""COMPUTED_VALUE"""),"8GB")</f>
        <v>8GB</v>
      </c>
      <c r="I482" s="2" t="str">
        <f ca="1">IFERROR(__xludf.DUMMYFUNCTION("""COMPUTED_VALUE"""),"256GB SSD")</f>
        <v>256GB SSD</v>
      </c>
      <c r="J482" s="2" t="str">
        <f ca="1">IFERROR(__xludf.DUMMYFUNCTION("""COMPUTED_VALUE"""),"Intel HD Graphics 520")</f>
        <v>Intel HD Graphics 520</v>
      </c>
      <c r="K482" s="2" t="str">
        <f ca="1">IFERROR(__xludf.DUMMYFUNCTION("""COMPUTED_VALUE"""),"Windows 10")</f>
        <v>Windows 10</v>
      </c>
      <c r="L482" s="2" t="str">
        <f ca="1">IFERROR(__xludf.DUMMYFUNCTION("""COMPUTED_VALUE"""),"1.5kg")</f>
        <v>1.5kg</v>
      </c>
      <c r="M482" s="2">
        <f ca="1">IFERROR(__xludf.DUMMYFUNCTION("""COMPUTED_VALUE"""),1962.98)</f>
        <v>1962.98</v>
      </c>
    </row>
    <row r="483" spans="1:13">
      <c r="A483" s="2">
        <f ca="1">IFERROR(__xludf.DUMMYFUNCTION("""COMPUTED_VALUE"""),987)</f>
        <v>987</v>
      </c>
      <c r="B483" s="2" t="str">
        <f ca="1">IFERROR(__xludf.DUMMYFUNCTION("""COMPUTED_VALUE"""),"Toshiba")</f>
        <v>Toshiba</v>
      </c>
      <c r="C483" s="2" t="str">
        <f ca="1">IFERROR(__xludf.DUMMYFUNCTION("""COMPUTED_VALUE"""),"Tecra A40-C-1DF")</f>
        <v>Tecra A40-C-1DF</v>
      </c>
      <c r="D483" s="2" t="str">
        <f ca="1">IFERROR(__xludf.DUMMYFUNCTION("""COMPUTED_VALUE"""),"Notebook")</f>
        <v>Notebook</v>
      </c>
      <c r="E483" s="2">
        <f ca="1">IFERROR(__xludf.DUMMYFUNCTION("""COMPUTED_VALUE"""),14)</f>
        <v>14</v>
      </c>
      <c r="F483" s="2" t="str">
        <f ca="1">IFERROR(__xludf.DUMMYFUNCTION("""COMPUTED_VALUE"""),"Full HD 1920x1080")</f>
        <v>Full HD 1920x1080</v>
      </c>
      <c r="G483" s="2" t="str">
        <f ca="1">IFERROR(__xludf.DUMMYFUNCTION("""COMPUTED_VALUE"""),"Intel Core i5 6200U 2.3GHz")</f>
        <v>Intel Core i5 6200U 2.3GHz</v>
      </c>
      <c r="H483" s="2" t="str">
        <f ca="1">IFERROR(__xludf.DUMMYFUNCTION("""COMPUTED_VALUE"""),"8GB")</f>
        <v>8GB</v>
      </c>
      <c r="I483" s="2" t="str">
        <f ca="1">IFERROR(__xludf.DUMMYFUNCTION("""COMPUTED_VALUE"""),"256GB SSD")</f>
        <v>256GB SSD</v>
      </c>
      <c r="J483" s="2" t="str">
        <f ca="1">IFERROR(__xludf.DUMMYFUNCTION("""COMPUTED_VALUE"""),"Intel HD Graphics 520")</f>
        <v>Intel HD Graphics 520</v>
      </c>
      <c r="K483" s="2" t="str">
        <f ca="1">IFERROR(__xludf.DUMMYFUNCTION("""COMPUTED_VALUE"""),"Windows 10")</f>
        <v>Windows 10</v>
      </c>
      <c r="L483" s="2" t="str">
        <f ca="1">IFERROR(__xludf.DUMMYFUNCTION("""COMPUTED_VALUE"""),"1.95kg")</f>
        <v>1.95kg</v>
      </c>
      <c r="M483" s="2">
        <f ca="1">IFERROR(__xludf.DUMMYFUNCTION("""COMPUTED_VALUE"""),1180)</f>
        <v>1180</v>
      </c>
    </row>
    <row r="484" spans="1:13">
      <c r="A484" s="2">
        <f ca="1">IFERROR(__xludf.DUMMYFUNCTION("""COMPUTED_VALUE"""),989)</f>
        <v>989</v>
      </c>
      <c r="B484" s="2" t="str">
        <f ca="1">IFERROR(__xludf.DUMMYFUNCTION("""COMPUTED_VALUE"""),"HP")</f>
        <v>HP</v>
      </c>
      <c r="C484" s="2" t="str">
        <f ca="1">IFERROR(__xludf.DUMMYFUNCTION("""COMPUTED_VALUE"""),"Probook 450")</f>
        <v>Probook 450</v>
      </c>
      <c r="D484" s="2" t="str">
        <f ca="1">IFERROR(__xludf.DUMMYFUNCTION("""COMPUTED_VALUE"""),"Notebook")</f>
        <v>Notebook</v>
      </c>
      <c r="E484" s="2">
        <f ca="1">IFERROR(__xludf.DUMMYFUNCTION("""COMPUTED_VALUE"""),15.6)</f>
        <v>15.6</v>
      </c>
      <c r="F484" s="2" t="str">
        <f ca="1">IFERROR(__xludf.DUMMYFUNCTION("""COMPUTED_VALUE"""),"IPS Panel Full HD 1920x1080")</f>
        <v>IPS Panel Full HD 1920x1080</v>
      </c>
      <c r="G484" s="2" t="str">
        <f ca="1">IFERROR(__xludf.DUMMYFUNCTION("""COMPUTED_VALUE"""),"Intel Core i5 7200U 2.70GHz")</f>
        <v>Intel Core i5 7200U 2.70GHz</v>
      </c>
      <c r="H484" s="2" t="str">
        <f ca="1">IFERROR(__xludf.DUMMYFUNCTION("""COMPUTED_VALUE"""),"8GB")</f>
        <v>8GB</v>
      </c>
      <c r="I484" s="2" t="str">
        <f ca="1">IFERROR(__xludf.DUMMYFUNCTION("""COMPUTED_VALUE"""),"128GB SSD +  1TB HDD")</f>
        <v>128GB SSD +  1TB HDD</v>
      </c>
      <c r="J484" s="2" t="str">
        <f ca="1">IFERROR(__xludf.DUMMYFUNCTION("""COMPUTED_VALUE"""),"Nvidia GeForce 930MX")</f>
        <v>Nvidia GeForce 930MX</v>
      </c>
      <c r="K484" s="2" t="str">
        <f ca="1">IFERROR(__xludf.DUMMYFUNCTION("""COMPUTED_VALUE"""),"Windows 10")</f>
        <v>Windows 10</v>
      </c>
      <c r="L484" s="2" t="str">
        <f ca="1">IFERROR(__xludf.DUMMYFUNCTION("""COMPUTED_VALUE"""),"2.04kg")</f>
        <v>2.04kg</v>
      </c>
      <c r="M484" s="2">
        <f ca="1">IFERROR(__xludf.DUMMYFUNCTION("""COMPUTED_VALUE"""),979)</f>
        <v>979</v>
      </c>
    </row>
    <row r="485" spans="1:13">
      <c r="A485" s="2">
        <f ca="1">IFERROR(__xludf.DUMMYFUNCTION("""COMPUTED_VALUE"""),1000)</f>
        <v>1000</v>
      </c>
      <c r="B485" s="2" t="str">
        <f ca="1">IFERROR(__xludf.DUMMYFUNCTION("""COMPUTED_VALUE"""),"HP")</f>
        <v>HP</v>
      </c>
      <c r="C485" s="2" t="str">
        <f ca="1">IFERROR(__xludf.DUMMYFUNCTION("""COMPUTED_VALUE"""),"Probook 450")</f>
        <v>Probook 450</v>
      </c>
      <c r="D485" s="2" t="str">
        <f ca="1">IFERROR(__xludf.DUMMYFUNCTION("""COMPUTED_VALUE"""),"Notebook")</f>
        <v>Notebook</v>
      </c>
      <c r="E485" s="2">
        <f ca="1">IFERROR(__xludf.DUMMYFUNCTION("""COMPUTED_VALUE"""),15.6)</f>
        <v>15.6</v>
      </c>
      <c r="F485" s="2" t="str">
        <f ca="1">IFERROR(__xludf.DUMMYFUNCTION("""COMPUTED_VALUE"""),"Full HD 1920x1080")</f>
        <v>Full HD 1920x1080</v>
      </c>
      <c r="G485" s="2" t="str">
        <f ca="1">IFERROR(__xludf.DUMMYFUNCTION("""COMPUTED_VALUE"""),"Intel Core i5 7200U 2.5GHz")</f>
        <v>Intel Core i5 7200U 2.5GHz</v>
      </c>
      <c r="H485" s="2" t="str">
        <f ca="1">IFERROR(__xludf.DUMMYFUNCTION("""COMPUTED_VALUE"""),"8GB")</f>
        <v>8GB</v>
      </c>
      <c r="I485" s="2" t="str">
        <f ca="1">IFERROR(__xludf.DUMMYFUNCTION("""COMPUTED_VALUE"""),"1TB HDD")</f>
        <v>1TB HDD</v>
      </c>
      <c r="J485" s="2" t="str">
        <f ca="1">IFERROR(__xludf.DUMMYFUNCTION("""COMPUTED_VALUE"""),"Intel HD Graphics 620")</f>
        <v>Intel HD Graphics 620</v>
      </c>
      <c r="K485" s="2" t="str">
        <f ca="1">IFERROR(__xludf.DUMMYFUNCTION("""COMPUTED_VALUE"""),"Windows 10")</f>
        <v>Windows 10</v>
      </c>
      <c r="L485" s="2" t="str">
        <f ca="1">IFERROR(__xludf.DUMMYFUNCTION("""COMPUTED_VALUE"""),"2.04kg")</f>
        <v>2.04kg</v>
      </c>
      <c r="M485" s="2">
        <f ca="1">IFERROR(__xludf.DUMMYFUNCTION("""COMPUTED_VALUE"""),806)</f>
        <v>806</v>
      </c>
    </row>
    <row r="486" spans="1:13">
      <c r="A486" s="2">
        <f ca="1">IFERROR(__xludf.DUMMYFUNCTION("""COMPUTED_VALUE"""),1001)</f>
        <v>1001</v>
      </c>
      <c r="B486" s="2" t="str">
        <f ca="1">IFERROR(__xludf.DUMMYFUNCTION("""COMPUTED_VALUE"""),"Lenovo")</f>
        <v>Lenovo</v>
      </c>
      <c r="C486" s="2" t="str">
        <f ca="1">IFERROR(__xludf.DUMMYFUNCTION("""COMPUTED_VALUE"""),"Legion Y520-15IKBN")</f>
        <v>Legion Y520-15IKBN</v>
      </c>
      <c r="D486" s="2" t="str">
        <f ca="1">IFERROR(__xludf.DUMMYFUNCTION("""COMPUTED_VALUE"""),"Gaming")</f>
        <v>Gaming</v>
      </c>
      <c r="E486" s="2">
        <f ca="1">IFERROR(__xludf.DUMMYFUNCTION("""COMPUTED_VALUE"""),15.6)</f>
        <v>15.6</v>
      </c>
      <c r="F486" s="2" t="str">
        <f ca="1">IFERROR(__xludf.DUMMYFUNCTION("""COMPUTED_VALUE"""),"IPS Panel Full HD 1920x1080")</f>
        <v>IPS Panel Full HD 1920x1080</v>
      </c>
      <c r="G486" s="2" t="str">
        <f ca="1">IFERROR(__xludf.DUMMYFUNCTION("""COMPUTED_VALUE"""),"Intel Core i7 7700HQ 2.8GHz")</f>
        <v>Intel Core i7 7700HQ 2.8GHz</v>
      </c>
      <c r="H486" s="2" t="str">
        <f ca="1">IFERROR(__xludf.DUMMYFUNCTION("""COMPUTED_VALUE"""),"8GB")</f>
        <v>8GB</v>
      </c>
      <c r="I486" s="2" t="str">
        <f ca="1">IFERROR(__xludf.DUMMYFUNCTION("""COMPUTED_VALUE"""),"128GB SSD +  1TB HDD")</f>
        <v>128GB SSD +  1TB HDD</v>
      </c>
      <c r="J486" s="2" t="str">
        <f ca="1">IFERROR(__xludf.DUMMYFUNCTION("""COMPUTED_VALUE"""),"Nvidia GeForce GTX 1060")</f>
        <v>Nvidia GeForce GTX 1060</v>
      </c>
      <c r="K486" s="2" t="str">
        <f ca="1">IFERROR(__xludf.DUMMYFUNCTION("""COMPUTED_VALUE"""),"Windows 10")</f>
        <v>Windows 10</v>
      </c>
      <c r="L486" s="2" t="str">
        <f ca="1">IFERROR(__xludf.DUMMYFUNCTION("""COMPUTED_VALUE"""),"2.5kg")</f>
        <v>2.5kg</v>
      </c>
      <c r="M486" s="2">
        <f ca="1">IFERROR(__xludf.DUMMYFUNCTION("""COMPUTED_VALUE"""),1189)</f>
        <v>1189</v>
      </c>
    </row>
    <row r="487" spans="1:13">
      <c r="A487" s="2">
        <f ca="1">IFERROR(__xludf.DUMMYFUNCTION("""COMPUTED_VALUE"""),1002)</f>
        <v>1002</v>
      </c>
      <c r="B487" s="2" t="str">
        <f ca="1">IFERROR(__xludf.DUMMYFUNCTION("""COMPUTED_VALUE"""),"Dell")</f>
        <v>Dell</v>
      </c>
      <c r="C487" s="2" t="str">
        <f ca="1">IFERROR(__xludf.DUMMYFUNCTION("""COMPUTED_VALUE"""),"Inspiron 5567")</f>
        <v>Inspiron 5567</v>
      </c>
      <c r="D487" s="2" t="str">
        <f ca="1">IFERROR(__xludf.DUMMYFUNCTION("""COMPUTED_VALUE"""),"Notebook")</f>
        <v>Notebook</v>
      </c>
      <c r="E487" s="2">
        <f ca="1">IFERROR(__xludf.DUMMYFUNCTION("""COMPUTED_VALUE"""),15.6)</f>
        <v>15.6</v>
      </c>
      <c r="F487" s="2" t="str">
        <f ca="1">IFERROR(__xludf.DUMMYFUNCTION("""COMPUTED_VALUE"""),"1366x768")</f>
        <v>1366x768</v>
      </c>
      <c r="G487" s="2" t="str">
        <f ca="1">IFERROR(__xludf.DUMMYFUNCTION("""COMPUTED_VALUE"""),"Intel Core i7 7500U 2.7GHz")</f>
        <v>Intel Core i7 7500U 2.7GHz</v>
      </c>
      <c r="H487" s="2" t="str">
        <f ca="1">IFERROR(__xludf.DUMMYFUNCTION("""COMPUTED_VALUE"""),"8GB")</f>
        <v>8GB</v>
      </c>
      <c r="I487" s="2" t="str">
        <f ca="1">IFERROR(__xludf.DUMMYFUNCTION("""COMPUTED_VALUE"""),"1TB HDD")</f>
        <v>1TB HDD</v>
      </c>
      <c r="J487" s="2" t="str">
        <f ca="1">IFERROR(__xludf.DUMMYFUNCTION("""COMPUTED_VALUE"""),"AMD Radeon R7 M445")</f>
        <v>AMD Radeon R7 M445</v>
      </c>
      <c r="K487" s="2" t="str">
        <f ca="1">IFERROR(__xludf.DUMMYFUNCTION("""COMPUTED_VALUE"""),"Windows 10")</f>
        <v>Windows 10</v>
      </c>
      <c r="L487" s="2" t="str">
        <f ca="1">IFERROR(__xludf.DUMMYFUNCTION("""COMPUTED_VALUE"""),"2.36kg")</f>
        <v>2.36kg</v>
      </c>
      <c r="M487" s="2">
        <f ca="1">IFERROR(__xludf.DUMMYFUNCTION("""COMPUTED_VALUE"""),749)</f>
        <v>749</v>
      </c>
    </row>
    <row r="488" spans="1:13">
      <c r="A488" s="2">
        <f ca="1">IFERROR(__xludf.DUMMYFUNCTION("""COMPUTED_VALUE"""),1003)</f>
        <v>1003</v>
      </c>
      <c r="B488" s="2" t="str">
        <f ca="1">IFERROR(__xludf.DUMMYFUNCTION("""COMPUTED_VALUE"""),"Dell")</f>
        <v>Dell</v>
      </c>
      <c r="C488" s="2" t="str">
        <f ca="1">IFERROR(__xludf.DUMMYFUNCTION("""COMPUTED_VALUE"""),"Latitude 5480")</f>
        <v>Latitude 5480</v>
      </c>
      <c r="D488" s="2" t="str">
        <f ca="1">IFERROR(__xludf.DUMMYFUNCTION("""COMPUTED_VALUE"""),"Notebook")</f>
        <v>Notebook</v>
      </c>
      <c r="E488" s="2">
        <f ca="1">IFERROR(__xludf.DUMMYFUNCTION("""COMPUTED_VALUE"""),14)</f>
        <v>14</v>
      </c>
      <c r="F488" s="2" t="str">
        <f ca="1">IFERROR(__xludf.DUMMYFUNCTION("""COMPUTED_VALUE"""),"Full HD 1920x1080")</f>
        <v>Full HD 1920x1080</v>
      </c>
      <c r="G488" s="2" t="str">
        <f ca="1">IFERROR(__xludf.DUMMYFUNCTION("""COMPUTED_VALUE"""),"Intel Core i5 7200U 2.5GHz")</f>
        <v>Intel Core i5 7200U 2.5GHz</v>
      </c>
      <c r="H488" s="2" t="str">
        <f ca="1">IFERROR(__xludf.DUMMYFUNCTION("""COMPUTED_VALUE"""),"8GB")</f>
        <v>8GB</v>
      </c>
      <c r="I488" s="2" t="str">
        <f ca="1">IFERROR(__xludf.DUMMYFUNCTION("""COMPUTED_VALUE"""),"128GB SSD")</f>
        <v>128GB SSD</v>
      </c>
      <c r="J488" s="2" t="str">
        <f ca="1">IFERROR(__xludf.DUMMYFUNCTION("""COMPUTED_VALUE"""),"Intel HD Graphics 620 ")</f>
        <v xml:space="preserve">Intel HD Graphics 620 </v>
      </c>
      <c r="K488" s="2" t="str">
        <f ca="1">IFERROR(__xludf.DUMMYFUNCTION("""COMPUTED_VALUE"""),"Windows 10")</f>
        <v>Windows 10</v>
      </c>
      <c r="L488" s="2" t="str">
        <f ca="1">IFERROR(__xludf.DUMMYFUNCTION("""COMPUTED_VALUE"""),"1.6kg")</f>
        <v>1.6kg</v>
      </c>
      <c r="M488" s="2">
        <f ca="1">IFERROR(__xludf.DUMMYFUNCTION("""COMPUTED_VALUE"""),1119)</f>
        <v>1119</v>
      </c>
    </row>
    <row r="489" spans="1:13">
      <c r="A489" s="2">
        <f ca="1">IFERROR(__xludf.DUMMYFUNCTION("""COMPUTED_VALUE"""),1004)</f>
        <v>1004</v>
      </c>
      <c r="B489" s="2" t="str">
        <f ca="1">IFERROR(__xludf.DUMMYFUNCTION("""COMPUTED_VALUE"""),"HP")</f>
        <v>HP</v>
      </c>
      <c r="C489" s="2" t="str">
        <f ca="1">IFERROR(__xludf.DUMMYFUNCTION("""COMPUTED_VALUE"""),"EliteBook Folio")</f>
        <v>EliteBook Folio</v>
      </c>
      <c r="D489" s="2" t="str">
        <f ca="1">IFERROR(__xludf.DUMMYFUNCTION("""COMPUTED_VALUE"""),"Netbook")</f>
        <v>Netbook</v>
      </c>
      <c r="E489" s="2">
        <f ca="1">IFERROR(__xludf.DUMMYFUNCTION("""COMPUTED_VALUE"""),12.5)</f>
        <v>12.5</v>
      </c>
      <c r="F489" s="2" t="str">
        <f ca="1">IFERROR(__xludf.DUMMYFUNCTION("""COMPUTED_VALUE"""),"Full HD 1920x1080")</f>
        <v>Full HD 1920x1080</v>
      </c>
      <c r="G489" s="2" t="str">
        <f ca="1">IFERROR(__xludf.DUMMYFUNCTION("""COMPUTED_VALUE"""),"Intel Core M 6Y75 1.2GHz")</f>
        <v>Intel Core M 6Y75 1.2GHz</v>
      </c>
      <c r="H489" s="2" t="str">
        <f ca="1">IFERROR(__xludf.DUMMYFUNCTION("""COMPUTED_VALUE"""),"8GB")</f>
        <v>8GB</v>
      </c>
      <c r="I489" s="2" t="str">
        <f ca="1">IFERROR(__xludf.DUMMYFUNCTION("""COMPUTED_VALUE"""),"512GB SSD")</f>
        <v>512GB SSD</v>
      </c>
      <c r="J489" s="2" t="str">
        <f ca="1">IFERROR(__xludf.DUMMYFUNCTION("""COMPUTED_VALUE"""),"Intel HD Graphics 515")</f>
        <v>Intel HD Graphics 515</v>
      </c>
      <c r="K489" s="2" t="str">
        <f ca="1">IFERROR(__xludf.DUMMYFUNCTION("""COMPUTED_VALUE"""),"Windows 10")</f>
        <v>Windows 10</v>
      </c>
      <c r="L489" s="2" t="str">
        <f ca="1">IFERROR(__xludf.DUMMYFUNCTION("""COMPUTED_VALUE"""),"0.97kg")</f>
        <v>0.97kg</v>
      </c>
      <c r="M489" s="2">
        <f ca="1">IFERROR(__xludf.DUMMYFUNCTION("""COMPUTED_VALUE"""),1908)</f>
        <v>1908</v>
      </c>
    </row>
    <row r="490" spans="1:13">
      <c r="A490" s="2">
        <f ca="1">IFERROR(__xludf.DUMMYFUNCTION("""COMPUTED_VALUE"""),1007)</f>
        <v>1007</v>
      </c>
      <c r="B490" s="2" t="str">
        <f ca="1">IFERROR(__xludf.DUMMYFUNCTION("""COMPUTED_VALUE"""),"Lenovo")</f>
        <v>Lenovo</v>
      </c>
      <c r="C490" s="2" t="str">
        <f ca="1">IFERROR(__xludf.DUMMYFUNCTION("""COMPUTED_VALUE"""),"ThinkPad T560")</f>
        <v>ThinkPad T560</v>
      </c>
      <c r="D490" s="2" t="str">
        <f ca="1">IFERROR(__xludf.DUMMYFUNCTION("""COMPUTED_VALUE"""),"Notebook")</f>
        <v>Notebook</v>
      </c>
      <c r="E490" s="2">
        <f ca="1">IFERROR(__xludf.DUMMYFUNCTION("""COMPUTED_VALUE"""),15.6)</f>
        <v>15.6</v>
      </c>
      <c r="F490" s="2" t="str">
        <f ca="1">IFERROR(__xludf.DUMMYFUNCTION("""COMPUTED_VALUE"""),"Full HD 1920x1080")</f>
        <v>Full HD 1920x1080</v>
      </c>
      <c r="G490" s="2" t="str">
        <f ca="1">IFERROR(__xludf.DUMMYFUNCTION("""COMPUTED_VALUE"""),"Intel Core i5 6200U 2.3GHz")</f>
        <v>Intel Core i5 6200U 2.3GHz</v>
      </c>
      <c r="H490" s="2" t="str">
        <f ca="1">IFERROR(__xludf.DUMMYFUNCTION("""COMPUTED_VALUE"""),"8GB")</f>
        <v>8GB</v>
      </c>
      <c r="I490" s="2" t="str">
        <f ca="1">IFERROR(__xludf.DUMMYFUNCTION("""COMPUTED_VALUE"""),"256GB SSD")</f>
        <v>256GB SSD</v>
      </c>
      <c r="J490" s="2" t="str">
        <f ca="1">IFERROR(__xludf.DUMMYFUNCTION("""COMPUTED_VALUE"""),"Intel HD Graphics 520")</f>
        <v>Intel HD Graphics 520</v>
      </c>
      <c r="K490" s="2" t="str">
        <f ca="1">IFERROR(__xludf.DUMMYFUNCTION("""COMPUTED_VALUE"""),"Windows 10")</f>
        <v>Windows 10</v>
      </c>
      <c r="L490" s="2" t="str">
        <f ca="1">IFERROR(__xludf.DUMMYFUNCTION("""COMPUTED_VALUE"""),"2.3kg")</f>
        <v>2.3kg</v>
      </c>
      <c r="M490" s="2">
        <f ca="1">IFERROR(__xludf.DUMMYFUNCTION("""COMPUTED_VALUE"""),1349)</f>
        <v>1349</v>
      </c>
    </row>
    <row r="491" spans="1:13">
      <c r="A491" s="2">
        <f ca="1">IFERROR(__xludf.DUMMYFUNCTION("""COMPUTED_VALUE"""),1008)</f>
        <v>1008</v>
      </c>
      <c r="B491" s="2" t="str">
        <f ca="1">IFERROR(__xludf.DUMMYFUNCTION("""COMPUTED_VALUE"""),"Dell")</f>
        <v>Dell</v>
      </c>
      <c r="C491" s="2" t="str">
        <f ca="1">IFERROR(__xludf.DUMMYFUNCTION("""COMPUTED_VALUE"""),"Inspiron 5378")</f>
        <v>Inspiron 5378</v>
      </c>
      <c r="D491" s="2" t="str">
        <f ca="1">IFERROR(__xludf.DUMMYFUNCTION("""COMPUTED_VALUE"""),"2 in 1 Convertible")</f>
        <v>2 in 1 Convertible</v>
      </c>
      <c r="E491" s="2">
        <f ca="1">IFERROR(__xludf.DUMMYFUNCTION("""COMPUTED_VALUE"""),13.3)</f>
        <v>13.3</v>
      </c>
      <c r="F491" s="2" t="str">
        <f ca="1">IFERROR(__xludf.DUMMYFUNCTION("""COMPUTED_VALUE"""),"Full HD / Touchscreen 1920x1080")</f>
        <v>Full HD / Touchscreen 1920x1080</v>
      </c>
      <c r="G491" s="2" t="str">
        <f ca="1">IFERROR(__xludf.DUMMYFUNCTION("""COMPUTED_VALUE"""),"Intel Core i5 7200U 2.5GHz")</f>
        <v>Intel Core i5 7200U 2.5GHz</v>
      </c>
      <c r="H491" s="2" t="str">
        <f ca="1">IFERROR(__xludf.DUMMYFUNCTION("""COMPUTED_VALUE"""),"8GB")</f>
        <v>8GB</v>
      </c>
      <c r="I491" s="2" t="str">
        <f ca="1">IFERROR(__xludf.DUMMYFUNCTION("""COMPUTED_VALUE"""),"256GB SSD")</f>
        <v>256GB SSD</v>
      </c>
      <c r="J491" s="2" t="str">
        <f ca="1">IFERROR(__xludf.DUMMYFUNCTION("""COMPUTED_VALUE"""),"Intel HD Graphics 620")</f>
        <v>Intel HD Graphics 620</v>
      </c>
      <c r="K491" s="2" t="str">
        <f ca="1">IFERROR(__xludf.DUMMYFUNCTION("""COMPUTED_VALUE"""),"Windows 10")</f>
        <v>Windows 10</v>
      </c>
      <c r="L491" s="2" t="str">
        <f ca="1">IFERROR(__xludf.DUMMYFUNCTION("""COMPUTED_VALUE"""),"1.68kg")</f>
        <v>1.68kg</v>
      </c>
      <c r="M491" s="2">
        <f ca="1">IFERROR(__xludf.DUMMYFUNCTION("""COMPUTED_VALUE"""),889)</f>
        <v>889</v>
      </c>
    </row>
    <row r="492" spans="1:13">
      <c r="A492" s="2">
        <f ca="1">IFERROR(__xludf.DUMMYFUNCTION("""COMPUTED_VALUE"""),1009)</f>
        <v>1009</v>
      </c>
      <c r="B492" s="2" t="str">
        <f ca="1">IFERROR(__xludf.DUMMYFUNCTION("""COMPUTED_VALUE"""),"Asus")</f>
        <v>Asus</v>
      </c>
      <c r="C492" s="2" t="str">
        <f ca="1">IFERROR(__xludf.DUMMYFUNCTION("""COMPUTED_VALUE"""),"ZenBook UX310UA-FB485T")</f>
        <v>ZenBook UX310UA-FB485T</v>
      </c>
      <c r="D492" s="2" t="str">
        <f ca="1">IFERROR(__xludf.DUMMYFUNCTION("""COMPUTED_VALUE"""),"Notebook")</f>
        <v>Notebook</v>
      </c>
      <c r="E492" s="2">
        <f ca="1">IFERROR(__xludf.DUMMYFUNCTION("""COMPUTED_VALUE"""),13.3)</f>
        <v>13.3</v>
      </c>
      <c r="F492" s="2" t="str">
        <f ca="1">IFERROR(__xludf.DUMMYFUNCTION("""COMPUTED_VALUE"""),"Quad HD+ 3200x1800")</f>
        <v>Quad HD+ 3200x1800</v>
      </c>
      <c r="G492" s="2" t="str">
        <f ca="1">IFERROR(__xludf.DUMMYFUNCTION("""COMPUTED_VALUE"""),"Intel Core i5 7200U 2.5GHz")</f>
        <v>Intel Core i5 7200U 2.5GHz</v>
      </c>
      <c r="H492" s="2" t="str">
        <f ca="1">IFERROR(__xludf.DUMMYFUNCTION("""COMPUTED_VALUE"""),"8GB")</f>
        <v>8GB</v>
      </c>
      <c r="I492" s="2" t="str">
        <f ca="1">IFERROR(__xludf.DUMMYFUNCTION("""COMPUTED_VALUE"""),"256GB SSD")</f>
        <v>256GB SSD</v>
      </c>
      <c r="J492" s="2" t="str">
        <f ca="1">IFERROR(__xludf.DUMMYFUNCTION("""COMPUTED_VALUE"""),"Intel HD Graphics 620")</f>
        <v>Intel HD Graphics 620</v>
      </c>
      <c r="K492" s="2" t="str">
        <f ca="1">IFERROR(__xludf.DUMMYFUNCTION("""COMPUTED_VALUE"""),"Windows 10")</f>
        <v>Windows 10</v>
      </c>
      <c r="L492" s="2" t="str">
        <f ca="1">IFERROR(__xludf.DUMMYFUNCTION("""COMPUTED_VALUE"""),"1.4kg")</f>
        <v>1.4kg</v>
      </c>
      <c r="M492" s="2">
        <f ca="1">IFERROR(__xludf.DUMMYFUNCTION("""COMPUTED_VALUE"""),1150)</f>
        <v>1150</v>
      </c>
    </row>
    <row r="493" spans="1:13">
      <c r="A493" s="2">
        <f ca="1">IFERROR(__xludf.DUMMYFUNCTION("""COMPUTED_VALUE"""),1010)</f>
        <v>1010</v>
      </c>
      <c r="B493" s="2" t="str">
        <f ca="1">IFERROR(__xludf.DUMMYFUNCTION("""COMPUTED_VALUE"""),"HP")</f>
        <v>HP</v>
      </c>
      <c r="C493" s="2" t="str">
        <f ca="1">IFERROR(__xludf.DUMMYFUNCTION("""COMPUTED_VALUE"""),"Spectre 13-V111dx")</f>
        <v>Spectre 13-V111dx</v>
      </c>
      <c r="D493" s="2" t="str">
        <f ca="1">IFERROR(__xludf.DUMMYFUNCTION("""COMPUTED_VALUE"""),"Ultrabook")</f>
        <v>Ultrabook</v>
      </c>
      <c r="E493" s="2">
        <f ca="1">IFERROR(__xludf.DUMMYFUNCTION("""COMPUTED_VALUE"""),13.3)</f>
        <v>13.3</v>
      </c>
      <c r="F493" s="2" t="str">
        <f ca="1">IFERROR(__xludf.DUMMYFUNCTION("""COMPUTED_VALUE"""),"IPS Panel Full HD / Touchscreen 1920x1080")</f>
        <v>IPS Panel Full HD / Touchscreen 1920x1080</v>
      </c>
      <c r="G493" s="2" t="str">
        <f ca="1">IFERROR(__xludf.DUMMYFUNCTION("""COMPUTED_VALUE"""),"Intel Core i7 7500U 2.7GHz")</f>
        <v>Intel Core i7 7500U 2.7GHz</v>
      </c>
      <c r="H493" s="2" t="str">
        <f ca="1">IFERROR(__xludf.DUMMYFUNCTION("""COMPUTED_VALUE"""),"8GB")</f>
        <v>8GB</v>
      </c>
      <c r="I493" s="2" t="str">
        <f ca="1">IFERROR(__xludf.DUMMYFUNCTION("""COMPUTED_VALUE"""),"256GB SSD")</f>
        <v>256GB SSD</v>
      </c>
      <c r="J493" s="2" t="str">
        <f ca="1">IFERROR(__xludf.DUMMYFUNCTION("""COMPUTED_VALUE"""),"Intel HD Graphics 620")</f>
        <v>Intel HD Graphics 620</v>
      </c>
      <c r="K493" s="2" t="str">
        <f ca="1">IFERROR(__xludf.DUMMYFUNCTION("""COMPUTED_VALUE"""),"Windows 10")</f>
        <v>Windows 10</v>
      </c>
      <c r="L493" s="2" t="str">
        <f ca="1">IFERROR(__xludf.DUMMYFUNCTION("""COMPUTED_VALUE"""),"1.11kg")</f>
        <v>1.11kg</v>
      </c>
      <c r="M493" s="2">
        <f ca="1">IFERROR(__xludf.DUMMYFUNCTION("""COMPUTED_VALUE"""),1349)</f>
        <v>1349</v>
      </c>
    </row>
    <row r="494" spans="1:13">
      <c r="A494" s="2">
        <f ca="1">IFERROR(__xludf.DUMMYFUNCTION("""COMPUTED_VALUE"""),1013)</f>
        <v>1013</v>
      </c>
      <c r="B494" s="2" t="str">
        <f ca="1">IFERROR(__xludf.DUMMYFUNCTION("""COMPUTED_VALUE"""),"HP")</f>
        <v>HP</v>
      </c>
      <c r="C494" s="2" t="str">
        <f ca="1">IFERROR(__xludf.DUMMYFUNCTION("""COMPUTED_VALUE"""),"EliteBook 840")</f>
        <v>EliteBook 840</v>
      </c>
      <c r="D494" s="2" t="str">
        <f ca="1">IFERROR(__xludf.DUMMYFUNCTION("""COMPUTED_VALUE"""),"Ultrabook")</f>
        <v>Ultrabook</v>
      </c>
      <c r="E494" s="2">
        <f ca="1">IFERROR(__xludf.DUMMYFUNCTION("""COMPUTED_VALUE"""),14)</f>
        <v>14</v>
      </c>
      <c r="F494" s="2" t="str">
        <f ca="1">IFERROR(__xludf.DUMMYFUNCTION("""COMPUTED_VALUE"""),"Full HD 1920x1080")</f>
        <v>Full HD 1920x1080</v>
      </c>
      <c r="G494" s="2" t="str">
        <f ca="1">IFERROR(__xludf.DUMMYFUNCTION("""COMPUTED_VALUE"""),"Intel Core i7 7500U 2.7GHz")</f>
        <v>Intel Core i7 7500U 2.7GHz</v>
      </c>
      <c r="H494" s="2" t="str">
        <f ca="1">IFERROR(__xludf.DUMMYFUNCTION("""COMPUTED_VALUE"""),"8GB")</f>
        <v>8GB</v>
      </c>
      <c r="I494" s="2" t="str">
        <f ca="1">IFERROR(__xludf.DUMMYFUNCTION("""COMPUTED_VALUE"""),"512GB SSD")</f>
        <v>512GB SSD</v>
      </c>
      <c r="J494" s="2" t="str">
        <f ca="1">IFERROR(__xludf.DUMMYFUNCTION("""COMPUTED_VALUE"""),"Intel HD Graphics 620")</f>
        <v>Intel HD Graphics 620</v>
      </c>
      <c r="K494" s="2" t="str">
        <f ca="1">IFERROR(__xludf.DUMMYFUNCTION("""COMPUTED_VALUE"""),"Windows 10")</f>
        <v>Windows 10</v>
      </c>
      <c r="L494" s="2" t="str">
        <f ca="1">IFERROR(__xludf.DUMMYFUNCTION("""COMPUTED_VALUE"""),"1.48kg")</f>
        <v>1.48kg</v>
      </c>
      <c r="M494" s="2">
        <f ca="1">IFERROR(__xludf.DUMMYFUNCTION("""COMPUTED_VALUE"""),2089)</f>
        <v>2089</v>
      </c>
    </row>
    <row r="495" spans="1:13">
      <c r="A495" s="2">
        <f ca="1">IFERROR(__xludf.DUMMYFUNCTION("""COMPUTED_VALUE"""),1014)</f>
        <v>1014</v>
      </c>
      <c r="B495" s="2" t="str">
        <f ca="1">IFERROR(__xludf.DUMMYFUNCTION("""COMPUTED_VALUE"""),"Acer")</f>
        <v>Acer</v>
      </c>
      <c r="C495" s="2" t="str">
        <f ca="1">IFERROR(__xludf.DUMMYFUNCTION("""COMPUTED_VALUE"""),"Nitro 5")</f>
        <v>Nitro 5</v>
      </c>
      <c r="D495" s="2" t="str">
        <f ca="1">IFERROR(__xludf.DUMMYFUNCTION("""COMPUTED_VALUE"""),"Gaming")</f>
        <v>Gaming</v>
      </c>
      <c r="E495" s="2">
        <f ca="1">IFERROR(__xludf.DUMMYFUNCTION("""COMPUTED_VALUE"""),15.6)</f>
        <v>15.6</v>
      </c>
      <c r="F495" s="2" t="str">
        <f ca="1">IFERROR(__xludf.DUMMYFUNCTION("""COMPUTED_VALUE"""),"IPS Panel Full HD 1920x1080")</f>
        <v>IPS Panel Full HD 1920x1080</v>
      </c>
      <c r="G495" s="2" t="str">
        <f ca="1">IFERROR(__xludf.DUMMYFUNCTION("""COMPUTED_VALUE"""),"Intel Core i7 7700HQ 2.8GHz")</f>
        <v>Intel Core i7 7700HQ 2.8GHz</v>
      </c>
      <c r="H495" s="2" t="str">
        <f ca="1">IFERROR(__xludf.DUMMYFUNCTION("""COMPUTED_VALUE"""),"8GB")</f>
        <v>8GB</v>
      </c>
      <c r="I495" s="2" t="str">
        <f ca="1">IFERROR(__xludf.DUMMYFUNCTION("""COMPUTED_VALUE"""),"128GB SSD +  1TB HDD")</f>
        <v>128GB SSD +  1TB HDD</v>
      </c>
      <c r="J495" s="2" t="str">
        <f ca="1">IFERROR(__xludf.DUMMYFUNCTION("""COMPUTED_VALUE"""),"Nvidia GeForce GTX 1050")</f>
        <v>Nvidia GeForce GTX 1050</v>
      </c>
      <c r="K495" s="2" t="str">
        <f ca="1">IFERROR(__xludf.DUMMYFUNCTION("""COMPUTED_VALUE"""),"Windows 10")</f>
        <v>Windows 10</v>
      </c>
      <c r="L495" s="2" t="str">
        <f ca="1">IFERROR(__xludf.DUMMYFUNCTION("""COMPUTED_VALUE"""),"2.7kg")</f>
        <v>2.7kg</v>
      </c>
      <c r="M495" s="2">
        <f ca="1">IFERROR(__xludf.DUMMYFUNCTION("""COMPUTED_VALUE"""),1260)</f>
        <v>1260</v>
      </c>
    </row>
    <row r="496" spans="1:13">
      <c r="A496" s="2">
        <f ca="1">IFERROR(__xludf.DUMMYFUNCTION("""COMPUTED_VALUE"""),1015)</f>
        <v>1015</v>
      </c>
      <c r="B496" s="2" t="str">
        <f ca="1">IFERROR(__xludf.DUMMYFUNCTION("""COMPUTED_VALUE"""),"HP")</f>
        <v>HP</v>
      </c>
      <c r="C496" s="2" t="str">
        <f ca="1">IFERROR(__xludf.DUMMYFUNCTION("""COMPUTED_VALUE"""),"ENVY -")</f>
        <v>ENVY -</v>
      </c>
      <c r="D496" s="2" t="str">
        <f ca="1">IFERROR(__xludf.DUMMYFUNCTION("""COMPUTED_VALUE"""),"Notebook")</f>
        <v>Notebook</v>
      </c>
      <c r="E496" s="2">
        <f ca="1">IFERROR(__xludf.DUMMYFUNCTION("""COMPUTED_VALUE"""),13.3)</f>
        <v>13.3</v>
      </c>
      <c r="F496" s="2" t="str">
        <f ca="1">IFERROR(__xludf.DUMMYFUNCTION("""COMPUTED_VALUE"""),"IPS Panel Full HD 1920x1080")</f>
        <v>IPS Panel Full HD 1920x1080</v>
      </c>
      <c r="G496" s="2" t="str">
        <f ca="1">IFERROR(__xludf.DUMMYFUNCTION("""COMPUTED_VALUE"""),"Intel Core i5 7200U 2.5GHz")</f>
        <v>Intel Core i5 7200U 2.5GHz</v>
      </c>
      <c r="H496" s="2" t="str">
        <f ca="1">IFERROR(__xludf.DUMMYFUNCTION("""COMPUTED_VALUE"""),"8GB")</f>
        <v>8GB</v>
      </c>
      <c r="I496" s="2" t="str">
        <f ca="1">IFERROR(__xludf.DUMMYFUNCTION("""COMPUTED_VALUE"""),"256GB SSD")</f>
        <v>256GB SSD</v>
      </c>
      <c r="J496" s="2" t="str">
        <f ca="1">IFERROR(__xludf.DUMMYFUNCTION("""COMPUTED_VALUE"""),"Intel HD Graphics 620")</f>
        <v>Intel HD Graphics 620</v>
      </c>
      <c r="K496" s="2" t="str">
        <f ca="1">IFERROR(__xludf.DUMMYFUNCTION("""COMPUTED_VALUE"""),"Windows 10")</f>
        <v>Windows 10</v>
      </c>
      <c r="L496" s="2" t="str">
        <f ca="1">IFERROR(__xludf.DUMMYFUNCTION("""COMPUTED_VALUE"""),"1.34kg")</f>
        <v>1.34kg</v>
      </c>
      <c r="M496" s="2">
        <f ca="1">IFERROR(__xludf.DUMMYFUNCTION("""COMPUTED_VALUE"""),1189)</f>
        <v>1189</v>
      </c>
    </row>
    <row r="497" spans="1:13">
      <c r="A497" s="2">
        <f ca="1">IFERROR(__xludf.DUMMYFUNCTION("""COMPUTED_VALUE"""),1021)</f>
        <v>1021</v>
      </c>
      <c r="B497" s="2" t="str">
        <f ca="1">IFERROR(__xludf.DUMMYFUNCTION("""COMPUTED_VALUE"""),"HP")</f>
        <v>HP</v>
      </c>
      <c r="C497" s="2" t="str">
        <f ca="1">IFERROR(__xludf.DUMMYFUNCTION("""COMPUTED_VALUE"""),"EliteBook 1040")</f>
        <v>EliteBook 1040</v>
      </c>
      <c r="D497" s="2" t="str">
        <f ca="1">IFERROR(__xludf.DUMMYFUNCTION("""COMPUTED_VALUE"""),"Ultrabook")</f>
        <v>Ultrabook</v>
      </c>
      <c r="E497" s="2">
        <f ca="1">IFERROR(__xludf.DUMMYFUNCTION("""COMPUTED_VALUE"""),14)</f>
        <v>14</v>
      </c>
      <c r="F497" s="2" t="str">
        <f ca="1">IFERROR(__xludf.DUMMYFUNCTION("""COMPUTED_VALUE"""),"Full HD 1920x1080")</f>
        <v>Full HD 1920x1080</v>
      </c>
      <c r="G497" s="2" t="str">
        <f ca="1">IFERROR(__xludf.DUMMYFUNCTION("""COMPUTED_VALUE"""),"Intel Core i7 6600U 2.6GHz")</f>
        <v>Intel Core i7 6600U 2.6GHz</v>
      </c>
      <c r="H497" s="2" t="str">
        <f ca="1">IFERROR(__xludf.DUMMYFUNCTION("""COMPUTED_VALUE"""),"8GB")</f>
        <v>8GB</v>
      </c>
      <c r="I497" s="2" t="str">
        <f ca="1">IFERROR(__xludf.DUMMYFUNCTION("""COMPUTED_VALUE"""),"256GB SSD")</f>
        <v>256GB SSD</v>
      </c>
      <c r="J497" s="2" t="str">
        <f ca="1">IFERROR(__xludf.DUMMYFUNCTION("""COMPUTED_VALUE"""),"Intel HD Graphics 520")</f>
        <v>Intel HD Graphics 520</v>
      </c>
      <c r="K497" s="2" t="str">
        <f ca="1">IFERROR(__xludf.DUMMYFUNCTION("""COMPUTED_VALUE"""),"Windows 7")</f>
        <v>Windows 7</v>
      </c>
      <c r="L497" s="2" t="str">
        <f ca="1">IFERROR(__xludf.DUMMYFUNCTION("""COMPUTED_VALUE"""),"1.43kg")</f>
        <v>1.43kg</v>
      </c>
      <c r="M497" s="2">
        <f ca="1">IFERROR(__xludf.DUMMYFUNCTION("""COMPUTED_VALUE"""),1449)</f>
        <v>1449</v>
      </c>
    </row>
    <row r="498" spans="1:13">
      <c r="A498" s="2">
        <f ca="1">IFERROR(__xludf.DUMMYFUNCTION("""COMPUTED_VALUE"""),1022)</f>
        <v>1022</v>
      </c>
      <c r="B498" s="2" t="str">
        <f ca="1">IFERROR(__xludf.DUMMYFUNCTION("""COMPUTED_VALUE"""),"HP")</f>
        <v>HP</v>
      </c>
      <c r="C498" s="2" t="str">
        <f ca="1">IFERROR(__xludf.DUMMYFUNCTION("""COMPUTED_VALUE"""),"ProBook 440")</f>
        <v>ProBook 440</v>
      </c>
      <c r="D498" s="2" t="str">
        <f ca="1">IFERROR(__xludf.DUMMYFUNCTION("""COMPUTED_VALUE"""),"Notebook")</f>
        <v>Notebook</v>
      </c>
      <c r="E498" s="2">
        <f ca="1">IFERROR(__xludf.DUMMYFUNCTION("""COMPUTED_VALUE"""),14)</f>
        <v>14</v>
      </c>
      <c r="F498" s="2" t="str">
        <f ca="1">IFERROR(__xludf.DUMMYFUNCTION("""COMPUTED_VALUE"""),"Full HD 1920x1080")</f>
        <v>Full HD 1920x1080</v>
      </c>
      <c r="G498" s="2" t="str">
        <f ca="1">IFERROR(__xludf.DUMMYFUNCTION("""COMPUTED_VALUE"""),"Intel Core i5 7200U 2.5GHz")</f>
        <v>Intel Core i5 7200U 2.5GHz</v>
      </c>
      <c r="H498" s="2" t="str">
        <f ca="1">IFERROR(__xludf.DUMMYFUNCTION("""COMPUTED_VALUE"""),"8GB")</f>
        <v>8GB</v>
      </c>
      <c r="I498" s="2" t="str">
        <f ca="1">IFERROR(__xludf.DUMMYFUNCTION("""COMPUTED_VALUE"""),"256GB SSD")</f>
        <v>256GB SSD</v>
      </c>
      <c r="J498" s="2" t="str">
        <f ca="1">IFERROR(__xludf.DUMMYFUNCTION("""COMPUTED_VALUE"""),"Nvidia GeForce 930MX")</f>
        <v>Nvidia GeForce 930MX</v>
      </c>
      <c r="K498" s="2" t="str">
        <f ca="1">IFERROR(__xludf.DUMMYFUNCTION("""COMPUTED_VALUE"""),"Windows 10")</f>
        <v>Windows 10</v>
      </c>
      <c r="L498" s="2" t="str">
        <f ca="1">IFERROR(__xludf.DUMMYFUNCTION("""COMPUTED_VALUE"""),"1.64kg")</f>
        <v>1.64kg</v>
      </c>
      <c r="M498" s="2">
        <f ca="1">IFERROR(__xludf.DUMMYFUNCTION("""COMPUTED_VALUE"""),1049.26)</f>
        <v>1049.26</v>
      </c>
    </row>
    <row r="499" spans="1:13">
      <c r="A499" s="2">
        <f ca="1">IFERROR(__xludf.DUMMYFUNCTION("""COMPUTED_VALUE"""),1024)</f>
        <v>1024</v>
      </c>
      <c r="B499" s="2" t="str">
        <f ca="1">IFERROR(__xludf.DUMMYFUNCTION("""COMPUTED_VALUE"""),"Dell")</f>
        <v>Dell</v>
      </c>
      <c r="C499" s="2" t="str">
        <f ca="1">IFERROR(__xludf.DUMMYFUNCTION("""COMPUTED_VALUE"""),"Inspiron 7567")</f>
        <v>Inspiron 7567</v>
      </c>
      <c r="D499" s="2" t="str">
        <f ca="1">IFERROR(__xludf.DUMMYFUNCTION("""COMPUTED_VALUE"""),"Gaming")</f>
        <v>Gaming</v>
      </c>
      <c r="E499" s="2">
        <f ca="1">IFERROR(__xludf.DUMMYFUNCTION("""COMPUTED_VALUE"""),15.6)</f>
        <v>15.6</v>
      </c>
      <c r="F499" s="2" t="str">
        <f ca="1">IFERROR(__xludf.DUMMYFUNCTION("""COMPUTED_VALUE"""),"Full HD 1920x1080")</f>
        <v>Full HD 1920x1080</v>
      </c>
      <c r="G499" s="2" t="str">
        <f ca="1">IFERROR(__xludf.DUMMYFUNCTION("""COMPUTED_VALUE"""),"Intel Core i5 7300HQ 2.5GHz")</f>
        <v>Intel Core i5 7300HQ 2.5GHz</v>
      </c>
      <c r="H499" s="2" t="str">
        <f ca="1">IFERROR(__xludf.DUMMYFUNCTION("""COMPUTED_VALUE"""),"8GB")</f>
        <v>8GB</v>
      </c>
      <c r="I499" s="2" t="str">
        <f ca="1">IFERROR(__xludf.DUMMYFUNCTION("""COMPUTED_VALUE"""),"1.0TB Hybrid")</f>
        <v>1.0TB Hybrid</v>
      </c>
      <c r="J499" s="2" t="str">
        <f ca="1">IFERROR(__xludf.DUMMYFUNCTION("""COMPUTED_VALUE"""),"Nvidia GeForce GTX 1050")</f>
        <v>Nvidia GeForce GTX 1050</v>
      </c>
      <c r="K499" s="2" t="str">
        <f ca="1">IFERROR(__xludf.DUMMYFUNCTION("""COMPUTED_VALUE"""),"Windows 10")</f>
        <v>Windows 10</v>
      </c>
      <c r="L499" s="2" t="str">
        <f ca="1">IFERROR(__xludf.DUMMYFUNCTION("""COMPUTED_VALUE"""),"2.65kg")</f>
        <v>2.65kg</v>
      </c>
      <c r="M499" s="2">
        <f ca="1">IFERROR(__xludf.DUMMYFUNCTION("""COMPUTED_VALUE"""),949)</f>
        <v>949</v>
      </c>
    </row>
    <row r="500" spans="1:13">
      <c r="A500" s="2">
        <f ca="1">IFERROR(__xludf.DUMMYFUNCTION("""COMPUTED_VALUE"""),1027)</f>
        <v>1027</v>
      </c>
      <c r="B500" s="2" t="str">
        <f ca="1">IFERROR(__xludf.DUMMYFUNCTION("""COMPUTED_VALUE"""),"HP")</f>
        <v>HP</v>
      </c>
      <c r="C500" s="2" t="str">
        <f ca="1">IFERROR(__xludf.DUMMYFUNCTION("""COMPUTED_VALUE"""),"EliteBook 840")</f>
        <v>EliteBook 840</v>
      </c>
      <c r="D500" s="2" t="str">
        <f ca="1">IFERROR(__xludf.DUMMYFUNCTION("""COMPUTED_VALUE"""),"Ultrabook")</f>
        <v>Ultrabook</v>
      </c>
      <c r="E500" s="2">
        <f ca="1">IFERROR(__xludf.DUMMYFUNCTION("""COMPUTED_VALUE"""),14)</f>
        <v>14</v>
      </c>
      <c r="F500" s="2" t="str">
        <f ca="1">IFERROR(__xludf.DUMMYFUNCTION("""COMPUTED_VALUE"""),"Full HD 1920x1080")</f>
        <v>Full HD 1920x1080</v>
      </c>
      <c r="G500" s="2" t="str">
        <f ca="1">IFERROR(__xludf.DUMMYFUNCTION("""COMPUTED_VALUE"""),"Intel Core i7 6500U 2.5GHz")</f>
        <v>Intel Core i7 6500U 2.5GHz</v>
      </c>
      <c r="H500" s="2" t="str">
        <f ca="1">IFERROR(__xludf.DUMMYFUNCTION("""COMPUTED_VALUE"""),"8GB")</f>
        <v>8GB</v>
      </c>
      <c r="I500" s="2" t="str">
        <f ca="1">IFERROR(__xludf.DUMMYFUNCTION("""COMPUTED_VALUE"""),"256GB SSD")</f>
        <v>256GB SSD</v>
      </c>
      <c r="J500" s="2" t="str">
        <f ca="1">IFERROR(__xludf.DUMMYFUNCTION("""COMPUTED_VALUE"""),"Intel HD Graphics 520")</f>
        <v>Intel HD Graphics 520</v>
      </c>
      <c r="K500" s="2" t="str">
        <f ca="1">IFERROR(__xludf.DUMMYFUNCTION("""COMPUTED_VALUE"""),"Windows 10")</f>
        <v>Windows 10</v>
      </c>
      <c r="L500" s="2" t="str">
        <f ca="1">IFERROR(__xludf.DUMMYFUNCTION("""COMPUTED_VALUE"""),"1.54kg")</f>
        <v>1.54kg</v>
      </c>
      <c r="M500" s="2">
        <f ca="1">IFERROR(__xludf.DUMMYFUNCTION("""COMPUTED_VALUE"""),1887.21)</f>
        <v>1887.21</v>
      </c>
    </row>
    <row r="501" spans="1:13">
      <c r="A501" s="2">
        <f ca="1">IFERROR(__xludf.DUMMYFUNCTION("""COMPUTED_VALUE"""),1029)</f>
        <v>1029</v>
      </c>
      <c r="B501" s="2" t="str">
        <f ca="1">IFERROR(__xludf.DUMMYFUNCTION("""COMPUTED_VALUE"""),"Toshiba")</f>
        <v>Toshiba</v>
      </c>
      <c r="C501" s="2" t="str">
        <f ca="1">IFERROR(__xludf.DUMMYFUNCTION("""COMPUTED_VALUE"""),"Portege A30-C-1CZ")</f>
        <v>Portege A30-C-1CZ</v>
      </c>
      <c r="D501" s="2" t="str">
        <f ca="1">IFERROR(__xludf.DUMMYFUNCTION("""COMPUTED_VALUE"""),"Notebook")</f>
        <v>Notebook</v>
      </c>
      <c r="E501" s="2">
        <f ca="1">IFERROR(__xludf.DUMMYFUNCTION("""COMPUTED_VALUE"""),13.3)</f>
        <v>13.3</v>
      </c>
      <c r="F501" s="2" t="str">
        <f ca="1">IFERROR(__xludf.DUMMYFUNCTION("""COMPUTED_VALUE"""),"1366x768")</f>
        <v>1366x768</v>
      </c>
      <c r="G501" s="2" t="str">
        <f ca="1">IFERROR(__xludf.DUMMYFUNCTION("""COMPUTED_VALUE"""),"Intel Core i5 6200U 2.3GHz")</f>
        <v>Intel Core i5 6200U 2.3GHz</v>
      </c>
      <c r="H501" s="2" t="str">
        <f ca="1">IFERROR(__xludf.DUMMYFUNCTION("""COMPUTED_VALUE"""),"8GB")</f>
        <v>8GB</v>
      </c>
      <c r="I501" s="2" t="str">
        <f ca="1">IFERROR(__xludf.DUMMYFUNCTION("""COMPUTED_VALUE"""),"256GB SSD")</f>
        <v>256GB SSD</v>
      </c>
      <c r="J501" s="2" t="str">
        <f ca="1">IFERROR(__xludf.DUMMYFUNCTION("""COMPUTED_VALUE"""),"Intel HD Graphics 520")</f>
        <v>Intel HD Graphics 520</v>
      </c>
      <c r="K501" s="2" t="str">
        <f ca="1">IFERROR(__xludf.DUMMYFUNCTION("""COMPUTED_VALUE"""),"Windows 10")</f>
        <v>Windows 10</v>
      </c>
      <c r="L501" s="2" t="str">
        <f ca="1">IFERROR(__xludf.DUMMYFUNCTION("""COMPUTED_VALUE"""),"1.5kg")</f>
        <v>1.5kg</v>
      </c>
      <c r="M501" s="2">
        <f ca="1">IFERROR(__xludf.DUMMYFUNCTION("""COMPUTED_VALUE"""),1210)</f>
        <v>1210</v>
      </c>
    </row>
    <row r="502" spans="1:13">
      <c r="A502" s="2">
        <f ca="1">IFERROR(__xludf.DUMMYFUNCTION("""COMPUTED_VALUE"""),1032)</f>
        <v>1032</v>
      </c>
      <c r="B502" s="2" t="str">
        <f ca="1">IFERROR(__xludf.DUMMYFUNCTION("""COMPUTED_VALUE"""),"Toshiba")</f>
        <v>Toshiba</v>
      </c>
      <c r="C502" s="2" t="str">
        <f ca="1">IFERROR(__xludf.DUMMYFUNCTION("""COMPUTED_VALUE"""),"Tecra Z40-C-12Z")</f>
        <v>Tecra Z40-C-12Z</v>
      </c>
      <c r="D502" s="2" t="str">
        <f ca="1">IFERROR(__xludf.DUMMYFUNCTION("""COMPUTED_VALUE"""),"Notebook")</f>
        <v>Notebook</v>
      </c>
      <c r="E502" s="2">
        <f ca="1">IFERROR(__xludf.DUMMYFUNCTION("""COMPUTED_VALUE"""),14)</f>
        <v>14</v>
      </c>
      <c r="F502" s="2" t="str">
        <f ca="1">IFERROR(__xludf.DUMMYFUNCTION("""COMPUTED_VALUE"""),"IPS Panel Full HD 1920x1080")</f>
        <v>IPS Panel Full HD 1920x1080</v>
      </c>
      <c r="G502" s="2" t="str">
        <f ca="1">IFERROR(__xludf.DUMMYFUNCTION("""COMPUTED_VALUE"""),"Intel Core i5 6200U 2.3GHz")</f>
        <v>Intel Core i5 6200U 2.3GHz</v>
      </c>
      <c r="H502" s="2" t="str">
        <f ca="1">IFERROR(__xludf.DUMMYFUNCTION("""COMPUTED_VALUE"""),"8GB")</f>
        <v>8GB</v>
      </c>
      <c r="I502" s="2" t="str">
        <f ca="1">IFERROR(__xludf.DUMMYFUNCTION("""COMPUTED_VALUE"""),"256GB SSD")</f>
        <v>256GB SSD</v>
      </c>
      <c r="J502" s="2" t="str">
        <f ca="1">IFERROR(__xludf.DUMMYFUNCTION("""COMPUTED_VALUE"""),"Intel HD Graphics 520")</f>
        <v>Intel HD Graphics 520</v>
      </c>
      <c r="K502" s="2" t="str">
        <f ca="1">IFERROR(__xludf.DUMMYFUNCTION("""COMPUTED_VALUE"""),"Windows 10")</f>
        <v>Windows 10</v>
      </c>
      <c r="L502" s="2" t="str">
        <f ca="1">IFERROR(__xludf.DUMMYFUNCTION("""COMPUTED_VALUE"""),"1.47kg")</f>
        <v>1.47kg</v>
      </c>
      <c r="M502" s="2">
        <f ca="1">IFERROR(__xludf.DUMMYFUNCTION("""COMPUTED_VALUE"""),1490)</f>
        <v>1490</v>
      </c>
    </row>
    <row r="503" spans="1:13">
      <c r="A503" s="2">
        <f ca="1">IFERROR(__xludf.DUMMYFUNCTION("""COMPUTED_VALUE"""),1033)</f>
        <v>1033</v>
      </c>
      <c r="B503" s="2" t="str">
        <f ca="1">IFERROR(__xludf.DUMMYFUNCTION("""COMPUTED_VALUE"""),"HP")</f>
        <v>HP</v>
      </c>
      <c r="C503" s="2" t="str">
        <f ca="1">IFERROR(__xludf.DUMMYFUNCTION("""COMPUTED_VALUE"""),"EliteBook 1040")</f>
        <v>EliteBook 1040</v>
      </c>
      <c r="D503" s="2" t="str">
        <f ca="1">IFERROR(__xludf.DUMMYFUNCTION("""COMPUTED_VALUE"""),"Notebook")</f>
        <v>Notebook</v>
      </c>
      <c r="E503" s="2">
        <f ca="1">IFERROR(__xludf.DUMMYFUNCTION("""COMPUTED_VALUE"""),14)</f>
        <v>14</v>
      </c>
      <c r="F503" s="2" t="str">
        <f ca="1">IFERROR(__xludf.DUMMYFUNCTION("""COMPUTED_VALUE"""),"Full HD 1920x1080")</f>
        <v>Full HD 1920x1080</v>
      </c>
      <c r="G503" s="2" t="str">
        <f ca="1">IFERROR(__xludf.DUMMYFUNCTION("""COMPUTED_VALUE"""),"Intel Core i7 6500U 2.5GHz")</f>
        <v>Intel Core i7 6500U 2.5GHz</v>
      </c>
      <c r="H503" s="2" t="str">
        <f ca="1">IFERROR(__xludf.DUMMYFUNCTION("""COMPUTED_VALUE"""),"8GB")</f>
        <v>8GB</v>
      </c>
      <c r="I503" s="2" t="str">
        <f ca="1">IFERROR(__xludf.DUMMYFUNCTION("""COMPUTED_VALUE"""),"256GB SSD")</f>
        <v>256GB SSD</v>
      </c>
      <c r="J503" s="2" t="str">
        <f ca="1">IFERROR(__xludf.DUMMYFUNCTION("""COMPUTED_VALUE"""),"Intel HD Graphics 520")</f>
        <v>Intel HD Graphics 520</v>
      </c>
      <c r="K503" s="2" t="str">
        <f ca="1">IFERROR(__xludf.DUMMYFUNCTION("""COMPUTED_VALUE"""),"Windows 10")</f>
        <v>Windows 10</v>
      </c>
      <c r="L503" s="2" t="str">
        <f ca="1">IFERROR(__xludf.DUMMYFUNCTION("""COMPUTED_VALUE"""),"1.43kg")</f>
        <v>1.43kg</v>
      </c>
      <c r="M503" s="2">
        <f ca="1">IFERROR(__xludf.DUMMYFUNCTION("""COMPUTED_VALUE"""),2229)</f>
        <v>2229</v>
      </c>
    </row>
    <row r="504" spans="1:13">
      <c r="A504" s="2">
        <f ca="1">IFERROR(__xludf.DUMMYFUNCTION("""COMPUTED_VALUE"""),1035)</f>
        <v>1035</v>
      </c>
      <c r="B504" s="2" t="str">
        <f ca="1">IFERROR(__xludf.DUMMYFUNCTION("""COMPUTED_VALUE"""),"Toshiba")</f>
        <v>Toshiba</v>
      </c>
      <c r="C504" s="2" t="str">
        <f ca="1">IFERROR(__xludf.DUMMYFUNCTION("""COMPUTED_VALUE"""),"Portégé Z30-C-16K")</f>
        <v>Portégé Z30-C-16K</v>
      </c>
      <c r="D504" s="2" t="str">
        <f ca="1">IFERROR(__xludf.DUMMYFUNCTION("""COMPUTED_VALUE"""),"Ultrabook")</f>
        <v>Ultrabook</v>
      </c>
      <c r="E504" s="2">
        <f ca="1">IFERROR(__xludf.DUMMYFUNCTION("""COMPUTED_VALUE"""),13.3)</f>
        <v>13.3</v>
      </c>
      <c r="F504" s="2" t="str">
        <f ca="1">IFERROR(__xludf.DUMMYFUNCTION("""COMPUTED_VALUE"""),"Full HD 1920x1080")</f>
        <v>Full HD 1920x1080</v>
      </c>
      <c r="G504" s="2" t="str">
        <f ca="1">IFERROR(__xludf.DUMMYFUNCTION("""COMPUTED_VALUE"""),"Intel Core i5 6200U 2.3GHz")</f>
        <v>Intel Core i5 6200U 2.3GHz</v>
      </c>
      <c r="H504" s="2" t="str">
        <f ca="1">IFERROR(__xludf.DUMMYFUNCTION("""COMPUTED_VALUE"""),"8GB")</f>
        <v>8GB</v>
      </c>
      <c r="I504" s="2" t="str">
        <f ca="1">IFERROR(__xludf.DUMMYFUNCTION("""COMPUTED_VALUE"""),"256GB SSD")</f>
        <v>256GB SSD</v>
      </c>
      <c r="J504" s="2" t="str">
        <f ca="1">IFERROR(__xludf.DUMMYFUNCTION("""COMPUTED_VALUE"""),"Intel HD Graphics 520")</f>
        <v>Intel HD Graphics 520</v>
      </c>
      <c r="K504" s="2" t="str">
        <f ca="1">IFERROR(__xludf.DUMMYFUNCTION("""COMPUTED_VALUE"""),"Windows 10")</f>
        <v>Windows 10</v>
      </c>
      <c r="L504" s="2" t="str">
        <f ca="1">IFERROR(__xludf.DUMMYFUNCTION("""COMPUTED_VALUE"""),"1.2kg")</f>
        <v>1.2kg</v>
      </c>
      <c r="M504" s="2">
        <f ca="1">IFERROR(__xludf.DUMMYFUNCTION("""COMPUTED_VALUE"""),1590)</f>
        <v>1590</v>
      </c>
    </row>
    <row r="505" spans="1:13">
      <c r="A505" s="2">
        <f ca="1">IFERROR(__xludf.DUMMYFUNCTION("""COMPUTED_VALUE"""),1036)</f>
        <v>1036</v>
      </c>
      <c r="B505" s="2" t="str">
        <f ca="1">IFERROR(__xludf.DUMMYFUNCTION("""COMPUTED_VALUE"""),"HP")</f>
        <v>HP</v>
      </c>
      <c r="C505" s="2" t="str">
        <f ca="1">IFERROR(__xludf.DUMMYFUNCTION("""COMPUTED_VALUE"""),"Spectre 13-V100nv")</f>
        <v>Spectre 13-V100nv</v>
      </c>
      <c r="D505" s="2" t="str">
        <f ca="1">IFERROR(__xludf.DUMMYFUNCTION("""COMPUTED_VALUE"""),"Notebook")</f>
        <v>Notebook</v>
      </c>
      <c r="E505" s="2">
        <f ca="1">IFERROR(__xludf.DUMMYFUNCTION("""COMPUTED_VALUE"""),13.3)</f>
        <v>13.3</v>
      </c>
      <c r="F505" s="2" t="str">
        <f ca="1">IFERROR(__xludf.DUMMYFUNCTION("""COMPUTED_VALUE"""),"IPS Panel Full HD 1920x1080")</f>
        <v>IPS Panel Full HD 1920x1080</v>
      </c>
      <c r="G505" s="2" t="str">
        <f ca="1">IFERROR(__xludf.DUMMYFUNCTION("""COMPUTED_VALUE"""),"Intel Core i5 7200U 2.5GHz")</f>
        <v>Intel Core i5 7200U 2.5GHz</v>
      </c>
      <c r="H505" s="2" t="str">
        <f ca="1">IFERROR(__xludf.DUMMYFUNCTION("""COMPUTED_VALUE"""),"8GB")</f>
        <v>8GB</v>
      </c>
      <c r="I505" s="2" t="str">
        <f ca="1">IFERROR(__xludf.DUMMYFUNCTION("""COMPUTED_VALUE"""),"256GB SSD")</f>
        <v>256GB SSD</v>
      </c>
      <c r="J505" s="2" t="str">
        <f ca="1">IFERROR(__xludf.DUMMYFUNCTION("""COMPUTED_VALUE"""),"Intel HD Graphics 620")</f>
        <v>Intel HD Graphics 620</v>
      </c>
      <c r="K505" s="2" t="str">
        <f ca="1">IFERROR(__xludf.DUMMYFUNCTION("""COMPUTED_VALUE"""),"Windows 10")</f>
        <v>Windows 10</v>
      </c>
      <c r="L505" s="2" t="str">
        <f ca="1">IFERROR(__xludf.DUMMYFUNCTION("""COMPUTED_VALUE"""),"1.11kg")</f>
        <v>1.11kg</v>
      </c>
      <c r="M505" s="2">
        <f ca="1">IFERROR(__xludf.DUMMYFUNCTION("""COMPUTED_VALUE"""),1149)</f>
        <v>1149</v>
      </c>
    </row>
    <row r="506" spans="1:13">
      <c r="A506" s="2">
        <f ca="1">IFERROR(__xludf.DUMMYFUNCTION("""COMPUTED_VALUE"""),1037)</f>
        <v>1037</v>
      </c>
      <c r="B506" s="2" t="str">
        <f ca="1">IFERROR(__xludf.DUMMYFUNCTION("""COMPUTED_VALUE"""),"HP")</f>
        <v>HP</v>
      </c>
      <c r="C506" s="2" t="str">
        <f ca="1">IFERROR(__xludf.DUMMYFUNCTION("""COMPUTED_VALUE"""),"ProBook 440")</f>
        <v>ProBook 440</v>
      </c>
      <c r="D506" s="2" t="str">
        <f ca="1">IFERROR(__xludf.DUMMYFUNCTION("""COMPUTED_VALUE"""),"Notebook")</f>
        <v>Notebook</v>
      </c>
      <c r="E506" s="2">
        <f ca="1">IFERROR(__xludf.DUMMYFUNCTION("""COMPUTED_VALUE"""),14)</f>
        <v>14</v>
      </c>
      <c r="F506" s="2" t="str">
        <f ca="1">IFERROR(__xludf.DUMMYFUNCTION("""COMPUTED_VALUE"""),"Full HD 1920x1080")</f>
        <v>Full HD 1920x1080</v>
      </c>
      <c r="G506" s="2" t="str">
        <f ca="1">IFERROR(__xludf.DUMMYFUNCTION("""COMPUTED_VALUE"""),"Intel Core i7 7500U 2.7GHz")</f>
        <v>Intel Core i7 7500U 2.7GHz</v>
      </c>
      <c r="H506" s="2" t="str">
        <f ca="1">IFERROR(__xludf.DUMMYFUNCTION("""COMPUTED_VALUE"""),"8GB")</f>
        <v>8GB</v>
      </c>
      <c r="I506" s="2" t="str">
        <f ca="1">IFERROR(__xludf.DUMMYFUNCTION("""COMPUTED_VALUE"""),"256GB SSD")</f>
        <v>256GB SSD</v>
      </c>
      <c r="J506" s="2" t="str">
        <f ca="1">IFERROR(__xludf.DUMMYFUNCTION("""COMPUTED_VALUE"""),"Nvidia GeForce 930MX")</f>
        <v>Nvidia GeForce 930MX</v>
      </c>
      <c r="K506" s="2" t="str">
        <f ca="1">IFERROR(__xludf.DUMMYFUNCTION("""COMPUTED_VALUE"""),"Windows 10")</f>
        <v>Windows 10</v>
      </c>
      <c r="L506" s="2" t="str">
        <f ca="1">IFERROR(__xludf.DUMMYFUNCTION("""COMPUTED_VALUE"""),"1.64kg")</f>
        <v>1.64kg</v>
      </c>
      <c r="M506" s="2">
        <f ca="1">IFERROR(__xludf.DUMMYFUNCTION("""COMPUTED_VALUE"""),1185.43)</f>
        <v>1185.43</v>
      </c>
    </row>
    <row r="507" spans="1:13">
      <c r="A507" s="2">
        <f ca="1">IFERROR(__xludf.DUMMYFUNCTION("""COMPUTED_VALUE"""),1038)</f>
        <v>1038</v>
      </c>
      <c r="B507" s="2" t="str">
        <f ca="1">IFERROR(__xludf.DUMMYFUNCTION("""COMPUTED_VALUE"""),"Dell")</f>
        <v>Dell</v>
      </c>
      <c r="C507" s="2" t="str">
        <f ca="1">IFERROR(__xludf.DUMMYFUNCTION("""COMPUTED_VALUE"""),"Latitude E5570")</f>
        <v>Latitude E5570</v>
      </c>
      <c r="D507" s="2" t="str">
        <f ca="1">IFERROR(__xludf.DUMMYFUNCTION("""COMPUTED_VALUE"""),"Notebook")</f>
        <v>Notebook</v>
      </c>
      <c r="E507" s="2">
        <f ca="1">IFERROR(__xludf.DUMMYFUNCTION("""COMPUTED_VALUE"""),15.6)</f>
        <v>15.6</v>
      </c>
      <c r="F507" s="2" t="str">
        <f ca="1">IFERROR(__xludf.DUMMYFUNCTION("""COMPUTED_VALUE"""),"Full HD 1920x1080")</f>
        <v>Full HD 1920x1080</v>
      </c>
      <c r="G507" s="2" t="str">
        <f ca="1">IFERROR(__xludf.DUMMYFUNCTION("""COMPUTED_VALUE"""),"Intel Core i5 6300U 2.4GHz")</f>
        <v>Intel Core i5 6300U 2.4GHz</v>
      </c>
      <c r="H507" s="2" t="str">
        <f ca="1">IFERROR(__xludf.DUMMYFUNCTION("""COMPUTED_VALUE"""),"8GB")</f>
        <v>8GB</v>
      </c>
      <c r="I507" s="2" t="str">
        <f ca="1">IFERROR(__xludf.DUMMYFUNCTION("""COMPUTED_VALUE"""),"500GB HDD")</f>
        <v>500GB HDD</v>
      </c>
      <c r="J507" s="2" t="str">
        <f ca="1">IFERROR(__xludf.DUMMYFUNCTION("""COMPUTED_VALUE"""),"Intel HD Graphics 520")</f>
        <v>Intel HD Graphics 520</v>
      </c>
      <c r="K507" s="2" t="str">
        <f ca="1">IFERROR(__xludf.DUMMYFUNCTION("""COMPUTED_VALUE"""),"Windows 10")</f>
        <v>Windows 10</v>
      </c>
      <c r="L507" s="2" t="str">
        <f ca="1">IFERROR(__xludf.DUMMYFUNCTION("""COMPUTED_VALUE"""),"2.09kg")</f>
        <v>2.09kg</v>
      </c>
      <c r="M507" s="2">
        <f ca="1">IFERROR(__xludf.DUMMYFUNCTION("""COMPUTED_VALUE"""),1046.44)</f>
        <v>1046.44</v>
      </c>
    </row>
    <row r="508" spans="1:13">
      <c r="A508" s="2">
        <f ca="1">IFERROR(__xludf.DUMMYFUNCTION("""COMPUTED_VALUE"""),1042)</f>
        <v>1042</v>
      </c>
      <c r="B508" s="2" t="str">
        <f ca="1">IFERROR(__xludf.DUMMYFUNCTION("""COMPUTED_VALUE"""),"Dell")</f>
        <v>Dell</v>
      </c>
      <c r="C508" s="2" t="str">
        <f ca="1">IFERROR(__xludf.DUMMYFUNCTION("""COMPUTED_VALUE"""),"XPS 13")</f>
        <v>XPS 13</v>
      </c>
      <c r="D508" s="2" t="str">
        <f ca="1">IFERROR(__xludf.DUMMYFUNCTION("""COMPUTED_VALUE"""),"Ultrabook")</f>
        <v>Ultrabook</v>
      </c>
      <c r="E508" s="2">
        <f ca="1">IFERROR(__xludf.DUMMYFUNCTION("""COMPUTED_VALUE"""),13.3)</f>
        <v>13.3</v>
      </c>
      <c r="F508" s="2" t="str">
        <f ca="1">IFERROR(__xludf.DUMMYFUNCTION("""COMPUTED_VALUE"""),"Quad HD+ / Touchscreen 3200x1800")</f>
        <v>Quad HD+ / Touchscreen 3200x1800</v>
      </c>
      <c r="G508" s="2" t="str">
        <f ca="1">IFERROR(__xludf.DUMMYFUNCTION("""COMPUTED_VALUE"""),"Intel Core i5 7200U 2.5GHz")</f>
        <v>Intel Core i5 7200U 2.5GHz</v>
      </c>
      <c r="H508" s="2" t="str">
        <f ca="1">IFERROR(__xludf.DUMMYFUNCTION("""COMPUTED_VALUE"""),"8GB")</f>
        <v>8GB</v>
      </c>
      <c r="I508" s="2" t="str">
        <f ca="1">IFERROR(__xludf.DUMMYFUNCTION("""COMPUTED_VALUE"""),"256GB SSD")</f>
        <v>256GB SSD</v>
      </c>
      <c r="J508" s="2" t="str">
        <f ca="1">IFERROR(__xludf.DUMMYFUNCTION("""COMPUTED_VALUE"""),"Intel HD Graphics 620")</f>
        <v>Intel HD Graphics 620</v>
      </c>
      <c r="K508" s="2" t="str">
        <f ca="1">IFERROR(__xludf.DUMMYFUNCTION("""COMPUTED_VALUE"""),"Windows 10")</f>
        <v>Windows 10</v>
      </c>
      <c r="L508" s="2" t="str">
        <f ca="1">IFERROR(__xludf.DUMMYFUNCTION("""COMPUTED_VALUE"""),"1.29kg")</f>
        <v>1.29kg</v>
      </c>
      <c r="M508" s="2">
        <f ca="1">IFERROR(__xludf.DUMMYFUNCTION("""COMPUTED_VALUE"""),1624)</f>
        <v>1624</v>
      </c>
    </row>
    <row r="509" spans="1:13">
      <c r="A509" s="2">
        <f ca="1">IFERROR(__xludf.DUMMYFUNCTION("""COMPUTED_VALUE"""),1043)</f>
        <v>1043</v>
      </c>
      <c r="B509" s="2" t="str">
        <f ca="1">IFERROR(__xludf.DUMMYFUNCTION("""COMPUTED_VALUE"""),"HP")</f>
        <v>HP</v>
      </c>
      <c r="C509" s="2" t="str">
        <f ca="1">IFERROR(__xludf.DUMMYFUNCTION("""COMPUTED_VALUE"""),"Probook 470")</f>
        <v>Probook 470</v>
      </c>
      <c r="D509" s="2" t="str">
        <f ca="1">IFERROR(__xludf.DUMMYFUNCTION("""COMPUTED_VALUE"""),"Notebook")</f>
        <v>Notebook</v>
      </c>
      <c r="E509" s="2">
        <f ca="1">IFERROR(__xludf.DUMMYFUNCTION("""COMPUTED_VALUE"""),17.3)</f>
        <v>17.3</v>
      </c>
      <c r="F509" s="2" t="str">
        <f ca="1">IFERROR(__xludf.DUMMYFUNCTION("""COMPUTED_VALUE"""),"Full HD 1920x1080")</f>
        <v>Full HD 1920x1080</v>
      </c>
      <c r="G509" s="2" t="str">
        <f ca="1">IFERROR(__xludf.DUMMYFUNCTION("""COMPUTED_VALUE"""),"Intel Core i5 7200U 2.5GHz")</f>
        <v>Intel Core i5 7200U 2.5GHz</v>
      </c>
      <c r="H509" s="2" t="str">
        <f ca="1">IFERROR(__xludf.DUMMYFUNCTION("""COMPUTED_VALUE"""),"8GB")</f>
        <v>8GB</v>
      </c>
      <c r="I509" s="2" t="str">
        <f ca="1">IFERROR(__xludf.DUMMYFUNCTION("""COMPUTED_VALUE"""),"256GB SSD")</f>
        <v>256GB SSD</v>
      </c>
      <c r="J509" s="2" t="str">
        <f ca="1">IFERROR(__xludf.DUMMYFUNCTION("""COMPUTED_VALUE"""),"Nvidia GeForce 930MX")</f>
        <v>Nvidia GeForce 930MX</v>
      </c>
      <c r="K509" s="2" t="str">
        <f ca="1">IFERROR(__xludf.DUMMYFUNCTION("""COMPUTED_VALUE"""),"Windows 10")</f>
        <v>Windows 10</v>
      </c>
      <c r="L509" s="2" t="str">
        <f ca="1">IFERROR(__xludf.DUMMYFUNCTION("""COMPUTED_VALUE"""),"2.63kg")</f>
        <v>2.63kg</v>
      </c>
      <c r="M509" s="2">
        <f ca="1">IFERROR(__xludf.DUMMYFUNCTION("""COMPUTED_VALUE"""),1080)</f>
        <v>1080</v>
      </c>
    </row>
    <row r="510" spans="1:13">
      <c r="A510" s="2">
        <f ca="1">IFERROR(__xludf.DUMMYFUNCTION("""COMPUTED_VALUE"""),1046)</f>
        <v>1046</v>
      </c>
      <c r="B510" s="2" t="str">
        <f ca="1">IFERROR(__xludf.DUMMYFUNCTION("""COMPUTED_VALUE"""),"MSI")</f>
        <v>MSI</v>
      </c>
      <c r="C510" s="2" t="str">
        <f ca="1">IFERROR(__xludf.DUMMYFUNCTION("""COMPUTED_VALUE"""),"GL72M 7RDX")</f>
        <v>GL72M 7RDX</v>
      </c>
      <c r="D510" s="2" t="str">
        <f ca="1">IFERROR(__xludf.DUMMYFUNCTION("""COMPUTED_VALUE"""),"Gaming")</f>
        <v>Gaming</v>
      </c>
      <c r="E510" s="2">
        <f ca="1">IFERROR(__xludf.DUMMYFUNCTION("""COMPUTED_VALUE"""),17.3)</f>
        <v>17.3</v>
      </c>
      <c r="F510" s="2" t="str">
        <f ca="1">IFERROR(__xludf.DUMMYFUNCTION("""COMPUTED_VALUE"""),"Full HD 1920x1080")</f>
        <v>Full HD 1920x1080</v>
      </c>
      <c r="G510" s="2" t="str">
        <f ca="1">IFERROR(__xludf.DUMMYFUNCTION("""COMPUTED_VALUE"""),"Intel Core i7 7700HQ 2.8GHz")</f>
        <v>Intel Core i7 7700HQ 2.8GHz</v>
      </c>
      <c r="H510" s="2" t="str">
        <f ca="1">IFERROR(__xludf.DUMMYFUNCTION("""COMPUTED_VALUE"""),"8GB")</f>
        <v>8GB</v>
      </c>
      <c r="I510" s="2" t="str">
        <f ca="1">IFERROR(__xludf.DUMMYFUNCTION("""COMPUTED_VALUE"""),"128GB SSD +  1TB HDD")</f>
        <v>128GB SSD +  1TB HDD</v>
      </c>
      <c r="J510" s="2" t="str">
        <f ca="1">IFERROR(__xludf.DUMMYFUNCTION("""COMPUTED_VALUE"""),"Nvidia GeForce GTX 1050")</f>
        <v>Nvidia GeForce GTX 1050</v>
      </c>
      <c r="K510" s="2" t="str">
        <f ca="1">IFERROR(__xludf.DUMMYFUNCTION("""COMPUTED_VALUE"""),"Windows 10")</f>
        <v>Windows 10</v>
      </c>
      <c r="L510" s="2" t="str">
        <f ca="1">IFERROR(__xludf.DUMMYFUNCTION("""COMPUTED_VALUE"""),"2.7kg")</f>
        <v>2.7kg</v>
      </c>
      <c r="M510" s="2">
        <f ca="1">IFERROR(__xludf.DUMMYFUNCTION("""COMPUTED_VALUE"""),1191.8)</f>
        <v>1191.8</v>
      </c>
    </row>
    <row r="511" spans="1:13">
      <c r="A511" s="2">
        <f ca="1">IFERROR(__xludf.DUMMYFUNCTION("""COMPUTED_VALUE"""),1047)</f>
        <v>1047</v>
      </c>
      <c r="B511" s="2" t="str">
        <f ca="1">IFERROR(__xludf.DUMMYFUNCTION("""COMPUTED_VALUE"""),"HP")</f>
        <v>HP</v>
      </c>
      <c r="C511" s="2" t="str">
        <f ca="1">IFERROR(__xludf.DUMMYFUNCTION("""COMPUTED_VALUE"""),"Probook 640")</f>
        <v>Probook 640</v>
      </c>
      <c r="D511" s="2" t="str">
        <f ca="1">IFERROR(__xludf.DUMMYFUNCTION("""COMPUTED_VALUE"""),"Notebook")</f>
        <v>Notebook</v>
      </c>
      <c r="E511" s="2">
        <f ca="1">IFERROR(__xludf.DUMMYFUNCTION("""COMPUTED_VALUE"""),14)</f>
        <v>14</v>
      </c>
      <c r="F511" s="2" t="str">
        <f ca="1">IFERROR(__xludf.DUMMYFUNCTION("""COMPUTED_VALUE"""),"Full HD 1920x1080")</f>
        <v>Full HD 1920x1080</v>
      </c>
      <c r="G511" s="2" t="str">
        <f ca="1">IFERROR(__xludf.DUMMYFUNCTION("""COMPUTED_VALUE"""),"Intel Core i5 6200U 2.3GHz")</f>
        <v>Intel Core i5 6200U 2.3GHz</v>
      </c>
      <c r="H511" s="2" t="str">
        <f ca="1">IFERROR(__xludf.DUMMYFUNCTION("""COMPUTED_VALUE"""),"8GB")</f>
        <v>8GB</v>
      </c>
      <c r="I511" s="2" t="str">
        <f ca="1">IFERROR(__xludf.DUMMYFUNCTION("""COMPUTED_VALUE"""),"256GB SSD")</f>
        <v>256GB SSD</v>
      </c>
      <c r="J511" s="2" t="str">
        <f ca="1">IFERROR(__xludf.DUMMYFUNCTION("""COMPUTED_VALUE"""),"Intel HD Graphics 520")</f>
        <v>Intel HD Graphics 520</v>
      </c>
      <c r="K511" s="2" t="str">
        <f ca="1">IFERROR(__xludf.DUMMYFUNCTION("""COMPUTED_VALUE"""),"Windows 7")</f>
        <v>Windows 7</v>
      </c>
      <c r="L511" s="2" t="str">
        <f ca="1">IFERROR(__xludf.DUMMYFUNCTION("""COMPUTED_VALUE"""),"1.95kg")</f>
        <v>1.95kg</v>
      </c>
      <c r="M511" s="2">
        <f ca="1">IFERROR(__xludf.DUMMYFUNCTION("""COMPUTED_VALUE"""),1195)</f>
        <v>1195</v>
      </c>
    </row>
    <row r="512" spans="1:13">
      <c r="A512" s="2">
        <f ca="1">IFERROR(__xludf.DUMMYFUNCTION("""COMPUTED_VALUE"""),1048)</f>
        <v>1048</v>
      </c>
      <c r="B512" s="2" t="str">
        <f ca="1">IFERROR(__xludf.DUMMYFUNCTION("""COMPUTED_VALUE"""),"HP")</f>
        <v>HP</v>
      </c>
      <c r="C512" s="2" t="str">
        <f ca="1">IFERROR(__xludf.DUMMYFUNCTION("""COMPUTED_VALUE"""),"EliteBook 850")</f>
        <v>EliteBook 850</v>
      </c>
      <c r="D512" s="2" t="str">
        <f ca="1">IFERROR(__xludf.DUMMYFUNCTION("""COMPUTED_VALUE"""),"Notebook")</f>
        <v>Notebook</v>
      </c>
      <c r="E512" s="2">
        <f ca="1">IFERROR(__xludf.DUMMYFUNCTION("""COMPUTED_VALUE"""),15.6)</f>
        <v>15.6</v>
      </c>
      <c r="F512" s="2" t="str">
        <f ca="1">IFERROR(__xludf.DUMMYFUNCTION("""COMPUTED_VALUE"""),"Full HD 1920x1080")</f>
        <v>Full HD 1920x1080</v>
      </c>
      <c r="G512" s="2" t="str">
        <f ca="1">IFERROR(__xludf.DUMMYFUNCTION("""COMPUTED_VALUE"""),"Intel Core i7 6500U 2.5GHz")</f>
        <v>Intel Core i7 6500U 2.5GHz</v>
      </c>
      <c r="H512" s="2" t="str">
        <f ca="1">IFERROR(__xludf.DUMMYFUNCTION("""COMPUTED_VALUE"""),"8GB")</f>
        <v>8GB</v>
      </c>
      <c r="I512" s="2" t="str">
        <f ca="1">IFERROR(__xludf.DUMMYFUNCTION("""COMPUTED_VALUE"""),"256GB SSD")</f>
        <v>256GB SSD</v>
      </c>
      <c r="J512" s="2" t="str">
        <f ca="1">IFERROR(__xludf.DUMMYFUNCTION("""COMPUTED_VALUE"""),"Intel HD Graphics 520")</f>
        <v>Intel HD Graphics 520</v>
      </c>
      <c r="K512" s="2" t="str">
        <f ca="1">IFERROR(__xludf.DUMMYFUNCTION("""COMPUTED_VALUE"""),"Windows 10")</f>
        <v>Windows 10</v>
      </c>
      <c r="L512" s="2" t="str">
        <f ca="1">IFERROR(__xludf.DUMMYFUNCTION("""COMPUTED_VALUE"""),"1.84kg")</f>
        <v>1.84kg</v>
      </c>
      <c r="M512" s="2">
        <f ca="1">IFERROR(__xludf.DUMMYFUNCTION("""COMPUTED_VALUE"""),1228.99)</f>
        <v>1228.99</v>
      </c>
    </row>
    <row r="513" spans="1:13">
      <c r="A513" s="2">
        <f ca="1">IFERROR(__xludf.DUMMYFUNCTION("""COMPUTED_VALUE"""),1049)</f>
        <v>1049</v>
      </c>
      <c r="B513" s="2" t="str">
        <f ca="1">IFERROR(__xludf.DUMMYFUNCTION("""COMPUTED_VALUE"""),"HP")</f>
        <v>HP</v>
      </c>
      <c r="C513" s="2" t="str">
        <f ca="1">IFERROR(__xludf.DUMMYFUNCTION("""COMPUTED_VALUE"""),"EliteBook 820")</f>
        <v>EliteBook 820</v>
      </c>
      <c r="D513" s="2" t="str">
        <f ca="1">IFERROR(__xludf.DUMMYFUNCTION("""COMPUTED_VALUE"""),"Ultrabook")</f>
        <v>Ultrabook</v>
      </c>
      <c r="E513" s="2">
        <f ca="1">IFERROR(__xludf.DUMMYFUNCTION("""COMPUTED_VALUE"""),12.5)</f>
        <v>12.5</v>
      </c>
      <c r="F513" s="2" t="str">
        <f ca="1">IFERROR(__xludf.DUMMYFUNCTION("""COMPUTED_VALUE"""),"Full HD 1920x1080")</f>
        <v>Full HD 1920x1080</v>
      </c>
      <c r="G513" s="2" t="str">
        <f ca="1">IFERROR(__xludf.DUMMYFUNCTION("""COMPUTED_VALUE"""),"Intel Core i7 6500U 2.5GHz")</f>
        <v>Intel Core i7 6500U 2.5GHz</v>
      </c>
      <c r="H513" s="2" t="str">
        <f ca="1">IFERROR(__xludf.DUMMYFUNCTION("""COMPUTED_VALUE"""),"8GB")</f>
        <v>8GB</v>
      </c>
      <c r="I513" s="2" t="str">
        <f ca="1">IFERROR(__xludf.DUMMYFUNCTION("""COMPUTED_VALUE"""),"256GB SSD")</f>
        <v>256GB SSD</v>
      </c>
      <c r="J513" s="2" t="str">
        <f ca="1">IFERROR(__xludf.DUMMYFUNCTION("""COMPUTED_VALUE"""),"Intel HD Graphics 520")</f>
        <v>Intel HD Graphics 520</v>
      </c>
      <c r="K513" s="2" t="str">
        <f ca="1">IFERROR(__xludf.DUMMYFUNCTION("""COMPUTED_VALUE"""),"Windows 10")</f>
        <v>Windows 10</v>
      </c>
      <c r="L513" s="2" t="str">
        <f ca="1">IFERROR(__xludf.DUMMYFUNCTION("""COMPUTED_VALUE"""),"1.26kg")</f>
        <v>1.26kg</v>
      </c>
      <c r="M513" s="2">
        <f ca="1">IFERROR(__xludf.DUMMYFUNCTION("""COMPUTED_VALUE"""),1349)</f>
        <v>1349</v>
      </c>
    </row>
    <row r="514" spans="1:13">
      <c r="A514" s="2">
        <f ca="1">IFERROR(__xludf.DUMMYFUNCTION("""COMPUTED_VALUE"""),1051)</f>
        <v>1051</v>
      </c>
      <c r="B514" s="2" t="str">
        <f ca="1">IFERROR(__xludf.DUMMYFUNCTION("""COMPUTED_VALUE"""),"Toshiba")</f>
        <v>Toshiba</v>
      </c>
      <c r="C514" s="2" t="str">
        <f ca="1">IFERROR(__xludf.DUMMYFUNCTION("""COMPUTED_VALUE"""),"Tecra Z40-C-136")</f>
        <v>Tecra Z40-C-136</v>
      </c>
      <c r="D514" s="2" t="str">
        <f ca="1">IFERROR(__xludf.DUMMYFUNCTION("""COMPUTED_VALUE"""),"Ultrabook")</f>
        <v>Ultrabook</v>
      </c>
      <c r="E514" s="2">
        <f ca="1">IFERROR(__xludf.DUMMYFUNCTION("""COMPUTED_VALUE"""),14)</f>
        <v>14</v>
      </c>
      <c r="F514" s="2" t="str">
        <f ca="1">IFERROR(__xludf.DUMMYFUNCTION("""COMPUTED_VALUE"""),"IPS Panel Full HD 1920x1080")</f>
        <v>IPS Panel Full HD 1920x1080</v>
      </c>
      <c r="G514" s="2" t="str">
        <f ca="1">IFERROR(__xludf.DUMMYFUNCTION("""COMPUTED_VALUE"""),"Intel Core i7 6600U 2.6GHz")</f>
        <v>Intel Core i7 6600U 2.6GHz</v>
      </c>
      <c r="H514" s="2" t="str">
        <f ca="1">IFERROR(__xludf.DUMMYFUNCTION("""COMPUTED_VALUE"""),"8GB")</f>
        <v>8GB</v>
      </c>
      <c r="I514" s="2" t="str">
        <f ca="1">IFERROR(__xludf.DUMMYFUNCTION("""COMPUTED_VALUE"""),"256GB SSD")</f>
        <v>256GB SSD</v>
      </c>
      <c r="J514" s="2" t="str">
        <f ca="1">IFERROR(__xludf.DUMMYFUNCTION("""COMPUTED_VALUE"""),"Intel HD Graphics 520")</f>
        <v>Intel HD Graphics 520</v>
      </c>
      <c r="K514" s="2" t="str">
        <f ca="1">IFERROR(__xludf.DUMMYFUNCTION("""COMPUTED_VALUE"""),"Windows 10")</f>
        <v>Windows 10</v>
      </c>
      <c r="L514" s="2" t="str">
        <f ca="1">IFERROR(__xludf.DUMMYFUNCTION("""COMPUTED_VALUE"""),"1.47kg")</f>
        <v>1.47kg</v>
      </c>
      <c r="M514" s="2">
        <f ca="1">IFERROR(__xludf.DUMMYFUNCTION("""COMPUTED_VALUE"""),1725)</f>
        <v>1725</v>
      </c>
    </row>
    <row r="515" spans="1:13">
      <c r="A515" s="2">
        <f ca="1">IFERROR(__xludf.DUMMYFUNCTION("""COMPUTED_VALUE"""),1052)</f>
        <v>1052</v>
      </c>
      <c r="B515" s="2" t="str">
        <f ca="1">IFERROR(__xludf.DUMMYFUNCTION("""COMPUTED_VALUE"""),"Dell")</f>
        <v>Dell</v>
      </c>
      <c r="C515" s="2" t="str">
        <f ca="1">IFERROR(__xludf.DUMMYFUNCTION("""COMPUTED_VALUE"""),"Latitude E5570")</f>
        <v>Latitude E5570</v>
      </c>
      <c r="D515" s="2" t="str">
        <f ca="1">IFERROR(__xludf.DUMMYFUNCTION("""COMPUTED_VALUE"""),"Notebook")</f>
        <v>Notebook</v>
      </c>
      <c r="E515" s="2">
        <f ca="1">IFERROR(__xludf.DUMMYFUNCTION("""COMPUTED_VALUE"""),15.6)</f>
        <v>15.6</v>
      </c>
      <c r="F515" s="2" t="str">
        <f ca="1">IFERROR(__xludf.DUMMYFUNCTION("""COMPUTED_VALUE"""),"Full HD 1920x1080")</f>
        <v>Full HD 1920x1080</v>
      </c>
      <c r="G515" s="2" t="str">
        <f ca="1">IFERROR(__xludf.DUMMYFUNCTION("""COMPUTED_VALUE"""),"Intel Core i5 6300U 2.4GHz")</f>
        <v>Intel Core i5 6300U 2.4GHz</v>
      </c>
      <c r="H515" s="2" t="str">
        <f ca="1">IFERROR(__xludf.DUMMYFUNCTION("""COMPUTED_VALUE"""),"8GB")</f>
        <v>8GB</v>
      </c>
      <c r="I515" s="2" t="str">
        <f ca="1">IFERROR(__xludf.DUMMYFUNCTION("""COMPUTED_VALUE"""),"256GB SSD")</f>
        <v>256GB SSD</v>
      </c>
      <c r="J515" s="2" t="str">
        <f ca="1">IFERROR(__xludf.DUMMYFUNCTION("""COMPUTED_VALUE"""),"Intel HD Graphics 520")</f>
        <v>Intel HD Graphics 520</v>
      </c>
      <c r="K515" s="2" t="str">
        <f ca="1">IFERROR(__xludf.DUMMYFUNCTION("""COMPUTED_VALUE"""),"Windows 7")</f>
        <v>Windows 7</v>
      </c>
      <c r="L515" s="2" t="str">
        <f ca="1">IFERROR(__xludf.DUMMYFUNCTION("""COMPUTED_VALUE"""),"2.09kg")</f>
        <v>2.09kg</v>
      </c>
      <c r="M515" s="2">
        <f ca="1">IFERROR(__xludf.DUMMYFUNCTION("""COMPUTED_VALUE"""),1062.95)</f>
        <v>1062.95</v>
      </c>
    </row>
    <row r="516" spans="1:13">
      <c r="A516" s="2">
        <f ca="1">IFERROR(__xludf.DUMMYFUNCTION("""COMPUTED_VALUE"""),1053)</f>
        <v>1053</v>
      </c>
      <c r="B516" s="2" t="str">
        <f ca="1">IFERROR(__xludf.DUMMYFUNCTION("""COMPUTED_VALUE"""),"HP")</f>
        <v>HP</v>
      </c>
      <c r="C516" s="2" t="str">
        <f ca="1">IFERROR(__xludf.DUMMYFUNCTION("""COMPUTED_VALUE"""),"ProBook 440")</f>
        <v>ProBook 440</v>
      </c>
      <c r="D516" s="2" t="str">
        <f ca="1">IFERROR(__xludf.DUMMYFUNCTION("""COMPUTED_VALUE"""),"Notebook")</f>
        <v>Notebook</v>
      </c>
      <c r="E516" s="2">
        <f ca="1">IFERROR(__xludf.DUMMYFUNCTION("""COMPUTED_VALUE"""),14)</f>
        <v>14</v>
      </c>
      <c r="F516" s="2" t="str">
        <f ca="1">IFERROR(__xludf.DUMMYFUNCTION("""COMPUTED_VALUE"""),"Full HD 1920x1080")</f>
        <v>Full HD 1920x1080</v>
      </c>
      <c r="G516" s="2" t="str">
        <f ca="1">IFERROR(__xludf.DUMMYFUNCTION("""COMPUTED_VALUE"""),"Intel Core i5 7200U 2.5GHz")</f>
        <v>Intel Core i5 7200U 2.5GHz</v>
      </c>
      <c r="H516" s="2" t="str">
        <f ca="1">IFERROR(__xludf.DUMMYFUNCTION("""COMPUTED_VALUE"""),"8GB")</f>
        <v>8GB</v>
      </c>
      <c r="I516" s="2" t="str">
        <f ca="1">IFERROR(__xludf.DUMMYFUNCTION("""COMPUTED_VALUE"""),"256GB SSD")</f>
        <v>256GB SSD</v>
      </c>
      <c r="J516" s="2" t="str">
        <f ca="1">IFERROR(__xludf.DUMMYFUNCTION("""COMPUTED_VALUE"""),"Intel HD Graphics 620")</f>
        <v>Intel HD Graphics 620</v>
      </c>
      <c r="K516" s="2" t="str">
        <f ca="1">IFERROR(__xludf.DUMMYFUNCTION("""COMPUTED_VALUE"""),"Windows 10")</f>
        <v>Windows 10</v>
      </c>
      <c r="L516" s="2" t="str">
        <f ca="1">IFERROR(__xludf.DUMMYFUNCTION("""COMPUTED_VALUE"""),"1.64kg")</f>
        <v>1.64kg</v>
      </c>
      <c r="M516" s="2">
        <f ca="1">IFERROR(__xludf.DUMMYFUNCTION("""COMPUTED_VALUE"""),1010.51)</f>
        <v>1010.51</v>
      </c>
    </row>
    <row r="517" spans="1:13">
      <c r="A517" s="2">
        <f ca="1">IFERROR(__xludf.DUMMYFUNCTION("""COMPUTED_VALUE"""),1057)</f>
        <v>1057</v>
      </c>
      <c r="B517" s="2" t="str">
        <f ca="1">IFERROR(__xludf.DUMMYFUNCTION("""COMPUTED_VALUE"""),"Lenovo")</f>
        <v>Lenovo</v>
      </c>
      <c r="C517" s="2" t="str">
        <f ca="1">IFERROR(__xludf.DUMMYFUNCTION("""COMPUTED_VALUE"""),"Thinkpad L560")</f>
        <v>Thinkpad L560</v>
      </c>
      <c r="D517" s="2" t="str">
        <f ca="1">IFERROR(__xludf.DUMMYFUNCTION("""COMPUTED_VALUE"""),"Notebook")</f>
        <v>Notebook</v>
      </c>
      <c r="E517" s="2">
        <f ca="1">IFERROR(__xludf.DUMMYFUNCTION("""COMPUTED_VALUE"""),15.6)</f>
        <v>15.6</v>
      </c>
      <c r="F517" s="2" t="str">
        <f ca="1">IFERROR(__xludf.DUMMYFUNCTION("""COMPUTED_VALUE"""),"Full HD 1920x1080")</f>
        <v>Full HD 1920x1080</v>
      </c>
      <c r="G517" s="2" t="str">
        <f ca="1">IFERROR(__xludf.DUMMYFUNCTION("""COMPUTED_VALUE"""),"Intel Core i5 6200U 2.3GHz")</f>
        <v>Intel Core i5 6200U 2.3GHz</v>
      </c>
      <c r="H517" s="2" t="str">
        <f ca="1">IFERROR(__xludf.DUMMYFUNCTION("""COMPUTED_VALUE"""),"8GB")</f>
        <v>8GB</v>
      </c>
      <c r="I517" s="2" t="str">
        <f ca="1">IFERROR(__xludf.DUMMYFUNCTION("""COMPUTED_VALUE"""),"256GB SSD")</f>
        <v>256GB SSD</v>
      </c>
      <c r="J517" s="2" t="str">
        <f ca="1">IFERROR(__xludf.DUMMYFUNCTION("""COMPUTED_VALUE"""),"Intel HD Graphics 520")</f>
        <v>Intel HD Graphics 520</v>
      </c>
      <c r="K517" s="2" t="str">
        <f ca="1">IFERROR(__xludf.DUMMYFUNCTION("""COMPUTED_VALUE"""),"Windows 10")</f>
        <v>Windows 10</v>
      </c>
      <c r="L517" s="2" t="str">
        <f ca="1">IFERROR(__xludf.DUMMYFUNCTION("""COMPUTED_VALUE"""),"2.3kg")</f>
        <v>2.3kg</v>
      </c>
      <c r="M517" s="2">
        <f ca="1">IFERROR(__xludf.DUMMYFUNCTION("""COMPUTED_VALUE"""),1049.6)</f>
        <v>1049.5999999999999</v>
      </c>
    </row>
    <row r="518" spans="1:13">
      <c r="A518" s="2">
        <f ca="1">IFERROR(__xludf.DUMMYFUNCTION("""COMPUTED_VALUE"""),1059)</f>
        <v>1059</v>
      </c>
      <c r="B518" s="2" t="str">
        <f ca="1">IFERROR(__xludf.DUMMYFUNCTION("""COMPUTED_VALUE"""),"HP")</f>
        <v>HP</v>
      </c>
      <c r="C518" s="2" t="str">
        <f ca="1">IFERROR(__xludf.DUMMYFUNCTION("""COMPUTED_VALUE"""),"EliteBook 850")</f>
        <v>EliteBook 850</v>
      </c>
      <c r="D518" s="2" t="str">
        <f ca="1">IFERROR(__xludf.DUMMYFUNCTION("""COMPUTED_VALUE"""),"Notebook")</f>
        <v>Notebook</v>
      </c>
      <c r="E518" s="2">
        <f ca="1">IFERROR(__xludf.DUMMYFUNCTION("""COMPUTED_VALUE"""),15.6)</f>
        <v>15.6</v>
      </c>
      <c r="F518" s="2" t="str">
        <f ca="1">IFERROR(__xludf.DUMMYFUNCTION("""COMPUTED_VALUE"""),"Full HD 1920x1080")</f>
        <v>Full HD 1920x1080</v>
      </c>
      <c r="G518" s="2" t="str">
        <f ca="1">IFERROR(__xludf.DUMMYFUNCTION("""COMPUTED_VALUE"""),"Intel Core i5 6300U 2.4GHz")</f>
        <v>Intel Core i5 6300U 2.4GHz</v>
      </c>
      <c r="H518" s="2" t="str">
        <f ca="1">IFERROR(__xludf.DUMMYFUNCTION("""COMPUTED_VALUE"""),"8GB")</f>
        <v>8GB</v>
      </c>
      <c r="I518" s="2" t="str">
        <f ca="1">IFERROR(__xludf.DUMMYFUNCTION("""COMPUTED_VALUE"""),"256GB SSD +  500GB HDD")</f>
        <v>256GB SSD +  500GB HDD</v>
      </c>
      <c r="J518" s="2" t="str">
        <f ca="1">IFERROR(__xludf.DUMMYFUNCTION("""COMPUTED_VALUE"""),"Intel HD Graphics 520")</f>
        <v>Intel HD Graphics 520</v>
      </c>
      <c r="K518" s="2" t="str">
        <f ca="1">IFERROR(__xludf.DUMMYFUNCTION("""COMPUTED_VALUE"""),"Windows 10")</f>
        <v>Windows 10</v>
      </c>
      <c r="L518" s="2" t="str">
        <f ca="1">IFERROR(__xludf.DUMMYFUNCTION("""COMPUTED_VALUE"""),"1.84kg")</f>
        <v>1.84kg</v>
      </c>
      <c r="M518" s="2">
        <f ca="1">IFERROR(__xludf.DUMMYFUNCTION("""COMPUTED_VALUE"""),2103.34)</f>
        <v>2103.34</v>
      </c>
    </row>
    <row r="519" spans="1:13">
      <c r="A519" s="2">
        <f ca="1">IFERROR(__xludf.DUMMYFUNCTION("""COMPUTED_VALUE"""),1060)</f>
        <v>1060</v>
      </c>
      <c r="B519" s="2" t="str">
        <f ca="1">IFERROR(__xludf.DUMMYFUNCTION("""COMPUTED_VALUE"""),"HP")</f>
        <v>HP</v>
      </c>
      <c r="C519" s="2" t="str">
        <f ca="1">IFERROR(__xludf.DUMMYFUNCTION("""COMPUTED_VALUE"""),"EliteBook 1040")</f>
        <v>EliteBook 1040</v>
      </c>
      <c r="D519" s="2" t="str">
        <f ca="1">IFERROR(__xludf.DUMMYFUNCTION("""COMPUTED_VALUE"""),"Notebook")</f>
        <v>Notebook</v>
      </c>
      <c r="E519" s="2">
        <f ca="1">IFERROR(__xludf.DUMMYFUNCTION("""COMPUTED_VALUE"""),14)</f>
        <v>14</v>
      </c>
      <c r="F519" s="2" t="str">
        <f ca="1">IFERROR(__xludf.DUMMYFUNCTION("""COMPUTED_VALUE"""),"Full HD 1920x1080")</f>
        <v>Full HD 1920x1080</v>
      </c>
      <c r="G519" s="2" t="str">
        <f ca="1">IFERROR(__xludf.DUMMYFUNCTION("""COMPUTED_VALUE"""),"Intel Core i5 6200U 2.3GHz")</f>
        <v>Intel Core i5 6200U 2.3GHz</v>
      </c>
      <c r="H519" s="2" t="str">
        <f ca="1">IFERROR(__xludf.DUMMYFUNCTION("""COMPUTED_VALUE"""),"8GB")</f>
        <v>8GB</v>
      </c>
      <c r="I519" s="2" t="str">
        <f ca="1">IFERROR(__xludf.DUMMYFUNCTION("""COMPUTED_VALUE"""),"256GB SSD")</f>
        <v>256GB SSD</v>
      </c>
      <c r="J519" s="2" t="str">
        <f ca="1">IFERROR(__xludf.DUMMYFUNCTION("""COMPUTED_VALUE"""),"Intel HD Graphics 520")</f>
        <v>Intel HD Graphics 520</v>
      </c>
      <c r="K519" s="2" t="str">
        <f ca="1">IFERROR(__xludf.DUMMYFUNCTION("""COMPUTED_VALUE"""),"Windows 7")</f>
        <v>Windows 7</v>
      </c>
      <c r="L519" s="2" t="str">
        <f ca="1">IFERROR(__xludf.DUMMYFUNCTION("""COMPUTED_VALUE"""),"1.43kg")</f>
        <v>1.43kg</v>
      </c>
      <c r="M519" s="2">
        <f ca="1">IFERROR(__xludf.DUMMYFUNCTION("""COMPUTED_VALUE"""),1469)</f>
        <v>1469</v>
      </c>
    </row>
    <row r="520" spans="1:13">
      <c r="A520" s="2">
        <f ca="1">IFERROR(__xludf.DUMMYFUNCTION("""COMPUTED_VALUE"""),1065)</f>
        <v>1065</v>
      </c>
      <c r="B520" s="2" t="str">
        <f ca="1">IFERROR(__xludf.DUMMYFUNCTION("""COMPUTED_VALUE"""),"HP")</f>
        <v>HP</v>
      </c>
      <c r="C520" s="2" t="str">
        <f ca="1">IFERROR(__xludf.DUMMYFUNCTION("""COMPUTED_VALUE"""),"Noteb Pav")</f>
        <v>Noteb Pav</v>
      </c>
      <c r="D520" s="2" t="str">
        <f ca="1">IFERROR(__xludf.DUMMYFUNCTION("""COMPUTED_VALUE"""),"Notebook")</f>
        <v>Notebook</v>
      </c>
      <c r="E520" s="2">
        <f ca="1">IFERROR(__xludf.DUMMYFUNCTION("""COMPUTED_VALUE"""),15.6)</f>
        <v>15.6</v>
      </c>
      <c r="F520" s="2" t="str">
        <f ca="1">IFERROR(__xludf.DUMMYFUNCTION("""COMPUTED_VALUE"""),"IPS Panel Full HD 1920x1080")</f>
        <v>IPS Panel Full HD 1920x1080</v>
      </c>
      <c r="G520" s="2" t="str">
        <f ca="1">IFERROR(__xludf.DUMMYFUNCTION("""COMPUTED_VALUE"""),"Intel Core i7 7500U 2.7GHz")</f>
        <v>Intel Core i7 7500U 2.7GHz</v>
      </c>
      <c r="H520" s="2" t="str">
        <f ca="1">IFERROR(__xludf.DUMMYFUNCTION("""COMPUTED_VALUE"""),"8GB")</f>
        <v>8GB</v>
      </c>
      <c r="I520" s="2" t="str">
        <f ca="1">IFERROR(__xludf.DUMMYFUNCTION("""COMPUTED_VALUE"""),"1TB HDD")</f>
        <v>1TB HDD</v>
      </c>
      <c r="J520" s="2" t="str">
        <f ca="1">IFERROR(__xludf.DUMMYFUNCTION("""COMPUTED_VALUE"""),"Nvidia GeForce 940MX")</f>
        <v>Nvidia GeForce 940MX</v>
      </c>
      <c r="K520" s="2" t="str">
        <f ca="1">IFERROR(__xludf.DUMMYFUNCTION("""COMPUTED_VALUE"""),"Windows 10")</f>
        <v>Windows 10</v>
      </c>
      <c r="L520" s="2" t="str">
        <f ca="1">IFERROR(__xludf.DUMMYFUNCTION("""COMPUTED_VALUE"""),"1.91kg")</f>
        <v>1.91kg</v>
      </c>
      <c r="M520" s="2">
        <f ca="1">IFERROR(__xludf.DUMMYFUNCTION("""COMPUTED_VALUE"""),979)</f>
        <v>979</v>
      </c>
    </row>
    <row r="521" spans="1:13">
      <c r="A521" s="2">
        <f ca="1">IFERROR(__xludf.DUMMYFUNCTION("""COMPUTED_VALUE"""),1066)</f>
        <v>1066</v>
      </c>
      <c r="B521" s="2" t="str">
        <f ca="1">IFERROR(__xludf.DUMMYFUNCTION("""COMPUTED_VALUE"""),"Dell")</f>
        <v>Dell</v>
      </c>
      <c r="C521" s="2" t="str">
        <f ca="1">IFERROR(__xludf.DUMMYFUNCTION("""COMPUTED_VALUE"""),"Inspiron 5578")</f>
        <v>Inspiron 5578</v>
      </c>
      <c r="D521" s="2" t="str">
        <f ca="1">IFERROR(__xludf.DUMMYFUNCTION("""COMPUTED_VALUE"""),"2 in 1 Convertible")</f>
        <v>2 in 1 Convertible</v>
      </c>
      <c r="E521" s="2">
        <f ca="1">IFERROR(__xludf.DUMMYFUNCTION("""COMPUTED_VALUE"""),15.6)</f>
        <v>15.6</v>
      </c>
      <c r="F521" s="2" t="str">
        <f ca="1">IFERROR(__xludf.DUMMYFUNCTION("""COMPUTED_VALUE"""),"IPS Panel Full HD / Touchscreen 1920x1080")</f>
        <v>IPS Panel Full HD / Touchscreen 1920x1080</v>
      </c>
      <c r="G521" s="2" t="str">
        <f ca="1">IFERROR(__xludf.DUMMYFUNCTION("""COMPUTED_VALUE"""),"Intel Core i5 7200U 2.7GHz")</f>
        <v>Intel Core i5 7200U 2.7GHz</v>
      </c>
      <c r="H521" s="2" t="str">
        <f ca="1">IFERROR(__xludf.DUMMYFUNCTION("""COMPUTED_VALUE"""),"8GB")</f>
        <v>8GB</v>
      </c>
      <c r="I521" s="2" t="str">
        <f ca="1">IFERROR(__xludf.DUMMYFUNCTION("""COMPUTED_VALUE"""),"256GB SSD")</f>
        <v>256GB SSD</v>
      </c>
      <c r="J521" s="2" t="str">
        <f ca="1">IFERROR(__xludf.DUMMYFUNCTION("""COMPUTED_VALUE"""),"Intel HD Graphics 620")</f>
        <v>Intel HD Graphics 620</v>
      </c>
      <c r="K521" s="2" t="str">
        <f ca="1">IFERROR(__xludf.DUMMYFUNCTION("""COMPUTED_VALUE"""),"Windows 10")</f>
        <v>Windows 10</v>
      </c>
      <c r="L521" s="2" t="str">
        <f ca="1">IFERROR(__xludf.DUMMYFUNCTION("""COMPUTED_VALUE"""),"2.3kg")</f>
        <v>2.3kg</v>
      </c>
      <c r="M521" s="2">
        <f ca="1">IFERROR(__xludf.DUMMYFUNCTION("""COMPUTED_VALUE"""),1094)</f>
        <v>1094</v>
      </c>
    </row>
    <row r="522" spans="1:13">
      <c r="A522" s="2">
        <f ca="1">IFERROR(__xludf.DUMMYFUNCTION("""COMPUTED_VALUE"""),1071)</f>
        <v>1071</v>
      </c>
      <c r="B522" s="2" t="str">
        <f ca="1">IFERROR(__xludf.DUMMYFUNCTION("""COMPUTED_VALUE"""),"Acer")</f>
        <v>Acer</v>
      </c>
      <c r="C522" s="2" t="str">
        <f ca="1">IFERROR(__xludf.DUMMYFUNCTION("""COMPUTED_VALUE"""),"Aspire ES1-523")</f>
        <v>Aspire ES1-523</v>
      </c>
      <c r="D522" s="2" t="str">
        <f ca="1">IFERROR(__xludf.DUMMYFUNCTION("""COMPUTED_VALUE"""),"Notebook")</f>
        <v>Notebook</v>
      </c>
      <c r="E522" s="2">
        <f ca="1">IFERROR(__xludf.DUMMYFUNCTION("""COMPUTED_VALUE"""),15.6)</f>
        <v>15.6</v>
      </c>
      <c r="F522" s="2" t="str">
        <f ca="1">IFERROR(__xludf.DUMMYFUNCTION("""COMPUTED_VALUE"""),"1366x768")</f>
        <v>1366x768</v>
      </c>
      <c r="G522" s="2" t="str">
        <f ca="1">IFERROR(__xludf.DUMMYFUNCTION("""COMPUTED_VALUE"""),"AMD A8-Series 7410 2.2GHz")</f>
        <v>AMD A8-Series 7410 2.2GHz</v>
      </c>
      <c r="H522" s="2" t="str">
        <f ca="1">IFERROR(__xludf.DUMMYFUNCTION("""COMPUTED_VALUE"""),"8GB")</f>
        <v>8GB</v>
      </c>
      <c r="I522" s="2" t="str">
        <f ca="1">IFERROR(__xludf.DUMMYFUNCTION("""COMPUTED_VALUE"""),"1TB HDD")</f>
        <v>1TB HDD</v>
      </c>
      <c r="J522" s="2" t="str">
        <f ca="1">IFERROR(__xludf.DUMMYFUNCTION("""COMPUTED_VALUE"""),"AMD Radeon R5")</f>
        <v>AMD Radeon R5</v>
      </c>
      <c r="K522" s="2" t="str">
        <f ca="1">IFERROR(__xludf.DUMMYFUNCTION("""COMPUTED_VALUE"""),"Windows 10")</f>
        <v>Windows 10</v>
      </c>
      <c r="L522" s="2" t="str">
        <f ca="1">IFERROR(__xludf.DUMMYFUNCTION("""COMPUTED_VALUE"""),"2.4kg")</f>
        <v>2.4kg</v>
      </c>
      <c r="M522" s="2">
        <f ca="1">IFERROR(__xludf.DUMMYFUNCTION("""COMPUTED_VALUE"""),449)</f>
        <v>449</v>
      </c>
    </row>
    <row r="523" spans="1:13">
      <c r="A523" s="2">
        <f ca="1">IFERROR(__xludf.DUMMYFUNCTION("""COMPUTED_VALUE"""),1074)</f>
        <v>1074</v>
      </c>
      <c r="B523" s="2" t="str">
        <f ca="1">IFERROR(__xludf.DUMMYFUNCTION("""COMPUTED_VALUE"""),"HP")</f>
        <v>HP</v>
      </c>
      <c r="C523" s="2" t="str">
        <f ca="1">IFERROR(__xludf.DUMMYFUNCTION("""COMPUTED_VALUE"""),"ProBook 450")</f>
        <v>ProBook 450</v>
      </c>
      <c r="D523" s="2" t="str">
        <f ca="1">IFERROR(__xludf.DUMMYFUNCTION("""COMPUTED_VALUE"""),"Notebook")</f>
        <v>Notebook</v>
      </c>
      <c r="E523" s="2">
        <f ca="1">IFERROR(__xludf.DUMMYFUNCTION("""COMPUTED_VALUE"""),15.6)</f>
        <v>15.6</v>
      </c>
      <c r="F523" s="2" t="str">
        <f ca="1">IFERROR(__xludf.DUMMYFUNCTION("""COMPUTED_VALUE"""),"Full HD 1920x1080")</f>
        <v>Full HD 1920x1080</v>
      </c>
      <c r="G523" s="2" t="str">
        <f ca="1">IFERROR(__xludf.DUMMYFUNCTION("""COMPUTED_VALUE"""),"Intel Core i7 7500U 2.7GHz")</f>
        <v>Intel Core i7 7500U 2.7GHz</v>
      </c>
      <c r="H523" s="2" t="str">
        <f ca="1">IFERROR(__xludf.DUMMYFUNCTION("""COMPUTED_VALUE"""),"8GB")</f>
        <v>8GB</v>
      </c>
      <c r="I523" s="2" t="str">
        <f ca="1">IFERROR(__xludf.DUMMYFUNCTION("""COMPUTED_VALUE"""),"256GB SSD")</f>
        <v>256GB SSD</v>
      </c>
      <c r="J523" s="2" t="str">
        <f ca="1">IFERROR(__xludf.DUMMYFUNCTION("""COMPUTED_VALUE"""),"Intel HD Graphics 620")</f>
        <v>Intel HD Graphics 620</v>
      </c>
      <c r="K523" s="2" t="str">
        <f ca="1">IFERROR(__xludf.DUMMYFUNCTION("""COMPUTED_VALUE"""),"Windows 10")</f>
        <v>Windows 10</v>
      </c>
      <c r="L523" s="2" t="str">
        <f ca="1">IFERROR(__xludf.DUMMYFUNCTION("""COMPUTED_VALUE"""),"2.04kg")</f>
        <v>2.04kg</v>
      </c>
      <c r="M523" s="2">
        <f ca="1">IFERROR(__xludf.DUMMYFUNCTION("""COMPUTED_VALUE"""),1070)</f>
        <v>1070</v>
      </c>
    </row>
    <row r="524" spans="1:13">
      <c r="A524" s="2">
        <f ca="1">IFERROR(__xludf.DUMMYFUNCTION("""COMPUTED_VALUE"""),1080)</f>
        <v>1080</v>
      </c>
      <c r="B524" s="2" t="str">
        <f ca="1">IFERROR(__xludf.DUMMYFUNCTION("""COMPUTED_VALUE"""),"Dell")</f>
        <v>Dell</v>
      </c>
      <c r="C524" s="2" t="str">
        <f ca="1">IFERROR(__xludf.DUMMYFUNCTION("""COMPUTED_VALUE"""),"XPS 13")</f>
        <v>XPS 13</v>
      </c>
      <c r="D524" s="2" t="str">
        <f ca="1">IFERROR(__xludf.DUMMYFUNCTION("""COMPUTED_VALUE"""),"Ultrabook")</f>
        <v>Ultrabook</v>
      </c>
      <c r="E524" s="2">
        <f ca="1">IFERROR(__xludf.DUMMYFUNCTION("""COMPUTED_VALUE"""),13.3)</f>
        <v>13.3</v>
      </c>
      <c r="F524" s="2" t="str">
        <f ca="1">IFERROR(__xludf.DUMMYFUNCTION("""COMPUTED_VALUE"""),"Full HD 1920x1080")</f>
        <v>Full HD 1920x1080</v>
      </c>
      <c r="G524" s="2" t="str">
        <f ca="1">IFERROR(__xludf.DUMMYFUNCTION("""COMPUTED_VALUE"""),"Intel Core i7 7500U 2.7GHz")</f>
        <v>Intel Core i7 7500U 2.7GHz</v>
      </c>
      <c r="H524" s="2" t="str">
        <f ca="1">IFERROR(__xludf.DUMMYFUNCTION("""COMPUTED_VALUE"""),"8GB")</f>
        <v>8GB</v>
      </c>
      <c r="I524" s="2" t="str">
        <f ca="1">IFERROR(__xludf.DUMMYFUNCTION("""COMPUTED_VALUE"""),"256GB SSD")</f>
        <v>256GB SSD</v>
      </c>
      <c r="J524" s="2" t="str">
        <f ca="1">IFERROR(__xludf.DUMMYFUNCTION("""COMPUTED_VALUE"""),"Intel HD Graphics 620")</f>
        <v>Intel HD Graphics 620</v>
      </c>
      <c r="K524" s="2" t="str">
        <f ca="1">IFERROR(__xludf.DUMMYFUNCTION("""COMPUTED_VALUE"""),"Windows 10")</f>
        <v>Windows 10</v>
      </c>
      <c r="L524" s="2" t="str">
        <f ca="1">IFERROR(__xludf.DUMMYFUNCTION("""COMPUTED_VALUE"""),"1.29kg")</f>
        <v>1.29kg</v>
      </c>
      <c r="M524" s="2">
        <f ca="1">IFERROR(__xludf.DUMMYFUNCTION("""COMPUTED_VALUE"""),1458)</f>
        <v>1458</v>
      </c>
    </row>
    <row r="525" spans="1:13">
      <c r="A525" s="2">
        <f ca="1">IFERROR(__xludf.DUMMYFUNCTION("""COMPUTED_VALUE"""),1082)</f>
        <v>1082</v>
      </c>
      <c r="B525" s="2" t="str">
        <f ca="1">IFERROR(__xludf.DUMMYFUNCTION("""COMPUTED_VALUE"""),"Dell")</f>
        <v>Dell</v>
      </c>
      <c r="C525" s="2" t="str">
        <f ca="1">IFERROR(__xludf.DUMMYFUNCTION("""COMPUTED_VALUE"""),"Inspiron 5368")</f>
        <v>Inspiron 5368</v>
      </c>
      <c r="D525" s="2" t="str">
        <f ca="1">IFERROR(__xludf.DUMMYFUNCTION("""COMPUTED_VALUE"""),"2 in 1 Convertible")</f>
        <v>2 in 1 Convertible</v>
      </c>
      <c r="E525" s="2">
        <f ca="1">IFERROR(__xludf.DUMMYFUNCTION("""COMPUTED_VALUE"""),13.3)</f>
        <v>13.3</v>
      </c>
      <c r="F525" s="2" t="str">
        <f ca="1">IFERROR(__xludf.DUMMYFUNCTION("""COMPUTED_VALUE"""),"Full HD / Touchscreen 1920x1080")</f>
        <v>Full HD / Touchscreen 1920x1080</v>
      </c>
      <c r="G525" s="2" t="str">
        <f ca="1">IFERROR(__xludf.DUMMYFUNCTION("""COMPUTED_VALUE"""),"Intel Core i7 6500U 2.5GHz")</f>
        <v>Intel Core i7 6500U 2.5GHz</v>
      </c>
      <c r="H525" s="2" t="str">
        <f ca="1">IFERROR(__xludf.DUMMYFUNCTION("""COMPUTED_VALUE"""),"8GB")</f>
        <v>8GB</v>
      </c>
      <c r="I525" s="2" t="str">
        <f ca="1">IFERROR(__xludf.DUMMYFUNCTION("""COMPUTED_VALUE"""),"256GB SSD")</f>
        <v>256GB SSD</v>
      </c>
      <c r="J525" s="2" t="str">
        <f ca="1">IFERROR(__xludf.DUMMYFUNCTION("""COMPUTED_VALUE"""),"Intel HD Graphics 520")</f>
        <v>Intel HD Graphics 520</v>
      </c>
      <c r="K525" s="2" t="str">
        <f ca="1">IFERROR(__xludf.DUMMYFUNCTION("""COMPUTED_VALUE"""),"Windows 10")</f>
        <v>Windows 10</v>
      </c>
      <c r="L525" s="2" t="str">
        <f ca="1">IFERROR(__xludf.DUMMYFUNCTION("""COMPUTED_VALUE"""),"1.62kg")</f>
        <v>1.62kg</v>
      </c>
      <c r="M525" s="2">
        <f ca="1">IFERROR(__xludf.DUMMYFUNCTION("""COMPUTED_VALUE"""),798.01)</f>
        <v>798.01</v>
      </c>
    </row>
    <row r="526" spans="1:13">
      <c r="A526" s="2">
        <f ca="1">IFERROR(__xludf.DUMMYFUNCTION("""COMPUTED_VALUE"""),1084)</f>
        <v>1084</v>
      </c>
      <c r="B526" s="2" t="str">
        <f ca="1">IFERROR(__xludf.DUMMYFUNCTION("""COMPUTED_VALUE"""),"Apple")</f>
        <v>Apple</v>
      </c>
      <c r="C526" s="2" t="str">
        <f ca="1">IFERROR(__xludf.DUMMYFUNCTION("""COMPUTED_VALUE"""),"MacBook 12""")</f>
        <v>MacBook 12"</v>
      </c>
      <c r="D526" s="2" t="str">
        <f ca="1">IFERROR(__xludf.DUMMYFUNCTION("""COMPUTED_VALUE"""),"Ultrabook")</f>
        <v>Ultrabook</v>
      </c>
      <c r="E526" s="2">
        <f ca="1">IFERROR(__xludf.DUMMYFUNCTION("""COMPUTED_VALUE"""),12)</f>
        <v>12</v>
      </c>
      <c r="F526" s="2" t="str">
        <f ca="1">IFERROR(__xludf.DUMMYFUNCTION("""COMPUTED_VALUE"""),"IPS Panel Retina Display 2304x1440")</f>
        <v>IPS Panel Retina Display 2304x1440</v>
      </c>
      <c r="G526" s="2" t="str">
        <f ca="1">IFERROR(__xludf.DUMMYFUNCTION("""COMPUTED_VALUE"""),"Intel Core M 1.1GHz")</f>
        <v>Intel Core M 1.1GHz</v>
      </c>
      <c r="H526" s="2" t="str">
        <f ca="1">IFERROR(__xludf.DUMMYFUNCTION("""COMPUTED_VALUE"""),"8GB")</f>
        <v>8GB</v>
      </c>
      <c r="I526" s="2" t="str">
        <f ca="1">IFERROR(__xludf.DUMMYFUNCTION("""COMPUTED_VALUE"""),"256GB Flash Storage")</f>
        <v>256GB Flash Storage</v>
      </c>
      <c r="J526" s="2" t="str">
        <f ca="1">IFERROR(__xludf.DUMMYFUNCTION("""COMPUTED_VALUE"""),"Intel HD Graphics 515")</f>
        <v>Intel HD Graphics 515</v>
      </c>
      <c r="K526" s="2" t="str">
        <f ca="1">IFERROR(__xludf.DUMMYFUNCTION("""COMPUTED_VALUE"""),"Mac OS X")</f>
        <v>Mac OS X</v>
      </c>
      <c r="L526" s="2" t="str">
        <f ca="1">IFERROR(__xludf.DUMMYFUNCTION("""COMPUTED_VALUE"""),"0.920kg")</f>
        <v>0.920kg</v>
      </c>
      <c r="M526" s="2">
        <f ca="1">IFERROR(__xludf.DUMMYFUNCTION("""COMPUTED_VALUE"""),1300)</f>
        <v>1300</v>
      </c>
    </row>
    <row r="527" spans="1:13">
      <c r="A527" s="2">
        <f ca="1">IFERROR(__xludf.DUMMYFUNCTION("""COMPUTED_VALUE"""),1087)</f>
        <v>1087</v>
      </c>
      <c r="B527" s="2" t="str">
        <f ca="1">IFERROR(__xludf.DUMMYFUNCTION("""COMPUTED_VALUE"""),"HP")</f>
        <v>HP</v>
      </c>
      <c r="C527" s="2" t="str">
        <f ca="1">IFERROR(__xludf.DUMMYFUNCTION("""COMPUTED_VALUE"""),"EliteBook 820")</f>
        <v>EliteBook 820</v>
      </c>
      <c r="D527" s="2" t="str">
        <f ca="1">IFERROR(__xludf.DUMMYFUNCTION("""COMPUTED_VALUE"""),"Ultrabook")</f>
        <v>Ultrabook</v>
      </c>
      <c r="E527" s="2">
        <f ca="1">IFERROR(__xludf.DUMMYFUNCTION("""COMPUTED_VALUE"""),12.5)</f>
        <v>12.5</v>
      </c>
      <c r="F527" s="2" t="str">
        <f ca="1">IFERROR(__xludf.DUMMYFUNCTION("""COMPUTED_VALUE"""),"Full HD 1920x1080")</f>
        <v>Full HD 1920x1080</v>
      </c>
      <c r="G527" s="2" t="str">
        <f ca="1">IFERROR(__xludf.DUMMYFUNCTION("""COMPUTED_VALUE"""),"Intel Core i5 6200U 2.3GHz")</f>
        <v>Intel Core i5 6200U 2.3GHz</v>
      </c>
      <c r="H527" s="2" t="str">
        <f ca="1">IFERROR(__xludf.DUMMYFUNCTION("""COMPUTED_VALUE"""),"8GB")</f>
        <v>8GB</v>
      </c>
      <c r="I527" s="2" t="str">
        <f ca="1">IFERROR(__xludf.DUMMYFUNCTION("""COMPUTED_VALUE"""),"256GB SSD")</f>
        <v>256GB SSD</v>
      </c>
      <c r="J527" s="2" t="str">
        <f ca="1">IFERROR(__xludf.DUMMYFUNCTION("""COMPUTED_VALUE"""),"Intel HD Graphics 520")</f>
        <v>Intel HD Graphics 520</v>
      </c>
      <c r="K527" s="2" t="str">
        <f ca="1">IFERROR(__xludf.DUMMYFUNCTION("""COMPUTED_VALUE"""),"Windows 7")</f>
        <v>Windows 7</v>
      </c>
      <c r="L527" s="2" t="str">
        <f ca="1">IFERROR(__xludf.DUMMYFUNCTION("""COMPUTED_VALUE"""),"1.26kg")</f>
        <v>1.26kg</v>
      </c>
      <c r="M527" s="2">
        <f ca="1">IFERROR(__xludf.DUMMYFUNCTION("""COMPUTED_VALUE"""),1199)</f>
        <v>1199</v>
      </c>
    </row>
    <row r="528" spans="1:13">
      <c r="A528" s="2">
        <f ca="1">IFERROR(__xludf.DUMMYFUNCTION("""COMPUTED_VALUE"""),1088)</f>
        <v>1088</v>
      </c>
      <c r="B528" s="2" t="str">
        <f ca="1">IFERROR(__xludf.DUMMYFUNCTION("""COMPUTED_VALUE"""),"HP")</f>
        <v>HP</v>
      </c>
      <c r="C528" s="2" t="str">
        <f ca="1">IFERROR(__xludf.DUMMYFUNCTION("""COMPUTED_VALUE"""),"ProBook 430")</f>
        <v>ProBook 430</v>
      </c>
      <c r="D528" s="2" t="str">
        <f ca="1">IFERROR(__xludf.DUMMYFUNCTION("""COMPUTED_VALUE"""),"Notebook")</f>
        <v>Notebook</v>
      </c>
      <c r="E528" s="2">
        <f ca="1">IFERROR(__xludf.DUMMYFUNCTION("""COMPUTED_VALUE"""),13.3)</f>
        <v>13.3</v>
      </c>
      <c r="F528" s="2" t="str">
        <f ca="1">IFERROR(__xludf.DUMMYFUNCTION("""COMPUTED_VALUE"""),"Full HD 1920x1080")</f>
        <v>Full HD 1920x1080</v>
      </c>
      <c r="G528" s="2" t="str">
        <f ca="1">IFERROR(__xludf.DUMMYFUNCTION("""COMPUTED_VALUE"""),"Intel Core i7 7500U 2.7GHz")</f>
        <v>Intel Core i7 7500U 2.7GHz</v>
      </c>
      <c r="H528" s="2" t="str">
        <f ca="1">IFERROR(__xludf.DUMMYFUNCTION("""COMPUTED_VALUE"""),"8GB")</f>
        <v>8GB</v>
      </c>
      <c r="I528" s="2" t="str">
        <f ca="1">IFERROR(__xludf.DUMMYFUNCTION("""COMPUTED_VALUE"""),"256GB SSD")</f>
        <v>256GB SSD</v>
      </c>
      <c r="J528" s="2" t="str">
        <f ca="1">IFERROR(__xludf.DUMMYFUNCTION("""COMPUTED_VALUE"""),"Intel HD Graphics 620")</f>
        <v>Intel HD Graphics 620</v>
      </c>
      <c r="K528" s="2" t="str">
        <f ca="1">IFERROR(__xludf.DUMMYFUNCTION("""COMPUTED_VALUE"""),"Windows 10")</f>
        <v>Windows 10</v>
      </c>
      <c r="L528" s="2" t="str">
        <f ca="1">IFERROR(__xludf.DUMMYFUNCTION("""COMPUTED_VALUE"""),"1.49kg")</f>
        <v>1.49kg</v>
      </c>
      <c r="M528" s="2">
        <f ca="1">IFERROR(__xludf.DUMMYFUNCTION("""COMPUTED_VALUE"""),1090)</f>
        <v>1090</v>
      </c>
    </row>
    <row r="529" spans="1:13">
      <c r="A529" s="2">
        <f ca="1">IFERROR(__xludf.DUMMYFUNCTION("""COMPUTED_VALUE"""),1089)</f>
        <v>1089</v>
      </c>
      <c r="B529" s="2" t="str">
        <f ca="1">IFERROR(__xludf.DUMMYFUNCTION("""COMPUTED_VALUE"""),"Lenovo")</f>
        <v>Lenovo</v>
      </c>
      <c r="C529" s="2" t="str">
        <f ca="1">IFERROR(__xludf.DUMMYFUNCTION("""COMPUTED_VALUE"""),"ThinkPad Yoga")</f>
        <v>ThinkPad Yoga</v>
      </c>
      <c r="D529" s="2" t="str">
        <f ca="1">IFERROR(__xludf.DUMMYFUNCTION("""COMPUTED_VALUE"""),"Ultrabook")</f>
        <v>Ultrabook</v>
      </c>
      <c r="E529" s="2">
        <f ca="1">IFERROR(__xludf.DUMMYFUNCTION("""COMPUTED_VALUE"""),12.5)</f>
        <v>12.5</v>
      </c>
      <c r="F529" s="2" t="str">
        <f ca="1">IFERROR(__xludf.DUMMYFUNCTION("""COMPUTED_VALUE"""),"IPS Panel Full HD / Touchscreen 1920x1080")</f>
        <v>IPS Panel Full HD / Touchscreen 1920x1080</v>
      </c>
      <c r="G529" s="2" t="str">
        <f ca="1">IFERROR(__xludf.DUMMYFUNCTION("""COMPUTED_VALUE"""),"Intel Core i7 6500U 2.5GHz")</f>
        <v>Intel Core i7 6500U 2.5GHz</v>
      </c>
      <c r="H529" s="2" t="str">
        <f ca="1">IFERROR(__xludf.DUMMYFUNCTION("""COMPUTED_VALUE"""),"8GB")</f>
        <v>8GB</v>
      </c>
      <c r="I529" s="2" t="str">
        <f ca="1">IFERROR(__xludf.DUMMYFUNCTION("""COMPUTED_VALUE"""),"256GB SSD")</f>
        <v>256GB SSD</v>
      </c>
      <c r="J529" s="2" t="str">
        <f ca="1">IFERROR(__xludf.DUMMYFUNCTION("""COMPUTED_VALUE"""),"Intel HD Graphics 520")</f>
        <v>Intel HD Graphics 520</v>
      </c>
      <c r="K529" s="2" t="str">
        <f ca="1">IFERROR(__xludf.DUMMYFUNCTION("""COMPUTED_VALUE"""),"Windows 10")</f>
        <v>Windows 10</v>
      </c>
      <c r="L529" s="2" t="str">
        <f ca="1">IFERROR(__xludf.DUMMYFUNCTION("""COMPUTED_VALUE"""),"1.3kg")</f>
        <v>1.3kg</v>
      </c>
      <c r="M529" s="2">
        <f ca="1">IFERROR(__xludf.DUMMYFUNCTION("""COMPUTED_VALUE"""),1713.49)</f>
        <v>1713.49</v>
      </c>
    </row>
    <row r="530" spans="1:13">
      <c r="A530" s="2">
        <f ca="1">IFERROR(__xludf.DUMMYFUNCTION("""COMPUTED_VALUE"""),1090)</f>
        <v>1090</v>
      </c>
      <c r="B530" s="2" t="str">
        <f ca="1">IFERROR(__xludf.DUMMYFUNCTION("""COMPUTED_VALUE"""),"Lenovo")</f>
        <v>Lenovo</v>
      </c>
      <c r="C530" s="2" t="str">
        <f ca="1">IFERROR(__xludf.DUMMYFUNCTION("""COMPUTED_VALUE"""),"IdeaPad 300-17ISK")</f>
        <v>IdeaPad 300-17ISK</v>
      </c>
      <c r="D530" s="2" t="str">
        <f ca="1">IFERROR(__xludf.DUMMYFUNCTION("""COMPUTED_VALUE"""),"Notebook")</f>
        <v>Notebook</v>
      </c>
      <c r="E530" s="2">
        <f ca="1">IFERROR(__xludf.DUMMYFUNCTION("""COMPUTED_VALUE"""),17.3)</f>
        <v>17.3</v>
      </c>
      <c r="F530" s="2" t="str">
        <f ca="1">IFERROR(__xludf.DUMMYFUNCTION("""COMPUTED_VALUE"""),"1600x900")</f>
        <v>1600x900</v>
      </c>
      <c r="G530" s="2" t="str">
        <f ca="1">IFERROR(__xludf.DUMMYFUNCTION("""COMPUTED_VALUE"""),"Intel Core i5 6200U 2.3GHz")</f>
        <v>Intel Core i5 6200U 2.3GHz</v>
      </c>
      <c r="H530" s="2" t="str">
        <f ca="1">IFERROR(__xludf.DUMMYFUNCTION("""COMPUTED_VALUE"""),"8GB")</f>
        <v>8GB</v>
      </c>
      <c r="I530" s="2" t="str">
        <f ca="1">IFERROR(__xludf.DUMMYFUNCTION("""COMPUTED_VALUE"""),"1.0TB HDD")</f>
        <v>1.0TB HDD</v>
      </c>
      <c r="J530" s="2" t="str">
        <f ca="1">IFERROR(__xludf.DUMMYFUNCTION("""COMPUTED_VALUE"""),"AMD Radeon R5 M330")</f>
        <v>AMD Radeon R5 M330</v>
      </c>
      <c r="K530" s="2" t="str">
        <f ca="1">IFERROR(__xludf.DUMMYFUNCTION("""COMPUTED_VALUE"""),"Windows 10")</f>
        <v>Windows 10</v>
      </c>
      <c r="L530" s="2" t="str">
        <f ca="1">IFERROR(__xludf.DUMMYFUNCTION("""COMPUTED_VALUE"""),"3.0kg")</f>
        <v>3.0kg</v>
      </c>
      <c r="M530" s="2">
        <f ca="1">IFERROR(__xludf.DUMMYFUNCTION("""COMPUTED_VALUE"""),659)</f>
        <v>659</v>
      </c>
    </row>
    <row r="531" spans="1:13">
      <c r="A531" s="2">
        <f ca="1">IFERROR(__xludf.DUMMYFUNCTION("""COMPUTED_VALUE"""),1095)</f>
        <v>1095</v>
      </c>
      <c r="B531" s="2" t="str">
        <f ca="1">IFERROR(__xludf.DUMMYFUNCTION("""COMPUTED_VALUE"""),"Lenovo")</f>
        <v>Lenovo</v>
      </c>
      <c r="C531" s="2" t="str">
        <f ca="1">IFERROR(__xludf.DUMMYFUNCTION("""COMPUTED_VALUE"""),"Yoga 900S-12ISK")</f>
        <v>Yoga 900S-12ISK</v>
      </c>
      <c r="D531" s="2" t="str">
        <f ca="1">IFERROR(__xludf.DUMMYFUNCTION("""COMPUTED_VALUE"""),"Ultrabook")</f>
        <v>Ultrabook</v>
      </c>
      <c r="E531" s="2">
        <f ca="1">IFERROR(__xludf.DUMMYFUNCTION("""COMPUTED_VALUE"""),12.5)</f>
        <v>12.5</v>
      </c>
      <c r="F531" s="2" t="str">
        <f ca="1">IFERROR(__xludf.DUMMYFUNCTION("""COMPUTED_VALUE"""),"IPS Panel Touchscreen 2560x1440")</f>
        <v>IPS Panel Touchscreen 2560x1440</v>
      </c>
      <c r="G531" s="2" t="str">
        <f ca="1">IFERROR(__xludf.DUMMYFUNCTION("""COMPUTED_VALUE"""),"Intel Core M 6Y75 1.2GHz")</f>
        <v>Intel Core M 6Y75 1.2GHz</v>
      </c>
      <c r="H531" s="2" t="str">
        <f ca="1">IFERROR(__xludf.DUMMYFUNCTION("""COMPUTED_VALUE"""),"8GB")</f>
        <v>8GB</v>
      </c>
      <c r="I531" s="2" t="str">
        <f ca="1">IFERROR(__xludf.DUMMYFUNCTION("""COMPUTED_VALUE"""),"512GB SSD")</f>
        <v>512GB SSD</v>
      </c>
      <c r="J531" s="2" t="str">
        <f ca="1">IFERROR(__xludf.DUMMYFUNCTION("""COMPUTED_VALUE"""),"Intel HD Graphics 515")</f>
        <v>Intel HD Graphics 515</v>
      </c>
      <c r="K531" s="2" t="str">
        <f ca="1">IFERROR(__xludf.DUMMYFUNCTION("""COMPUTED_VALUE"""),"Windows 10")</f>
        <v>Windows 10</v>
      </c>
      <c r="L531" s="2" t="str">
        <f ca="1">IFERROR(__xludf.DUMMYFUNCTION("""COMPUTED_VALUE"""),"0.99kg")</f>
        <v>0.99kg</v>
      </c>
      <c r="M531" s="2">
        <f ca="1">IFERROR(__xludf.DUMMYFUNCTION("""COMPUTED_VALUE"""),1399)</f>
        <v>1399</v>
      </c>
    </row>
    <row r="532" spans="1:13">
      <c r="A532" s="2">
        <f ca="1">IFERROR(__xludf.DUMMYFUNCTION("""COMPUTED_VALUE"""),1099)</f>
        <v>1099</v>
      </c>
      <c r="B532" s="2" t="str">
        <f ca="1">IFERROR(__xludf.DUMMYFUNCTION("""COMPUTED_VALUE"""),"Dell")</f>
        <v>Dell</v>
      </c>
      <c r="C532" s="2" t="str">
        <f ca="1">IFERROR(__xludf.DUMMYFUNCTION("""COMPUTED_VALUE"""),"Vostro 3568")</f>
        <v>Vostro 3568</v>
      </c>
      <c r="D532" s="2" t="str">
        <f ca="1">IFERROR(__xludf.DUMMYFUNCTION("""COMPUTED_VALUE"""),"Notebook")</f>
        <v>Notebook</v>
      </c>
      <c r="E532" s="2">
        <f ca="1">IFERROR(__xludf.DUMMYFUNCTION("""COMPUTED_VALUE"""),15.6)</f>
        <v>15.6</v>
      </c>
      <c r="F532" s="2" t="str">
        <f ca="1">IFERROR(__xludf.DUMMYFUNCTION("""COMPUTED_VALUE"""),"Full HD 1920x1080")</f>
        <v>Full HD 1920x1080</v>
      </c>
      <c r="G532" s="2" t="str">
        <f ca="1">IFERROR(__xludf.DUMMYFUNCTION("""COMPUTED_VALUE"""),"Intel Core i5 7200U 2.5GHz")</f>
        <v>Intel Core i5 7200U 2.5GHz</v>
      </c>
      <c r="H532" s="2" t="str">
        <f ca="1">IFERROR(__xludf.DUMMYFUNCTION("""COMPUTED_VALUE"""),"8GB")</f>
        <v>8GB</v>
      </c>
      <c r="I532" s="2" t="str">
        <f ca="1">IFERROR(__xludf.DUMMYFUNCTION("""COMPUTED_VALUE"""),"256GB SSD")</f>
        <v>256GB SSD</v>
      </c>
      <c r="J532" s="2" t="str">
        <f ca="1">IFERROR(__xludf.DUMMYFUNCTION("""COMPUTED_VALUE"""),"Intel HD Graphics 620")</f>
        <v>Intel HD Graphics 620</v>
      </c>
      <c r="K532" s="2" t="str">
        <f ca="1">IFERROR(__xludf.DUMMYFUNCTION("""COMPUTED_VALUE"""),"Windows 10")</f>
        <v>Windows 10</v>
      </c>
      <c r="L532" s="2" t="str">
        <f ca="1">IFERROR(__xludf.DUMMYFUNCTION("""COMPUTED_VALUE"""),"2.18kg")</f>
        <v>2.18kg</v>
      </c>
      <c r="M532" s="2">
        <f ca="1">IFERROR(__xludf.DUMMYFUNCTION("""COMPUTED_VALUE"""),750)</f>
        <v>750</v>
      </c>
    </row>
    <row r="533" spans="1:13">
      <c r="A533" s="2">
        <f ca="1">IFERROR(__xludf.DUMMYFUNCTION("""COMPUTED_VALUE"""),1101)</f>
        <v>1101</v>
      </c>
      <c r="B533" s="2" t="str">
        <f ca="1">IFERROR(__xludf.DUMMYFUNCTION("""COMPUTED_VALUE"""),"HP")</f>
        <v>HP</v>
      </c>
      <c r="C533" s="2" t="str">
        <f ca="1">IFERROR(__xludf.DUMMYFUNCTION("""COMPUTED_VALUE"""),"ZBook 15u")</f>
        <v>ZBook 15u</v>
      </c>
      <c r="D533" s="2" t="str">
        <f ca="1">IFERROR(__xludf.DUMMYFUNCTION("""COMPUTED_VALUE"""),"Workstation")</f>
        <v>Workstation</v>
      </c>
      <c r="E533" s="2">
        <f ca="1">IFERROR(__xludf.DUMMYFUNCTION("""COMPUTED_VALUE"""),15.6)</f>
        <v>15.6</v>
      </c>
      <c r="F533" s="2" t="str">
        <f ca="1">IFERROR(__xludf.DUMMYFUNCTION("""COMPUTED_VALUE"""),"Full HD 1920x1080")</f>
        <v>Full HD 1920x1080</v>
      </c>
      <c r="G533" s="2" t="str">
        <f ca="1">IFERROR(__xludf.DUMMYFUNCTION("""COMPUTED_VALUE"""),"Intel Core i7 6500U 2.5GHz")</f>
        <v>Intel Core i7 6500U 2.5GHz</v>
      </c>
      <c r="H533" s="2" t="str">
        <f ca="1">IFERROR(__xludf.DUMMYFUNCTION("""COMPUTED_VALUE"""),"8GB")</f>
        <v>8GB</v>
      </c>
      <c r="I533" s="2" t="str">
        <f ca="1">IFERROR(__xludf.DUMMYFUNCTION("""COMPUTED_VALUE"""),"256GB SSD")</f>
        <v>256GB SSD</v>
      </c>
      <c r="J533" s="2" t="str">
        <f ca="1">IFERROR(__xludf.DUMMYFUNCTION("""COMPUTED_VALUE"""),"AMD FirePro W4190M")</f>
        <v>AMD FirePro W4190M</v>
      </c>
      <c r="K533" s="2" t="str">
        <f ca="1">IFERROR(__xludf.DUMMYFUNCTION("""COMPUTED_VALUE"""),"Windows 7")</f>
        <v>Windows 7</v>
      </c>
      <c r="L533" s="2" t="str">
        <f ca="1">IFERROR(__xludf.DUMMYFUNCTION("""COMPUTED_VALUE"""),"1.9kg")</f>
        <v>1.9kg</v>
      </c>
      <c r="M533" s="2">
        <f ca="1">IFERROR(__xludf.DUMMYFUNCTION("""COMPUTED_VALUE"""),1495)</f>
        <v>1495</v>
      </c>
    </row>
    <row r="534" spans="1:13">
      <c r="A534" s="2">
        <f ca="1">IFERROR(__xludf.DUMMYFUNCTION("""COMPUTED_VALUE"""),1102)</f>
        <v>1102</v>
      </c>
      <c r="B534" s="2" t="str">
        <f ca="1">IFERROR(__xludf.DUMMYFUNCTION("""COMPUTED_VALUE"""),"Lenovo")</f>
        <v>Lenovo</v>
      </c>
      <c r="C534" s="2" t="str">
        <f ca="1">IFERROR(__xludf.DUMMYFUNCTION("""COMPUTED_VALUE"""),"ThinkPad T460")</f>
        <v>ThinkPad T460</v>
      </c>
      <c r="D534" s="2" t="str">
        <f ca="1">IFERROR(__xludf.DUMMYFUNCTION("""COMPUTED_VALUE"""),"Notebook")</f>
        <v>Notebook</v>
      </c>
      <c r="E534" s="2">
        <f ca="1">IFERROR(__xludf.DUMMYFUNCTION("""COMPUTED_VALUE"""),14)</f>
        <v>14</v>
      </c>
      <c r="F534" s="2" t="str">
        <f ca="1">IFERROR(__xludf.DUMMYFUNCTION("""COMPUTED_VALUE"""),"Full HD 1920x1080")</f>
        <v>Full HD 1920x1080</v>
      </c>
      <c r="G534" s="2" t="str">
        <f ca="1">IFERROR(__xludf.DUMMYFUNCTION("""COMPUTED_VALUE"""),"Intel Core i5 6200U 2.3GHz")</f>
        <v>Intel Core i5 6200U 2.3GHz</v>
      </c>
      <c r="H534" s="2" t="str">
        <f ca="1">IFERROR(__xludf.DUMMYFUNCTION("""COMPUTED_VALUE"""),"8GB")</f>
        <v>8GB</v>
      </c>
      <c r="I534" s="2" t="str">
        <f ca="1">IFERROR(__xludf.DUMMYFUNCTION("""COMPUTED_VALUE"""),"180GB SSD")</f>
        <v>180GB SSD</v>
      </c>
      <c r="J534" s="2" t="str">
        <f ca="1">IFERROR(__xludf.DUMMYFUNCTION("""COMPUTED_VALUE"""),"Intel HD Graphics 520")</f>
        <v>Intel HD Graphics 520</v>
      </c>
      <c r="K534" s="2" t="str">
        <f ca="1">IFERROR(__xludf.DUMMYFUNCTION("""COMPUTED_VALUE"""),"Windows 7")</f>
        <v>Windows 7</v>
      </c>
      <c r="L534" s="2" t="str">
        <f ca="1">IFERROR(__xludf.DUMMYFUNCTION("""COMPUTED_VALUE"""),"1.7kg")</f>
        <v>1.7kg</v>
      </c>
      <c r="M534" s="2">
        <f ca="1">IFERROR(__xludf.DUMMYFUNCTION("""COMPUTED_VALUE"""),1199)</f>
        <v>1199</v>
      </c>
    </row>
    <row r="535" spans="1:13">
      <c r="A535" s="2">
        <f ca="1">IFERROR(__xludf.DUMMYFUNCTION("""COMPUTED_VALUE"""),1107)</f>
        <v>1107</v>
      </c>
      <c r="B535" s="2" t="str">
        <f ca="1">IFERROR(__xludf.DUMMYFUNCTION("""COMPUTED_VALUE"""),"Asus")</f>
        <v>Asus</v>
      </c>
      <c r="C535" s="2" t="str">
        <f ca="1">IFERROR(__xludf.DUMMYFUNCTION("""COMPUTED_VALUE"""),"Rog GL702VM-GC354T")</f>
        <v>Rog GL702VM-GC354T</v>
      </c>
      <c r="D535" s="2" t="str">
        <f ca="1">IFERROR(__xludf.DUMMYFUNCTION("""COMPUTED_VALUE"""),"Gaming")</f>
        <v>Gaming</v>
      </c>
      <c r="E535" s="2">
        <f ca="1">IFERROR(__xludf.DUMMYFUNCTION("""COMPUTED_VALUE"""),17.3)</f>
        <v>17.3</v>
      </c>
      <c r="F535" s="2" t="str">
        <f ca="1">IFERROR(__xludf.DUMMYFUNCTION("""COMPUTED_VALUE"""),"IPS Panel Full HD 1920x1080")</f>
        <v>IPS Panel Full HD 1920x1080</v>
      </c>
      <c r="G535" s="2" t="str">
        <f ca="1">IFERROR(__xludf.DUMMYFUNCTION("""COMPUTED_VALUE"""),"Intel Core i7 7700HQ 2.8GHz")</f>
        <v>Intel Core i7 7700HQ 2.8GHz</v>
      </c>
      <c r="H535" s="2" t="str">
        <f ca="1">IFERROR(__xludf.DUMMYFUNCTION("""COMPUTED_VALUE"""),"8GB")</f>
        <v>8GB</v>
      </c>
      <c r="I535" s="2" t="str">
        <f ca="1">IFERROR(__xludf.DUMMYFUNCTION("""COMPUTED_VALUE"""),"256GB SSD +  1TB HDD")</f>
        <v>256GB SSD +  1TB HDD</v>
      </c>
      <c r="J535" s="2" t="str">
        <f ca="1">IFERROR(__xludf.DUMMYFUNCTION("""COMPUTED_VALUE"""),"Nvidia GeForce GTX 1060")</f>
        <v>Nvidia GeForce GTX 1060</v>
      </c>
      <c r="K535" s="2" t="str">
        <f ca="1">IFERROR(__xludf.DUMMYFUNCTION("""COMPUTED_VALUE"""),"Windows 10")</f>
        <v>Windows 10</v>
      </c>
      <c r="L535" s="2" t="str">
        <f ca="1">IFERROR(__xludf.DUMMYFUNCTION("""COMPUTED_VALUE"""),"2.7kg")</f>
        <v>2.7kg</v>
      </c>
      <c r="M535" s="2">
        <f ca="1">IFERROR(__xludf.DUMMYFUNCTION("""COMPUTED_VALUE"""),1599)</f>
        <v>1599</v>
      </c>
    </row>
    <row r="536" spans="1:13">
      <c r="A536" s="2">
        <f ca="1">IFERROR(__xludf.DUMMYFUNCTION("""COMPUTED_VALUE"""),1110)</f>
        <v>1110</v>
      </c>
      <c r="B536" s="2" t="str">
        <f ca="1">IFERROR(__xludf.DUMMYFUNCTION("""COMPUTED_VALUE"""),"Acer")</f>
        <v>Acer</v>
      </c>
      <c r="C536" s="2" t="str">
        <f ca="1">IFERROR(__xludf.DUMMYFUNCTION("""COMPUTED_VALUE"""),"Aspire F5-573G")</f>
        <v>Aspire F5-573G</v>
      </c>
      <c r="D536" s="2" t="str">
        <f ca="1">IFERROR(__xludf.DUMMYFUNCTION("""COMPUTED_VALUE"""),"Notebook")</f>
        <v>Notebook</v>
      </c>
      <c r="E536" s="2">
        <f ca="1">IFERROR(__xludf.DUMMYFUNCTION("""COMPUTED_VALUE"""),15.6)</f>
        <v>15.6</v>
      </c>
      <c r="F536" s="2" t="str">
        <f ca="1">IFERROR(__xludf.DUMMYFUNCTION("""COMPUTED_VALUE"""),"Full HD 1920x1080")</f>
        <v>Full HD 1920x1080</v>
      </c>
      <c r="G536" s="2" t="str">
        <f ca="1">IFERROR(__xludf.DUMMYFUNCTION("""COMPUTED_VALUE"""),"Intel Core i5 7200U 2.5GHz")</f>
        <v>Intel Core i5 7200U 2.5GHz</v>
      </c>
      <c r="H536" s="2" t="str">
        <f ca="1">IFERROR(__xludf.DUMMYFUNCTION("""COMPUTED_VALUE"""),"8GB")</f>
        <v>8GB</v>
      </c>
      <c r="I536" s="2" t="str">
        <f ca="1">IFERROR(__xludf.DUMMYFUNCTION("""COMPUTED_VALUE"""),"256GB SSD +  1TB HDD")</f>
        <v>256GB SSD +  1TB HDD</v>
      </c>
      <c r="J536" s="2" t="str">
        <f ca="1">IFERROR(__xludf.DUMMYFUNCTION("""COMPUTED_VALUE"""),"Nvidia GeForce GTX 950M")</f>
        <v>Nvidia GeForce GTX 950M</v>
      </c>
      <c r="K536" s="2" t="str">
        <f ca="1">IFERROR(__xludf.DUMMYFUNCTION("""COMPUTED_VALUE"""),"Windows 10")</f>
        <v>Windows 10</v>
      </c>
      <c r="L536" s="2" t="str">
        <f ca="1">IFERROR(__xludf.DUMMYFUNCTION("""COMPUTED_VALUE"""),"2.4kg")</f>
        <v>2.4kg</v>
      </c>
      <c r="M536" s="2">
        <f ca="1">IFERROR(__xludf.DUMMYFUNCTION("""COMPUTED_VALUE"""),799)</f>
        <v>799</v>
      </c>
    </row>
    <row r="537" spans="1:13">
      <c r="A537" s="2">
        <f ca="1">IFERROR(__xludf.DUMMYFUNCTION("""COMPUTED_VALUE"""),1111)</f>
        <v>1111</v>
      </c>
      <c r="B537" s="2" t="str">
        <f ca="1">IFERROR(__xludf.DUMMYFUNCTION("""COMPUTED_VALUE"""),"Dell")</f>
        <v>Dell</v>
      </c>
      <c r="C537" s="2" t="str">
        <f ca="1">IFERROR(__xludf.DUMMYFUNCTION("""COMPUTED_VALUE"""),"Inspiron 5567")</f>
        <v>Inspiron 5567</v>
      </c>
      <c r="D537" s="2" t="str">
        <f ca="1">IFERROR(__xludf.DUMMYFUNCTION("""COMPUTED_VALUE"""),"Notebook")</f>
        <v>Notebook</v>
      </c>
      <c r="E537" s="2">
        <f ca="1">IFERROR(__xludf.DUMMYFUNCTION("""COMPUTED_VALUE"""),15.6)</f>
        <v>15.6</v>
      </c>
      <c r="F537" s="2" t="str">
        <f ca="1">IFERROR(__xludf.DUMMYFUNCTION("""COMPUTED_VALUE"""),"Full HD 1920x1080")</f>
        <v>Full HD 1920x1080</v>
      </c>
      <c r="G537" s="2" t="str">
        <f ca="1">IFERROR(__xludf.DUMMYFUNCTION("""COMPUTED_VALUE"""),"Intel Core i5 7200U 2.5GHz")</f>
        <v>Intel Core i5 7200U 2.5GHz</v>
      </c>
      <c r="H537" s="2" t="str">
        <f ca="1">IFERROR(__xludf.DUMMYFUNCTION("""COMPUTED_VALUE"""),"8GB")</f>
        <v>8GB</v>
      </c>
      <c r="I537" s="2" t="str">
        <f ca="1">IFERROR(__xludf.DUMMYFUNCTION("""COMPUTED_VALUE"""),"1TB HDD")</f>
        <v>1TB HDD</v>
      </c>
      <c r="J537" s="2" t="str">
        <f ca="1">IFERROR(__xludf.DUMMYFUNCTION("""COMPUTED_VALUE"""),"AMD Radeon R7 M445")</f>
        <v>AMD Radeon R7 M445</v>
      </c>
      <c r="K537" s="2" t="str">
        <f ca="1">IFERROR(__xludf.DUMMYFUNCTION("""COMPUTED_VALUE"""),"Windows 10")</f>
        <v>Windows 10</v>
      </c>
      <c r="L537" s="2" t="str">
        <f ca="1">IFERROR(__xludf.DUMMYFUNCTION("""COMPUTED_VALUE"""),"2.36kg")</f>
        <v>2.36kg</v>
      </c>
      <c r="M537" s="2">
        <f ca="1">IFERROR(__xludf.DUMMYFUNCTION("""COMPUTED_VALUE"""),638.8)</f>
        <v>638.79999999999995</v>
      </c>
    </row>
    <row r="538" spans="1:13">
      <c r="A538" s="2">
        <f ca="1">IFERROR(__xludf.DUMMYFUNCTION("""COMPUTED_VALUE"""),1112)</f>
        <v>1112</v>
      </c>
      <c r="B538" s="2" t="str">
        <f ca="1">IFERROR(__xludf.DUMMYFUNCTION("""COMPUTED_VALUE"""),"MSI")</f>
        <v>MSI</v>
      </c>
      <c r="C538" s="2" t="str">
        <f ca="1">IFERROR(__xludf.DUMMYFUNCTION("""COMPUTED_VALUE"""),"GS70 Stealth")</f>
        <v>GS70 Stealth</v>
      </c>
      <c r="D538" s="2" t="str">
        <f ca="1">IFERROR(__xludf.DUMMYFUNCTION("""COMPUTED_VALUE"""),"Gaming")</f>
        <v>Gaming</v>
      </c>
      <c r="E538" s="2">
        <f ca="1">IFERROR(__xludf.DUMMYFUNCTION("""COMPUTED_VALUE"""),17.3)</f>
        <v>17.3</v>
      </c>
      <c r="F538" s="2" t="str">
        <f ca="1">IFERROR(__xludf.DUMMYFUNCTION("""COMPUTED_VALUE"""),"Full HD 1920x1080")</f>
        <v>Full HD 1920x1080</v>
      </c>
      <c r="G538" s="2" t="str">
        <f ca="1">IFERROR(__xludf.DUMMYFUNCTION("""COMPUTED_VALUE"""),"Intel Core i7 6700HQ 2.6GHz")</f>
        <v>Intel Core i7 6700HQ 2.6GHz</v>
      </c>
      <c r="H538" s="2" t="str">
        <f ca="1">IFERROR(__xludf.DUMMYFUNCTION("""COMPUTED_VALUE"""),"8GB")</f>
        <v>8GB</v>
      </c>
      <c r="I538" s="2" t="str">
        <f ca="1">IFERROR(__xludf.DUMMYFUNCTION("""COMPUTED_VALUE"""),"256GB SSD")</f>
        <v>256GB SSD</v>
      </c>
      <c r="J538" s="2" t="str">
        <f ca="1">IFERROR(__xludf.DUMMYFUNCTION("""COMPUTED_VALUE"""),"Nvidia GeForce GTX 965M")</f>
        <v>Nvidia GeForce GTX 965M</v>
      </c>
      <c r="K538" s="2" t="str">
        <f ca="1">IFERROR(__xludf.DUMMYFUNCTION("""COMPUTED_VALUE"""),"Windows 10")</f>
        <v>Windows 10</v>
      </c>
      <c r="L538" s="2" t="str">
        <f ca="1">IFERROR(__xludf.DUMMYFUNCTION("""COMPUTED_VALUE"""),"2.6kg")</f>
        <v>2.6kg</v>
      </c>
      <c r="M538" s="2">
        <f ca="1">IFERROR(__xludf.DUMMYFUNCTION("""COMPUTED_VALUE"""),1599)</f>
        <v>1599</v>
      </c>
    </row>
    <row r="539" spans="1:13">
      <c r="A539" s="2">
        <f ca="1">IFERROR(__xludf.DUMMYFUNCTION("""COMPUTED_VALUE"""),1118)</f>
        <v>1118</v>
      </c>
      <c r="B539" s="2" t="str">
        <f ca="1">IFERROR(__xludf.DUMMYFUNCTION("""COMPUTED_VALUE"""),"HP")</f>
        <v>HP</v>
      </c>
      <c r="C539" s="2" t="str">
        <f ca="1">IFERROR(__xludf.DUMMYFUNCTION("""COMPUTED_VALUE"""),"ZBook 17")</f>
        <v>ZBook 17</v>
      </c>
      <c r="D539" s="2" t="str">
        <f ca="1">IFERROR(__xludf.DUMMYFUNCTION("""COMPUTED_VALUE"""),"Workstation")</f>
        <v>Workstation</v>
      </c>
      <c r="E539" s="2">
        <f ca="1">IFERROR(__xludf.DUMMYFUNCTION("""COMPUTED_VALUE"""),17.3)</f>
        <v>17.3</v>
      </c>
      <c r="F539" s="2" t="str">
        <f ca="1">IFERROR(__xludf.DUMMYFUNCTION("""COMPUTED_VALUE"""),"IPS Panel Full HD 1920x1080")</f>
        <v>IPS Panel Full HD 1920x1080</v>
      </c>
      <c r="G539" s="2" t="str">
        <f ca="1">IFERROR(__xludf.DUMMYFUNCTION("""COMPUTED_VALUE"""),"Intel Core i7 6700HQ 2.6GHz")</f>
        <v>Intel Core i7 6700HQ 2.6GHz</v>
      </c>
      <c r="H539" s="2" t="str">
        <f ca="1">IFERROR(__xludf.DUMMYFUNCTION("""COMPUTED_VALUE"""),"8GB")</f>
        <v>8GB</v>
      </c>
      <c r="I539" s="2" t="str">
        <f ca="1">IFERROR(__xludf.DUMMYFUNCTION("""COMPUTED_VALUE"""),"1TB HDD")</f>
        <v>1TB HDD</v>
      </c>
      <c r="J539" s="2" t="str">
        <f ca="1">IFERROR(__xludf.DUMMYFUNCTION("""COMPUTED_VALUE"""),"AMD FirePro W6150M")</f>
        <v>AMD FirePro W6150M</v>
      </c>
      <c r="K539" s="2" t="str">
        <f ca="1">IFERROR(__xludf.DUMMYFUNCTION("""COMPUTED_VALUE"""),"Windows 7")</f>
        <v>Windows 7</v>
      </c>
      <c r="L539" s="2" t="str">
        <f ca="1">IFERROR(__xludf.DUMMYFUNCTION("""COMPUTED_VALUE"""),"3.0kg")</f>
        <v>3.0kg</v>
      </c>
      <c r="M539" s="2">
        <f ca="1">IFERROR(__xludf.DUMMYFUNCTION("""COMPUTED_VALUE"""),2899)</f>
        <v>2899</v>
      </c>
    </row>
    <row r="540" spans="1:13">
      <c r="A540" s="2">
        <f ca="1">IFERROR(__xludf.DUMMYFUNCTION("""COMPUTED_VALUE"""),1120)</f>
        <v>1120</v>
      </c>
      <c r="B540" s="2" t="str">
        <f ca="1">IFERROR(__xludf.DUMMYFUNCTION("""COMPUTED_VALUE"""),"Dell")</f>
        <v>Dell</v>
      </c>
      <c r="C540" s="2" t="str">
        <f ca="1">IFERROR(__xludf.DUMMYFUNCTION("""COMPUTED_VALUE"""),"Latitude E5270")</f>
        <v>Latitude E5270</v>
      </c>
      <c r="D540" s="2" t="str">
        <f ca="1">IFERROR(__xludf.DUMMYFUNCTION("""COMPUTED_VALUE"""),"Ultrabook")</f>
        <v>Ultrabook</v>
      </c>
      <c r="E540" s="2">
        <f ca="1">IFERROR(__xludf.DUMMYFUNCTION("""COMPUTED_VALUE"""),12.5)</f>
        <v>12.5</v>
      </c>
      <c r="F540" s="2" t="str">
        <f ca="1">IFERROR(__xludf.DUMMYFUNCTION("""COMPUTED_VALUE"""),"1366x768")</f>
        <v>1366x768</v>
      </c>
      <c r="G540" s="2" t="str">
        <f ca="1">IFERROR(__xludf.DUMMYFUNCTION("""COMPUTED_VALUE"""),"Intel Core i5 6200U 2.3GHz")</f>
        <v>Intel Core i5 6200U 2.3GHz</v>
      </c>
      <c r="H540" s="2" t="str">
        <f ca="1">IFERROR(__xludf.DUMMYFUNCTION("""COMPUTED_VALUE"""),"8GB")</f>
        <v>8GB</v>
      </c>
      <c r="I540" s="2" t="str">
        <f ca="1">IFERROR(__xludf.DUMMYFUNCTION("""COMPUTED_VALUE"""),"256GB SSD")</f>
        <v>256GB SSD</v>
      </c>
      <c r="J540" s="2" t="str">
        <f ca="1">IFERROR(__xludf.DUMMYFUNCTION("""COMPUTED_VALUE"""),"Intel HD Graphics 520")</f>
        <v>Intel HD Graphics 520</v>
      </c>
      <c r="K540" s="2" t="str">
        <f ca="1">IFERROR(__xludf.DUMMYFUNCTION("""COMPUTED_VALUE"""),"Windows 7")</f>
        <v>Windows 7</v>
      </c>
      <c r="L540" s="2" t="str">
        <f ca="1">IFERROR(__xludf.DUMMYFUNCTION("""COMPUTED_VALUE"""),"1.5kg")</f>
        <v>1.5kg</v>
      </c>
      <c r="M540" s="2">
        <f ca="1">IFERROR(__xludf.DUMMYFUNCTION("""COMPUTED_VALUE"""),1413.1)</f>
        <v>1413.1</v>
      </c>
    </row>
    <row r="541" spans="1:13">
      <c r="A541" s="2">
        <f ca="1">IFERROR(__xludf.DUMMYFUNCTION("""COMPUTED_VALUE"""),1121)</f>
        <v>1121</v>
      </c>
      <c r="B541" s="2" t="str">
        <f ca="1">IFERROR(__xludf.DUMMYFUNCTION("""COMPUTED_VALUE"""),"MSI")</f>
        <v>MSI</v>
      </c>
      <c r="C541" s="2" t="str">
        <f ca="1">IFERROR(__xludf.DUMMYFUNCTION("""COMPUTED_VALUE"""),"GE72 Apache")</f>
        <v>GE72 Apache</v>
      </c>
      <c r="D541" s="2" t="str">
        <f ca="1">IFERROR(__xludf.DUMMYFUNCTION("""COMPUTED_VALUE"""),"Gaming")</f>
        <v>Gaming</v>
      </c>
      <c r="E541" s="2">
        <f ca="1">IFERROR(__xludf.DUMMYFUNCTION("""COMPUTED_VALUE"""),17.3)</f>
        <v>17.3</v>
      </c>
      <c r="F541" s="2" t="str">
        <f ca="1">IFERROR(__xludf.DUMMYFUNCTION("""COMPUTED_VALUE"""),"Full HD 1920x1080")</f>
        <v>Full HD 1920x1080</v>
      </c>
      <c r="G541" s="2" t="str">
        <f ca="1">IFERROR(__xludf.DUMMYFUNCTION("""COMPUTED_VALUE"""),"Intel Core i7 6700HQ 2.6GHz")</f>
        <v>Intel Core i7 6700HQ 2.6GHz</v>
      </c>
      <c r="H541" s="2" t="str">
        <f ca="1">IFERROR(__xludf.DUMMYFUNCTION("""COMPUTED_VALUE"""),"8GB")</f>
        <v>8GB</v>
      </c>
      <c r="I541" s="2" t="str">
        <f ca="1">IFERROR(__xludf.DUMMYFUNCTION("""COMPUTED_VALUE"""),"128GB SSD +  1TB HDD")</f>
        <v>128GB SSD +  1TB HDD</v>
      </c>
      <c r="J541" s="2" t="str">
        <f ca="1">IFERROR(__xludf.DUMMYFUNCTION("""COMPUTED_VALUE"""),"Nvidia GeForce GTX 960M")</f>
        <v>Nvidia GeForce GTX 960M</v>
      </c>
      <c r="K541" s="2" t="str">
        <f ca="1">IFERROR(__xludf.DUMMYFUNCTION("""COMPUTED_VALUE"""),"Windows 10")</f>
        <v>Windows 10</v>
      </c>
      <c r="L541" s="2" t="str">
        <f ca="1">IFERROR(__xludf.DUMMYFUNCTION("""COMPUTED_VALUE"""),"2.9kg")</f>
        <v>2.9kg</v>
      </c>
      <c r="M541" s="2">
        <f ca="1">IFERROR(__xludf.DUMMYFUNCTION("""COMPUTED_VALUE"""),1511.19)</f>
        <v>1511.19</v>
      </c>
    </row>
    <row r="542" spans="1:13">
      <c r="A542" s="2">
        <f ca="1">IFERROR(__xludf.DUMMYFUNCTION("""COMPUTED_VALUE"""),1125)</f>
        <v>1125</v>
      </c>
      <c r="B542" s="2" t="str">
        <f ca="1">IFERROR(__xludf.DUMMYFUNCTION("""COMPUTED_VALUE"""),"HP")</f>
        <v>HP</v>
      </c>
      <c r="C542" s="2" t="str">
        <f ca="1">IFERROR(__xludf.DUMMYFUNCTION("""COMPUTED_VALUE"""),"EliteBook 1030")</f>
        <v>EliteBook 1030</v>
      </c>
      <c r="D542" s="2" t="str">
        <f ca="1">IFERROR(__xludf.DUMMYFUNCTION("""COMPUTED_VALUE"""),"Notebook")</f>
        <v>Notebook</v>
      </c>
      <c r="E542" s="2">
        <f ca="1">IFERROR(__xludf.DUMMYFUNCTION("""COMPUTED_VALUE"""),13.3)</f>
        <v>13.3</v>
      </c>
      <c r="F542" s="2" t="str">
        <f ca="1">IFERROR(__xludf.DUMMYFUNCTION("""COMPUTED_VALUE"""),"Quad HD+ / Touchscreen 3200x1800")</f>
        <v>Quad HD+ / Touchscreen 3200x1800</v>
      </c>
      <c r="G542" s="2" t="str">
        <f ca="1">IFERROR(__xludf.DUMMYFUNCTION("""COMPUTED_VALUE"""),"Intel Core M 6Y54 1.1GHz")</f>
        <v>Intel Core M 6Y54 1.1GHz</v>
      </c>
      <c r="H542" s="2" t="str">
        <f ca="1">IFERROR(__xludf.DUMMYFUNCTION("""COMPUTED_VALUE"""),"8GB")</f>
        <v>8GB</v>
      </c>
      <c r="I542" s="2" t="str">
        <f ca="1">IFERROR(__xludf.DUMMYFUNCTION("""COMPUTED_VALUE"""),"256GB SSD")</f>
        <v>256GB SSD</v>
      </c>
      <c r="J542" s="2" t="str">
        <f ca="1">IFERROR(__xludf.DUMMYFUNCTION("""COMPUTED_VALUE"""),"Intel HD Graphics 515")</f>
        <v>Intel HD Graphics 515</v>
      </c>
      <c r="K542" s="2" t="str">
        <f ca="1">IFERROR(__xludf.DUMMYFUNCTION("""COMPUTED_VALUE"""),"Windows 10")</f>
        <v>Windows 10</v>
      </c>
      <c r="L542" s="2" t="str">
        <f ca="1">IFERROR(__xludf.DUMMYFUNCTION("""COMPUTED_VALUE"""),"1.16kg")</f>
        <v>1.16kg</v>
      </c>
      <c r="M542" s="2">
        <f ca="1">IFERROR(__xludf.DUMMYFUNCTION("""COMPUTED_VALUE"""),1699)</f>
        <v>1699</v>
      </c>
    </row>
    <row r="543" spans="1:13">
      <c r="A543" s="2">
        <f ca="1">IFERROR(__xludf.DUMMYFUNCTION("""COMPUTED_VALUE"""),1128)</f>
        <v>1128</v>
      </c>
      <c r="B543" s="2" t="str">
        <f ca="1">IFERROR(__xludf.DUMMYFUNCTION("""COMPUTED_VALUE"""),"HP")</f>
        <v>HP</v>
      </c>
      <c r="C543" s="2" t="str">
        <f ca="1">IFERROR(__xludf.DUMMYFUNCTION("""COMPUTED_VALUE"""),"Spectre Pro")</f>
        <v>Spectre Pro</v>
      </c>
      <c r="D543" s="2" t="str">
        <f ca="1">IFERROR(__xludf.DUMMYFUNCTION("""COMPUTED_VALUE"""),"Ultrabook")</f>
        <v>Ultrabook</v>
      </c>
      <c r="E543" s="2">
        <f ca="1">IFERROR(__xludf.DUMMYFUNCTION("""COMPUTED_VALUE"""),13.3)</f>
        <v>13.3</v>
      </c>
      <c r="F543" s="2" t="str">
        <f ca="1">IFERROR(__xludf.DUMMYFUNCTION("""COMPUTED_VALUE"""),"Full HD 1920x1080")</f>
        <v>Full HD 1920x1080</v>
      </c>
      <c r="G543" s="2" t="str">
        <f ca="1">IFERROR(__xludf.DUMMYFUNCTION("""COMPUTED_VALUE"""),"Intel Core i7 6500U 2.5GHz")</f>
        <v>Intel Core i7 6500U 2.5GHz</v>
      </c>
      <c r="H543" s="2" t="str">
        <f ca="1">IFERROR(__xludf.DUMMYFUNCTION("""COMPUTED_VALUE"""),"8GB")</f>
        <v>8GB</v>
      </c>
      <c r="I543" s="2" t="str">
        <f ca="1">IFERROR(__xludf.DUMMYFUNCTION("""COMPUTED_VALUE"""),"512GB SSD")</f>
        <v>512GB SSD</v>
      </c>
      <c r="J543" s="2" t="str">
        <f ca="1">IFERROR(__xludf.DUMMYFUNCTION("""COMPUTED_VALUE"""),"Intel HD Graphics 520")</f>
        <v>Intel HD Graphics 520</v>
      </c>
      <c r="K543" s="2" t="str">
        <f ca="1">IFERROR(__xludf.DUMMYFUNCTION("""COMPUTED_VALUE"""),"Windows 10")</f>
        <v>Windows 10</v>
      </c>
      <c r="L543" s="2" t="str">
        <f ca="1">IFERROR(__xludf.DUMMYFUNCTION("""COMPUTED_VALUE"""),"1.16kg")</f>
        <v>1.16kg</v>
      </c>
      <c r="M543" s="2">
        <f ca="1">IFERROR(__xludf.DUMMYFUNCTION("""COMPUTED_VALUE"""),1969)</f>
        <v>1969</v>
      </c>
    </row>
    <row r="544" spans="1:13">
      <c r="A544" s="2">
        <f ca="1">IFERROR(__xludf.DUMMYFUNCTION("""COMPUTED_VALUE"""),1130)</f>
        <v>1130</v>
      </c>
      <c r="B544" s="2" t="str">
        <f ca="1">IFERROR(__xludf.DUMMYFUNCTION("""COMPUTED_VALUE"""),"Dell")</f>
        <v>Dell</v>
      </c>
      <c r="C544" s="2" t="str">
        <f ca="1">IFERROR(__xludf.DUMMYFUNCTION("""COMPUTED_VALUE"""),"XPS 13")</f>
        <v>XPS 13</v>
      </c>
      <c r="D544" s="2" t="str">
        <f ca="1">IFERROR(__xludf.DUMMYFUNCTION("""COMPUTED_VALUE"""),"Ultrabook")</f>
        <v>Ultrabook</v>
      </c>
      <c r="E544" s="2">
        <f ca="1">IFERROR(__xludf.DUMMYFUNCTION("""COMPUTED_VALUE"""),13.3)</f>
        <v>13.3</v>
      </c>
      <c r="F544" s="2" t="str">
        <f ca="1">IFERROR(__xludf.DUMMYFUNCTION("""COMPUTED_VALUE"""),"Full HD 1920x1080")</f>
        <v>Full HD 1920x1080</v>
      </c>
      <c r="G544" s="2" t="str">
        <f ca="1">IFERROR(__xludf.DUMMYFUNCTION("""COMPUTED_VALUE"""),"Intel Core i7 7560U 2.4GHz")</f>
        <v>Intel Core i7 7560U 2.4GHz</v>
      </c>
      <c r="H544" s="2" t="str">
        <f ca="1">IFERROR(__xludf.DUMMYFUNCTION("""COMPUTED_VALUE"""),"8GB")</f>
        <v>8GB</v>
      </c>
      <c r="I544" s="2" t="str">
        <f ca="1">IFERROR(__xludf.DUMMYFUNCTION("""COMPUTED_VALUE"""),"256GB SSD")</f>
        <v>256GB SSD</v>
      </c>
      <c r="J544" s="2" t="str">
        <f ca="1">IFERROR(__xludf.DUMMYFUNCTION("""COMPUTED_VALUE"""),"Intel Iris Plus Graphics 640")</f>
        <v>Intel Iris Plus Graphics 640</v>
      </c>
      <c r="K544" s="2" t="str">
        <f ca="1">IFERROR(__xludf.DUMMYFUNCTION("""COMPUTED_VALUE"""),"Windows 10")</f>
        <v>Windows 10</v>
      </c>
      <c r="L544" s="2" t="str">
        <f ca="1">IFERROR(__xludf.DUMMYFUNCTION("""COMPUTED_VALUE"""),"1.23kg")</f>
        <v>1.23kg</v>
      </c>
      <c r="M544" s="2">
        <f ca="1">IFERROR(__xludf.DUMMYFUNCTION("""COMPUTED_VALUE"""),1379)</f>
        <v>1379</v>
      </c>
    </row>
    <row r="545" spans="1:13">
      <c r="A545" s="2">
        <f ca="1">IFERROR(__xludf.DUMMYFUNCTION("""COMPUTED_VALUE"""),1132)</f>
        <v>1132</v>
      </c>
      <c r="B545" s="2" t="str">
        <f ca="1">IFERROR(__xludf.DUMMYFUNCTION("""COMPUTED_VALUE"""),"Razer")</f>
        <v>Razer</v>
      </c>
      <c r="C545" s="2" t="str">
        <f ca="1">IFERROR(__xludf.DUMMYFUNCTION("""COMPUTED_VALUE"""),"Blade Stealth")</f>
        <v>Blade Stealth</v>
      </c>
      <c r="D545" s="2" t="str">
        <f ca="1">IFERROR(__xludf.DUMMYFUNCTION("""COMPUTED_VALUE"""),"Ultrabook")</f>
        <v>Ultrabook</v>
      </c>
      <c r="E545" s="2">
        <f ca="1">IFERROR(__xludf.DUMMYFUNCTION("""COMPUTED_VALUE"""),12.5)</f>
        <v>12.5</v>
      </c>
      <c r="F545" s="2" t="str">
        <f ca="1">IFERROR(__xludf.DUMMYFUNCTION("""COMPUTED_VALUE"""),"Touchscreen / 4K Ultra HD 3840x2160")</f>
        <v>Touchscreen / 4K Ultra HD 3840x2160</v>
      </c>
      <c r="G545" s="2" t="str">
        <f ca="1">IFERROR(__xludf.DUMMYFUNCTION("""COMPUTED_VALUE"""),"Intel Core i7 6500U 2.5GHz")</f>
        <v>Intel Core i7 6500U 2.5GHz</v>
      </c>
      <c r="H545" s="2" t="str">
        <f ca="1">IFERROR(__xludf.DUMMYFUNCTION("""COMPUTED_VALUE"""),"8GB")</f>
        <v>8GB</v>
      </c>
      <c r="I545" s="2" t="str">
        <f ca="1">IFERROR(__xludf.DUMMYFUNCTION("""COMPUTED_VALUE"""),"256GB SSD")</f>
        <v>256GB SSD</v>
      </c>
      <c r="J545" s="2" t="str">
        <f ca="1">IFERROR(__xludf.DUMMYFUNCTION("""COMPUTED_VALUE"""),"Intel HD Graphics 520")</f>
        <v>Intel HD Graphics 520</v>
      </c>
      <c r="K545" s="2" t="str">
        <f ca="1">IFERROR(__xludf.DUMMYFUNCTION("""COMPUTED_VALUE"""),"Windows 10")</f>
        <v>Windows 10</v>
      </c>
      <c r="L545" s="2" t="str">
        <f ca="1">IFERROR(__xludf.DUMMYFUNCTION("""COMPUTED_VALUE"""),"1.25kg")</f>
        <v>1.25kg</v>
      </c>
      <c r="M545" s="2">
        <f ca="1">IFERROR(__xludf.DUMMYFUNCTION("""COMPUTED_VALUE"""),1029)</f>
        <v>1029</v>
      </c>
    </row>
    <row r="546" spans="1:13">
      <c r="A546" s="2">
        <f ca="1">IFERROR(__xludf.DUMMYFUNCTION("""COMPUTED_VALUE"""),1134)</f>
        <v>1134</v>
      </c>
      <c r="B546" s="2" t="str">
        <f ca="1">IFERROR(__xludf.DUMMYFUNCTION("""COMPUTED_VALUE"""),"Asus")</f>
        <v>Asus</v>
      </c>
      <c r="C546" s="2" t="str">
        <f ca="1">IFERROR(__xludf.DUMMYFUNCTION("""COMPUTED_VALUE"""),"Rog GL752VW-T4308T")</f>
        <v>Rog GL752VW-T4308T</v>
      </c>
      <c r="D546" s="2" t="str">
        <f ca="1">IFERROR(__xludf.DUMMYFUNCTION("""COMPUTED_VALUE"""),"Gaming")</f>
        <v>Gaming</v>
      </c>
      <c r="E546" s="2">
        <f ca="1">IFERROR(__xludf.DUMMYFUNCTION("""COMPUTED_VALUE"""),17.3)</f>
        <v>17.3</v>
      </c>
      <c r="F546" s="2" t="str">
        <f ca="1">IFERROR(__xludf.DUMMYFUNCTION("""COMPUTED_VALUE"""),"Full HD 1920x1080")</f>
        <v>Full HD 1920x1080</v>
      </c>
      <c r="G546" s="2" t="str">
        <f ca="1">IFERROR(__xludf.DUMMYFUNCTION("""COMPUTED_VALUE"""),"Intel Core i7 6700HQ 2.6GHz")</f>
        <v>Intel Core i7 6700HQ 2.6GHz</v>
      </c>
      <c r="H546" s="2" t="str">
        <f ca="1">IFERROR(__xludf.DUMMYFUNCTION("""COMPUTED_VALUE"""),"8GB")</f>
        <v>8GB</v>
      </c>
      <c r="I546" s="2" t="str">
        <f ca="1">IFERROR(__xludf.DUMMYFUNCTION("""COMPUTED_VALUE"""),"128GB SSD +  1TB HDD")</f>
        <v>128GB SSD +  1TB HDD</v>
      </c>
      <c r="J546" s="2" t="str">
        <f ca="1">IFERROR(__xludf.DUMMYFUNCTION("""COMPUTED_VALUE"""),"Nvidia GeForce GTX 960M")</f>
        <v>Nvidia GeForce GTX 960M</v>
      </c>
      <c r="K546" s="2" t="str">
        <f ca="1">IFERROR(__xludf.DUMMYFUNCTION("""COMPUTED_VALUE"""),"Windows 10")</f>
        <v>Windows 10</v>
      </c>
      <c r="L546" s="2" t="str">
        <f ca="1">IFERROR(__xludf.DUMMYFUNCTION("""COMPUTED_VALUE"""),"3.52kg")</f>
        <v>3.52kg</v>
      </c>
      <c r="M546" s="2">
        <f ca="1">IFERROR(__xludf.DUMMYFUNCTION("""COMPUTED_VALUE"""),1312.49)</f>
        <v>1312.49</v>
      </c>
    </row>
    <row r="547" spans="1:13">
      <c r="A547" s="2">
        <f ca="1">IFERROR(__xludf.DUMMYFUNCTION("""COMPUTED_VALUE"""),1136)</f>
        <v>1136</v>
      </c>
      <c r="B547" s="2" t="str">
        <f ca="1">IFERROR(__xludf.DUMMYFUNCTION("""COMPUTED_VALUE"""),"HP")</f>
        <v>HP</v>
      </c>
      <c r="C547" s="2" t="str">
        <f ca="1">IFERROR(__xludf.DUMMYFUNCTION("""COMPUTED_VALUE"""),"Spectre Pro")</f>
        <v>Spectre Pro</v>
      </c>
      <c r="D547" s="2" t="str">
        <f ca="1">IFERROR(__xludf.DUMMYFUNCTION("""COMPUTED_VALUE"""),"Notebook")</f>
        <v>Notebook</v>
      </c>
      <c r="E547" s="2">
        <f ca="1">IFERROR(__xludf.DUMMYFUNCTION("""COMPUTED_VALUE"""),13.3)</f>
        <v>13.3</v>
      </c>
      <c r="F547" s="2" t="str">
        <f ca="1">IFERROR(__xludf.DUMMYFUNCTION("""COMPUTED_VALUE"""),"Full HD 1920x1080")</f>
        <v>Full HD 1920x1080</v>
      </c>
      <c r="G547" s="2" t="str">
        <f ca="1">IFERROR(__xludf.DUMMYFUNCTION("""COMPUTED_VALUE"""),"Intel Core i5 6200U 2.3GHz")</f>
        <v>Intel Core i5 6200U 2.3GHz</v>
      </c>
      <c r="H547" s="2" t="str">
        <f ca="1">IFERROR(__xludf.DUMMYFUNCTION("""COMPUTED_VALUE"""),"8GB")</f>
        <v>8GB</v>
      </c>
      <c r="I547" s="2" t="str">
        <f ca="1">IFERROR(__xludf.DUMMYFUNCTION("""COMPUTED_VALUE"""),"256GB SSD")</f>
        <v>256GB SSD</v>
      </c>
      <c r="J547" s="2" t="str">
        <f ca="1">IFERROR(__xludf.DUMMYFUNCTION("""COMPUTED_VALUE"""),"Intel HD Graphics 520")</f>
        <v>Intel HD Graphics 520</v>
      </c>
      <c r="K547" s="2" t="str">
        <f ca="1">IFERROR(__xludf.DUMMYFUNCTION("""COMPUTED_VALUE"""),"Windows 10")</f>
        <v>Windows 10</v>
      </c>
      <c r="L547" s="2" t="str">
        <f ca="1">IFERROR(__xludf.DUMMYFUNCTION("""COMPUTED_VALUE"""),"1.16kg")</f>
        <v>1.16kg</v>
      </c>
      <c r="M547" s="2">
        <f ca="1">IFERROR(__xludf.DUMMYFUNCTION("""COMPUTED_VALUE"""),1690)</f>
        <v>1690</v>
      </c>
    </row>
    <row r="548" spans="1:13">
      <c r="A548" s="2">
        <f ca="1">IFERROR(__xludf.DUMMYFUNCTION("""COMPUTED_VALUE"""),1137)</f>
        <v>1137</v>
      </c>
      <c r="B548" s="2" t="str">
        <f ca="1">IFERROR(__xludf.DUMMYFUNCTION("""COMPUTED_VALUE"""),"HP")</f>
        <v>HP</v>
      </c>
      <c r="C548" s="2" t="str">
        <f ca="1">IFERROR(__xludf.DUMMYFUNCTION("""COMPUTED_VALUE"""),"EliteBook 1040")</f>
        <v>EliteBook 1040</v>
      </c>
      <c r="D548" s="2" t="str">
        <f ca="1">IFERROR(__xludf.DUMMYFUNCTION("""COMPUTED_VALUE"""),"Notebook")</f>
        <v>Notebook</v>
      </c>
      <c r="E548" s="2">
        <f ca="1">IFERROR(__xludf.DUMMYFUNCTION("""COMPUTED_VALUE"""),14)</f>
        <v>14</v>
      </c>
      <c r="F548" s="2" t="str">
        <f ca="1">IFERROR(__xludf.DUMMYFUNCTION("""COMPUTED_VALUE"""),"Full HD 1920x1080")</f>
        <v>Full HD 1920x1080</v>
      </c>
      <c r="G548" s="2" t="str">
        <f ca="1">IFERROR(__xludf.DUMMYFUNCTION("""COMPUTED_VALUE"""),"Intel Core i5 6200U 2.3GHz")</f>
        <v>Intel Core i5 6200U 2.3GHz</v>
      </c>
      <c r="H548" s="2" t="str">
        <f ca="1">IFERROR(__xludf.DUMMYFUNCTION("""COMPUTED_VALUE"""),"8GB")</f>
        <v>8GB</v>
      </c>
      <c r="I548" s="2" t="str">
        <f ca="1">IFERROR(__xludf.DUMMYFUNCTION("""COMPUTED_VALUE"""),"256GB SSD")</f>
        <v>256GB SSD</v>
      </c>
      <c r="J548" s="2" t="str">
        <f ca="1">IFERROR(__xludf.DUMMYFUNCTION("""COMPUTED_VALUE"""),"Intel HD Graphics 520")</f>
        <v>Intel HD Graphics 520</v>
      </c>
      <c r="K548" s="2" t="str">
        <f ca="1">IFERROR(__xludf.DUMMYFUNCTION("""COMPUTED_VALUE"""),"Windows 7")</f>
        <v>Windows 7</v>
      </c>
      <c r="L548" s="2" t="str">
        <f ca="1">IFERROR(__xludf.DUMMYFUNCTION("""COMPUTED_VALUE"""),"1.43kg")</f>
        <v>1.43kg</v>
      </c>
      <c r="M548" s="2">
        <f ca="1">IFERROR(__xludf.DUMMYFUNCTION("""COMPUTED_VALUE"""),1513)</f>
        <v>1513</v>
      </c>
    </row>
    <row r="549" spans="1:13">
      <c r="A549" s="2">
        <f ca="1">IFERROR(__xludf.DUMMYFUNCTION("""COMPUTED_VALUE"""),1140)</f>
        <v>1140</v>
      </c>
      <c r="B549" s="2" t="str">
        <f ca="1">IFERROR(__xludf.DUMMYFUNCTION("""COMPUTED_VALUE"""),"Lenovo")</f>
        <v>Lenovo</v>
      </c>
      <c r="C549" s="2" t="str">
        <f ca="1">IFERROR(__xludf.DUMMYFUNCTION("""COMPUTED_VALUE"""),"ThinkPad Yoga")</f>
        <v>ThinkPad Yoga</v>
      </c>
      <c r="D549" s="2" t="str">
        <f ca="1">IFERROR(__xludf.DUMMYFUNCTION("""COMPUTED_VALUE"""),"2 in 1 Convertible")</f>
        <v>2 in 1 Convertible</v>
      </c>
      <c r="E549" s="2">
        <f ca="1">IFERROR(__xludf.DUMMYFUNCTION("""COMPUTED_VALUE"""),14)</f>
        <v>14</v>
      </c>
      <c r="F549" s="2" t="str">
        <f ca="1">IFERROR(__xludf.DUMMYFUNCTION("""COMPUTED_VALUE"""),"IPS Panel Full HD / Touchscreen 1920x1080")</f>
        <v>IPS Panel Full HD / Touchscreen 1920x1080</v>
      </c>
      <c r="G549" s="2" t="str">
        <f ca="1">IFERROR(__xludf.DUMMYFUNCTION("""COMPUTED_VALUE"""),"Intel Core i7 6500U 2.5GHz")</f>
        <v>Intel Core i7 6500U 2.5GHz</v>
      </c>
      <c r="H549" s="2" t="str">
        <f ca="1">IFERROR(__xludf.DUMMYFUNCTION("""COMPUTED_VALUE"""),"8GB")</f>
        <v>8GB</v>
      </c>
      <c r="I549" s="2" t="str">
        <f ca="1">IFERROR(__xludf.DUMMYFUNCTION("""COMPUTED_VALUE"""),"256GB SSD")</f>
        <v>256GB SSD</v>
      </c>
      <c r="J549" s="2" t="str">
        <f ca="1">IFERROR(__xludf.DUMMYFUNCTION("""COMPUTED_VALUE"""),"Intel HD Graphics 520")</f>
        <v>Intel HD Graphics 520</v>
      </c>
      <c r="K549" s="2" t="str">
        <f ca="1">IFERROR(__xludf.DUMMYFUNCTION("""COMPUTED_VALUE"""),"Windows 10")</f>
        <v>Windows 10</v>
      </c>
      <c r="L549" s="2" t="str">
        <f ca="1">IFERROR(__xludf.DUMMYFUNCTION("""COMPUTED_VALUE"""),"1.8kg")</f>
        <v>1.8kg</v>
      </c>
      <c r="M549" s="2">
        <f ca="1">IFERROR(__xludf.DUMMYFUNCTION("""COMPUTED_VALUE"""),1669)</f>
        <v>1669</v>
      </c>
    </row>
    <row r="550" spans="1:13">
      <c r="A550" s="2">
        <f ca="1">IFERROR(__xludf.DUMMYFUNCTION("""COMPUTED_VALUE"""),1142)</f>
        <v>1142</v>
      </c>
      <c r="B550" s="2" t="str">
        <f ca="1">IFERROR(__xludf.DUMMYFUNCTION("""COMPUTED_VALUE"""),"HP")</f>
        <v>HP</v>
      </c>
      <c r="C550" s="2" t="str">
        <f ca="1">IFERROR(__xludf.DUMMYFUNCTION("""COMPUTED_VALUE"""),"EliteBook 820")</f>
        <v>EliteBook 820</v>
      </c>
      <c r="D550" s="2" t="str">
        <f ca="1">IFERROR(__xludf.DUMMYFUNCTION("""COMPUTED_VALUE"""),"Ultrabook")</f>
        <v>Ultrabook</v>
      </c>
      <c r="E550" s="2">
        <f ca="1">IFERROR(__xludf.DUMMYFUNCTION("""COMPUTED_VALUE"""),12.5)</f>
        <v>12.5</v>
      </c>
      <c r="F550" s="2" t="str">
        <f ca="1">IFERROR(__xludf.DUMMYFUNCTION("""COMPUTED_VALUE"""),"1366x768")</f>
        <v>1366x768</v>
      </c>
      <c r="G550" s="2" t="str">
        <f ca="1">IFERROR(__xludf.DUMMYFUNCTION("""COMPUTED_VALUE"""),"Intel Core i5 6300U 2.4GHz")</f>
        <v>Intel Core i5 6300U 2.4GHz</v>
      </c>
      <c r="H550" s="2" t="str">
        <f ca="1">IFERROR(__xludf.DUMMYFUNCTION("""COMPUTED_VALUE"""),"8GB")</f>
        <v>8GB</v>
      </c>
      <c r="I550" s="2" t="str">
        <f ca="1">IFERROR(__xludf.DUMMYFUNCTION("""COMPUTED_VALUE"""),"256GB SSD")</f>
        <v>256GB SSD</v>
      </c>
      <c r="J550" s="2" t="str">
        <f ca="1">IFERROR(__xludf.DUMMYFUNCTION("""COMPUTED_VALUE"""),"Intel HD Graphics 520")</f>
        <v>Intel HD Graphics 520</v>
      </c>
      <c r="K550" s="2" t="str">
        <f ca="1">IFERROR(__xludf.DUMMYFUNCTION("""COMPUTED_VALUE"""),"Windows 7")</f>
        <v>Windows 7</v>
      </c>
      <c r="L550" s="2" t="str">
        <f ca="1">IFERROR(__xludf.DUMMYFUNCTION("""COMPUTED_VALUE"""),"1.26kg")</f>
        <v>1.26kg</v>
      </c>
      <c r="M550" s="2">
        <f ca="1">IFERROR(__xludf.DUMMYFUNCTION("""COMPUTED_VALUE"""),1895)</f>
        <v>1895</v>
      </c>
    </row>
    <row r="551" spans="1:13">
      <c r="A551" s="2">
        <f ca="1">IFERROR(__xludf.DUMMYFUNCTION("""COMPUTED_VALUE"""),1143)</f>
        <v>1143</v>
      </c>
      <c r="B551" s="2" t="str">
        <f ca="1">IFERROR(__xludf.DUMMYFUNCTION("""COMPUTED_VALUE"""),"Lenovo")</f>
        <v>Lenovo</v>
      </c>
      <c r="C551" s="2" t="str">
        <f ca="1">IFERROR(__xludf.DUMMYFUNCTION("""COMPUTED_VALUE"""),"Legion Y520-15IKBN")</f>
        <v>Legion Y520-15IKBN</v>
      </c>
      <c r="D551" s="2" t="str">
        <f ca="1">IFERROR(__xludf.DUMMYFUNCTION("""COMPUTED_VALUE"""),"Gaming")</f>
        <v>Gaming</v>
      </c>
      <c r="E551" s="2">
        <f ca="1">IFERROR(__xludf.DUMMYFUNCTION("""COMPUTED_VALUE"""),15.6)</f>
        <v>15.6</v>
      </c>
      <c r="F551" s="2" t="str">
        <f ca="1">IFERROR(__xludf.DUMMYFUNCTION("""COMPUTED_VALUE"""),"IPS Panel Full HD 1920x1080")</f>
        <v>IPS Panel Full HD 1920x1080</v>
      </c>
      <c r="G551" s="2" t="str">
        <f ca="1">IFERROR(__xludf.DUMMYFUNCTION("""COMPUTED_VALUE"""),"Intel Core i5 7300HQ 2.5GHz")</f>
        <v>Intel Core i5 7300HQ 2.5GHz</v>
      </c>
      <c r="H551" s="2" t="str">
        <f ca="1">IFERROR(__xludf.DUMMYFUNCTION("""COMPUTED_VALUE"""),"8GB")</f>
        <v>8GB</v>
      </c>
      <c r="I551" s="2" t="str">
        <f ca="1">IFERROR(__xludf.DUMMYFUNCTION("""COMPUTED_VALUE"""),"128GB SSD +  1TB HDD")</f>
        <v>128GB SSD +  1TB HDD</v>
      </c>
      <c r="J551" s="2" t="str">
        <f ca="1">IFERROR(__xludf.DUMMYFUNCTION("""COMPUTED_VALUE"""),"Nvidia GeForce GTX 1060")</f>
        <v>Nvidia GeForce GTX 1060</v>
      </c>
      <c r="K551" s="2" t="str">
        <f ca="1">IFERROR(__xludf.DUMMYFUNCTION("""COMPUTED_VALUE"""),"No OS")</f>
        <v>No OS</v>
      </c>
      <c r="L551" s="2" t="str">
        <f ca="1">IFERROR(__xludf.DUMMYFUNCTION("""COMPUTED_VALUE"""),"2.4kg")</f>
        <v>2.4kg</v>
      </c>
      <c r="M551" s="2">
        <f ca="1">IFERROR(__xludf.DUMMYFUNCTION("""COMPUTED_VALUE"""),989)</f>
        <v>989</v>
      </c>
    </row>
    <row r="552" spans="1:13">
      <c r="A552" s="2">
        <f ca="1">IFERROR(__xludf.DUMMYFUNCTION("""COMPUTED_VALUE"""),1144)</f>
        <v>1144</v>
      </c>
      <c r="B552" s="2" t="str">
        <f ca="1">IFERROR(__xludf.DUMMYFUNCTION("""COMPUTED_VALUE"""),"HP")</f>
        <v>HP</v>
      </c>
      <c r="C552" s="2" t="str">
        <f ca="1">IFERROR(__xludf.DUMMYFUNCTION("""COMPUTED_VALUE"""),"Omen -")</f>
        <v>Omen -</v>
      </c>
      <c r="D552" s="2" t="str">
        <f ca="1">IFERROR(__xludf.DUMMYFUNCTION("""COMPUTED_VALUE"""),"Gaming")</f>
        <v>Gaming</v>
      </c>
      <c r="E552" s="2">
        <f ca="1">IFERROR(__xludf.DUMMYFUNCTION("""COMPUTED_VALUE"""),17.3)</f>
        <v>17.3</v>
      </c>
      <c r="F552" s="2" t="str">
        <f ca="1">IFERROR(__xludf.DUMMYFUNCTION("""COMPUTED_VALUE"""),"IPS Panel Full HD 1920x1080")</f>
        <v>IPS Panel Full HD 1920x1080</v>
      </c>
      <c r="G552" s="2" t="str">
        <f ca="1">IFERROR(__xludf.DUMMYFUNCTION("""COMPUTED_VALUE"""),"Intel Core i5 6300HQ 2.3GHz")</f>
        <v>Intel Core i5 6300HQ 2.3GHz</v>
      </c>
      <c r="H552" s="2" t="str">
        <f ca="1">IFERROR(__xludf.DUMMYFUNCTION("""COMPUTED_VALUE"""),"8GB")</f>
        <v>8GB</v>
      </c>
      <c r="I552" s="2" t="str">
        <f ca="1">IFERROR(__xludf.DUMMYFUNCTION("""COMPUTED_VALUE"""),"128GB SSD +  1TB HDD")</f>
        <v>128GB SSD +  1TB HDD</v>
      </c>
      <c r="J552" s="2" t="str">
        <f ca="1">IFERROR(__xludf.DUMMYFUNCTION("""COMPUTED_VALUE"""),"Nvidia GeForce GTX 1060")</f>
        <v>Nvidia GeForce GTX 1060</v>
      </c>
      <c r="K552" s="2" t="str">
        <f ca="1">IFERROR(__xludf.DUMMYFUNCTION("""COMPUTED_VALUE"""),"Windows 10")</f>
        <v>Windows 10</v>
      </c>
      <c r="L552" s="2" t="str">
        <f ca="1">IFERROR(__xludf.DUMMYFUNCTION("""COMPUTED_VALUE"""),"3.35kg")</f>
        <v>3.35kg</v>
      </c>
      <c r="M552" s="2">
        <f ca="1">IFERROR(__xludf.DUMMYFUNCTION("""COMPUTED_VALUE"""),1129)</f>
        <v>1129</v>
      </c>
    </row>
    <row r="553" spans="1:13">
      <c r="A553" s="2">
        <f ca="1">IFERROR(__xludf.DUMMYFUNCTION("""COMPUTED_VALUE"""),1145)</f>
        <v>1145</v>
      </c>
      <c r="B553" s="2" t="str">
        <f ca="1">IFERROR(__xludf.DUMMYFUNCTION("""COMPUTED_VALUE"""),"HP")</f>
        <v>HP</v>
      </c>
      <c r="C553" s="2" t="str">
        <f ca="1">IFERROR(__xludf.DUMMYFUNCTION("""COMPUTED_VALUE"""),"15-bs078cl (i7-7500U/8GB/2TB/W10)")</f>
        <v>15-bs078cl (i7-7500U/8GB/2TB/W10)</v>
      </c>
      <c r="D553" s="2" t="str">
        <f ca="1">IFERROR(__xludf.DUMMYFUNCTION("""COMPUTED_VALUE"""),"Notebook")</f>
        <v>Notebook</v>
      </c>
      <c r="E553" s="2">
        <f ca="1">IFERROR(__xludf.DUMMYFUNCTION("""COMPUTED_VALUE"""),15.6)</f>
        <v>15.6</v>
      </c>
      <c r="F553" s="2" t="str">
        <f ca="1">IFERROR(__xludf.DUMMYFUNCTION("""COMPUTED_VALUE"""),"1366x768")</f>
        <v>1366x768</v>
      </c>
      <c r="G553" s="2" t="str">
        <f ca="1">IFERROR(__xludf.DUMMYFUNCTION("""COMPUTED_VALUE"""),"Intel Core i7 7500U 2.7GHz")</f>
        <v>Intel Core i7 7500U 2.7GHz</v>
      </c>
      <c r="H553" s="2" t="str">
        <f ca="1">IFERROR(__xludf.DUMMYFUNCTION("""COMPUTED_VALUE"""),"8GB")</f>
        <v>8GB</v>
      </c>
      <c r="I553" s="2" t="str">
        <f ca="1">IFERROR(__xludf.DUMMYFUNCTION("""COMPUTED_VALUE"""),"2TB HDD")</f>
        <v>2TB HDD</v>
      </c>
      <c r="J553" s="2" t="str">
        <f ca="1">IFERROR(__xludf.DUMMYFUNCTION("""COMPUTED_VALUE"""),"Intel HD Graphics 620")</f>
        <v>Intel HD Graphics 620</v>
      </c>
      <c r="K553" s="2" t="str">
        <f ca="1">IFERROR(__xludf.DUMMYFUNCTION("""COMPUTED_VALUE"""),"Windows 10")</f>
        <v>Windows 10</v>
      </c>
      <c r="L553" s="2" t="str">
        <f ca="1">IFERROR(__xludf.DUMMYFUNCTION("""COMPUTED_VALUE"""),"2.04kg")</f>
        <v>2.04kg</v>
      </c>
      <c r="M553" s="2">
        <f ca="1">IFERROR(__xludf.DUMMYFUNCTION("""COMPUTED_VALUE"""),629)</f>
        <v>629</v>
      </c>
    </row>
    <row r="554" spans="1:13">
      <c r="A554" s="2">
        <f ca="1">IFERROR(__xludf.DUMMYFUNCTION("""COMPUTED_VALUE"""),1146)</f>
        <v>1146</v>
      </c>
      <c r="B554" s="2" t="str">
        <f ca="1">IFERROR(__xludf.DUMMYFUNCTION("""COMPUTED_VALUE"""),"Lenovo")</f>
        <v>Lenovo</v>
      </c>
      <c r="C554" s="2" t="str">
        <f ca="1">IFERROR(__xludf.DUMMYFUNCTION("""COMPUTED_VALUE"""),"ThinkPad P40")</f>
        <v>ThinkPad P40</v>
      </c>
      <c r="D554" s="2" t="str">
        <f ca="1">IFERROR(__xludf.DUMMYFUNCTION("""COMPUTED_VALUE"""),"2 in 1 Convertible")</f>
        <v>2 in 1 Convertible</v>
      </c>
      <c r="E554" s="2">
        <f ca="1">IFERROR(__xludf.DUMMYFUNCTION("""COMPUTED_VALUE"""),14)</f>
        <v>14</v>
      </c>
      <c r="F554" s="2" t="str">
        <f ca="1">IFERROR(__xludf.DUMMYFUNCTION("""COMPUTED_VALUE"""),"IPS Panel Full HD / Touchscreen 1920x1080")</f>
        <v>IPS Panel Full HD / Touchscreen 1920x1080</v>
      </c>
      <c r="G554" s="2" t="str">
        <f ca="1">IFERROR(__xludf.DUMMYFUNCTION("""COMPUTED_VALUE"""),"Intel Core i7 6600U 2.6GHz")</f>
        <v>Intel Core i7 6600U 2.6GHz</v>
      </c>
      <c r="H554" s="2" t="str">
        <f ca="1">IFERROR(__xludf.DUMMYFUNCTION("""COMPUTED_VALUE"""),"8GB")</f>
        <v>8GB</v>
      </c>
      <c r="I554" s="2" t="str">
        <f ca="1">IFERROR(__xludf.DUMMYFUNCTION("""COMPUTED_VALUE"""),"512GB SSD")</f>
        <v>512GB SSD</v>
      </c>
      <c r="J554" s="2" t="str">
        <f ca="1">IFERROR(__xludf.DUMMYFUNCTION("""COMPUTED_VALUE"""),"Nvidia Quadro M500M")</f>
        <v>Nvidia Quadro M500M</v>
      </c>
      <c r="K554" s="2" t="str">
        <f ca="1">IFERROR(__xludf.DUMMYFUNCTION("""COMPUTED_VALUE"""),"Windows 7")</f>
        <v>Windows 7</v>
      </c>
      <c r="L554" s="2" t="str">
        <f ca="1">IFERROR(__xludf.DUMMYFUNCTION("""COMPUTED_VALUE"""),"1.8kg")</f>
        <v>1.8kg</v>
      </c>
      <c r="M554" s="2">
        <f ca="1">IFERROR(__xludf.DUMMYFUNCTION("""COMPUTED_VALUE"""),2050.38)</f>
        <v>2050.38</v>
      </c>
    </row>
    <row r="555" spans="1:13">
      <c r="A555" s="2">
        <f ca="1">IFERROR(__xludf.DUMMYFUNCTION("""COMPUTED_VALUE"""),1148)</f>
        <v>1148</v>
      </c>
      <c r="B555" s="2" t="str">
        <f ca="1">IFERROR(__xludf.DUMMYFUNCTION("""COMPUTED_VALUE"""),"HP")</f>
        <v>HP</v>
      </c>
      <c r="C555" s="2" t="str">
        <f ca="1">IFERROR(__xludf.DUMMYFUNCTION("""COMPUTED_VALUE"""),"250 G6")</f>
        <v>250 G6</v>
      </c>
      <c r="D555" s="2" t="str">
        <f ca="1">IFERROR(__xludf.DUMMYFUNCTION("""COMPUTED_VALUE"""),"Ultrabook")</f>
        <v>Ultrabook</v>
      </c>
      <c r="E555" s="2">
        <f ca="1">IFERROR(__xludf.DUMMYFUNCTION("""COMPUTED_VALUE"""),15.6)</f>
        <v>15.6</v>
      </c>
      <c r="F555" s="2" t="str">
        <f ca="1">IFERROR(__xludf.DUMMYFUNCTION("""COMPUTED_VALUE"""),"Full HD 1920x1080")</f>
        <v>Full HD 1920x1080</v>
      </c>
      <c r="G555" s="2" t="str">
        <f ca="1">IFERROR(__xludf.DUMMYFUNCTION("""COMPUTED_VALUE"""),"Intel Core i7 7500U 2.7GHz")</f>
        <v>Intel Core i7 7500U 2.7GHz</v>
      </c>
      <c r="H555" s="2" t="str">
        <f ca="1">IFERROR(__xludf.DUMMYFUNCTION("""COMPUTED_VALUE"""),"8GB")</f>
        <v>8GB</v>
      </c>
      <c r="I555" s="2" t="str">
        <f ca="1">IFERROR(__xludf.DUMMYFUNCTION("""COMPUTED_VALUE"""),"256GB SSD")</f>
        <v>256GB SSD</v>
      </c>
      <c r="J555" s="2" t="str">
        <f ca="1">IFERROR(__xludf.DUMMYFUNCTION("""COMPUTED_VALUE"""),"Intel HD Graphics 620")</f>
        <v>Intel HD Graphics 620</v>
      </c>
      <c r="K555" s="2" t="str">
        <f ca="1">IFERROR(__xludf.DUMMYFUNCTION("""COMPUTED_VALUE"""),"Windows 10")</f>
        <v>Windows 10</v>
      </c>
      <c r="L555" s="2" t="str">
        <f ca="1">IFERROR(__xludf.DUMMYFUNCTION("""COMPUTED_VALUE"""),"1.84kg")</f>
        <v>1.84kg</v>
      </c>
      <c r="M555" s="2">
        <f ca="1">IFERROR(__xludf.DUMMYFUNCTION("""COMPUTED_VALUE"""),752)</f>
        <v>752</v>
      </c>
    </row>
    <row r="556" spans="1:13">
      <c r="A556" s="2">
        <f ca="1">IFERROR(__xludf.DUMMYFUNCTION("""COMPUTED_VALUE"""),1151)</f>
        <v>1151</v>
      </c>
      <c r="B556" s="2" t="str">
        <f ca="1">IFERROR(__xludf.DUMMYFUNCTION("""COMPUTED_VALUE"""),"HP")</f>
        <v>HP</v>
      </c>
      <c r="C556" s="2" t="str">
        <f ca="1">IFERROR(__xludf.DUMMYFUNCTION("""COMPUTED_VALUE"""),"ZBook 17")</f>
        <v>ZBook 17</v>
      </c>
      <c r="D556" s="2" t="str">
        <f ca="1">IFERROR(__xludf.DUMMYFUNCTION("""COMPUTED_VALUE"""),"Workstation")</f>
        <v>Workstation</v>
      </c>
      <c r="E556" s="2">
        <f ca="1">IFERROR(__xludf.DUMMYFUNCTION("""COMPUTED_VALUE"""),17.3)</f>
        <v>17.3</v>
      </c>
      <c r="F556" s="2" t="str">
        <f ca="1">IFERROR(__xludf.DUMMYFUNCTION("""COMPUTED_VALUE"""),"IPS Panel Full HD 1920x1080")</f>
        <v>IPS Panel Full HD 1920x1080</v>
      </c>
      <c r="G556" s="2" t="str">
        <f ca="1">IFERROR(__xludf.DUMMYFUNCTION("""COMPUTED_VALUE"""),"Intel Core i7 6700HQ 2.6GHz")</f>
        <v>Intel Core i7 6700HQ 2.6GHz</v>
      </c>
      <c r="H556" s="2" t="str">
        <f ca="1">IFERROR(__xludf.DUMMYFUNCTION("""COMPUTED_VALUE"""),"8GB")</f>
        <v>8GB</v>
      </c>
      <c r="I556" s="2" t="str">
        <f ca="1">IFERROR(__xludf.DUMMYFUNCTION("""COMPUTED_VALUE"""),"256GB SSD")</f>
        <v>256GB SSD</v>
      </c>
      <c r="J556" s="2" t="str">
        <f ca="1">IFERROR(__xludf.DUMMYFUNCTION("""COMPUTED_VALUE"""),"Nvidia Quadro M3000M")</f>
        <v>Nvidia Quadro M3000M</v>
      </c>
      <c r="K556" s="2" t="str">
        <f ca="1">IFERROR(__xludf.DUMMYFUNCTION("""COMPUTED_VALUE"""),"Windows 7")</f>
        <v>Windows 7</v>
      </c>
      <c r="L556" s="2" t="str">
        <f ca="1">IFERROR(__xludf.DUMMYFUNCTION("""COMPUTED_VALUE"""),"3kg")</f>
        <v>3kg</v>
      </c>
      <c r="M556" s="2">
        <f ca="1">IFERROR(__xludf.DUMMYFUNCTION("""COMPUTED_VALUE"""),3949.4)</f>
        <v>3949.4</v>
      </c>
    </row>
    <row r="557" spans="1:13">
      <c r="A557" s="2">
        <f ca="1">IFERROR(__xludf.DUMMYFUNCTION("""COMPUTED_VALUE"""),1153)</f>
        <v>1153</v>
      </c>
      <c r="B557" s="2" t="str">
        <f ca="1">IFERROR(__xludf.DUMMYFUNCTION("""COMPUTED_VALUE"""),"Dell")</f>
        <v>Dell</v>
      </c>
      <c r="C557" s="2" t="str">
        <f ca="1">IFERROR(__xludf.DUMMYFUNCTION("""COMPUTED_VALUE"""),"Inspiron 5567")</f>
        <v>Inspiron 5567</v>
      </c>
      <c r="D557" s="2" t="str">
        <f ca="1">IFERROR(__xludf.DUMMYFUNCTION("""COMPUTED_VALUE"""),"Notebook")</f>
        <v>Notebook</v>
      </c>
      <c r="E557" s="2">
        <f ca="1">IFERROR(__xludf.DUMMYFUNCTION("""COMPUTED_VALUE"""),15.6)</f>
        <v>15.6</v>
      </c>
      <c r="F557" s="2" t="str">
        <f ca="1">IFERROR(__xludf.DUMMYFUNCTION("""COMPUTED_VALUE"""),"1366x768")</f>
        <v>1366x768</v>
      </c>
      <c r="G557" s="2" t="str">
        <f ca="1">IFERROR(__xludf.DUMMYFUNCTION("""COMPUTED_VALUE"""),"Intel Core i5 7200U 2.5GHz")</f>
        <v>Intel Core i5 7200U 2.5GHz</v>
      </c>
      <c r="H557" s="2" t="str">
        <f ca="1">IFERROR(__xludf.DUMMYFUNCTION("""COMPUTED_VALUE"""),"8GB")</f>
        <v>8GB</v>
      </c>
      <c r="I557" s="2" t="str">
        <f ca="1">IFERROR(__xludf.DUMMYFUNCTION("""COMPUTED_VALUE"""),"1TB HDD")</f>
        <v>1TB HDD</v>
      </c>
      <c r="J557" s="2" t="str">
        <f ca="1">IFERROR(__xludf.DUMMYFUNCTION("""COMPUTED_VALUE"""),"AMD Radeon R7 M445")</f>
        <v>AMD Radeon R7 M445</v>
      </c>
      <c r="K557" s="2" t="str">
        <f ca="1">IFERROR(__xludf.DUMMYFUNCTION("""COMPUTED_VALUE"""),"Windows 10")</f>
        <v>Windows 10</v>
      </c>
      <c r="L557" s="2" t="str">
        <f ca="1">IFERROR(__xludf.DUMMYFUNCTION("""COMPUTED_VALUE"""),"2.5kg")</f>
        <v>2.5kg</v>
      </c>
      <c r="M557" s="2">
        <f ca="1">IFERROR(__xludf.DUMMYFUNCTION("""COMPUTED_VALUE"""),784)</f>
        <v>784</v>
      </c>
    </row>
    <row r="558" spans="1:13">
      <c r="A558" s="2">
        <f ca="1">IFERROR(__xludf.DUMMYFUNCTION("""COMPUTED_VALUE"""),1155)</f>
        <v>1155</v>
      </c>
      <c r="B558" s="2" t="str">
        <f ca="1">IFERROR(__xludf.DUMMYFUNCTION("""COMPUTED_VALUE"""),"HP")</f>
        <v>HP</v>
      </c>
      <c r="C558" s="2" t="str">
        <f ca="1">IFERROR(__xludf.DUMMYFUNCTION("""COMPUTED_VALUE"""),"EliteBook 850")</f>
        <v>EliteBook 850</v>
      </c>
      <c r="D558" s="2" t="str">
        <f ca="1">IFERROR(__xludf.DUMMYFUNCTION("""COMPUTED_VALUE"""),"Ultrabook")</f>
        <v>Ultrabook</v>
      </c>
      <c r="E558" s="2">
        <f ca="1">IFERROR(__xludf.DUMMYFUNCTION("""COMPUTED_VALUE"""),15.6)</f>
        <v>15.6</v>
      </c>
      <c r="F558" s="2" t="str">
        <f ca="1">IFERROR(__xludf.DUMMYFUNCTION("""COMPUTED_VALUE"""),"Full HD 1920x1080")</f>
        <v>Full HD 1920x1080</v>
      </c>
      <c r="G558" s="2" t="str">
        <f ca="1">IFERROR(__xludf.DUMMYFUNCTION("""COMPUTED_VALUE"""),"Intel Core i7 6500U 2.5GHz")</f>
        <v>Intel Core i7 6500U 2.5GHz</v>
      </c>
      <c r="H558" s="2" t="str">
        <f ca="1">IFERROR(__xludf.DUMMYFUNCTION("""COMPUTED_VALUE"""),"8GB")</f>
        <v>8GB</v>
      </c>
      <c r="I558" s="2" t="str">
        <f ca="1">IFERROR(__xludf.DUMMYFUNCTION("""COMPUTED_VALUE"""),"256GB SSD")</f>
        <v>256GB SSD</v>
      </c>
      <c r="J558" s="2" t="str">
        <f ca="1">IFERROR(__xludf.DUMMYFUNCTION("""COMPUTED_VALUE"""),"Intel HD Graphics 520")</f>
        <v>Intel HD Graphics 520</v>
      </c>
      <c r="K558" s="2" t="str">
        <f ca="1">IFERROR(__xludf.DUMMYFUNCTION("""COMPUTED_VALUE"""),"Windows 7")</f>
        <v>Windows 7</v>
      </c>
      <c r="L558" s="2" t="str">
        <f ca="1">IFERROR(__xludf.DUMMYFUNCTION("""COMPUTED_VALUE"""),"1.88kg")</f>
        <v>1.88kg</v>
      </c>
      <c r="M558" s="2">
        <f ca="1">IFERROR(__xludf.DUMMYFUNCTION("""COMPUTED_VALUE"""),2171.72)</f>
        <v>2171.7199999999998</v>
      </c>
    </row>
    <row r="559" spans="1:13">
      <c r="A559" s="2">
        <f ca="1">IFERROR(__xludf.DUMMYFUNCTION("""COMPUTED_VALUE"""),1157)</f>
        <v>1157</v>
      </c>
      <c r="B559" s="2" t="str">
        <f ca="1">IFERROR(__xludf.DUMMYFUNCTION("""COMPUTED_VALUE"""),"MSI")</f>
        <v>MSI</v>
      </c>
      <c r="C559" s="2" t="str">
        <f ca="1">IFERROR(__xludf.DUMMYFUNCTION("""COMPUTED_VALUE"""),"GP62M 7RDX")</f>
        <v>GP62M 7RDX</v>
      </c>
      <c r="D559" s="2" t="str">
        <f ca="1">IFERROR(__xludf.DUMMYFUNCTION("""COMPUTED_VALUE"""),"Gaming")</f>
        <v>Gaming</v>
      </c>
      <c r="E559" s="2">
        <f ca="1">IFERROR(__xludf.DUMMYFUNCTION("""COMPUTED_VALUE"""),15.6)</f>
        <v>15.6</v>
      </c>
      <c r="F559" s="2" t="str">
        <f ca="1">IFERROR(__xludf.DUMMYFUNCTION("""COMPUTED_VALUE"""),"Full HD 1920x1080")</f>
        <v>Full HD 1920x1080</v>
      </c>
      <c r="G559" s="2" t="str">
        <f ca="1">IFERROR(__xludf.DUMMYFUNCTION("""COMPUTED_VALUE"""),"Intel Core i7 7700HQ 2.8GHz")</f>
        <v>Intel Core i7 7700HQ 2.8GHz</v>
      </c>
      <c r="H559" s="2" t="str">
        <f ca="1">IFERROR(__xludf.DUMMYFUNCTION("""COMPUTED_VALUE"""),"8GB")</f>
        <v>8GB</v>
      </c>
      <c r="I559" s="2" t="str">
        <f ca="1">IFERROR(__xludf.DUMMYFUNCTION("""COMPUTED_VALUE"""),"128GB SSD +  1TB HDD")</f>
        <v>128GB SSD +  1TB HDD</v>
      </c>
      <c r="J559" s="2" t="str">
        <f ca="1">IFERROR(__xludf.DUMMYFUNCTION("""COMPUTED_VALUE"""),"Nvidia GeForce GTX 1050")</f>
        <v>Nvidia GeForce GTX 1050</v>
      </c>
      <c r="K559" s="2" t="str">
        <f ca="1">IFERROR(__xludf.DUMMYFUNCTION("""COMPUTED_VALUE"""),"Windows 10")</f>
        <v>Windows 10</v>
      </c>
      <c r="L559" s="2" t="str">
        <f ca="1">IFERROR(__xludf.DUMMYFUNCTION("""COMPUTED_VALUE"""),"2.4kg")</f>
        <v>2.4kg</v>
      </c>
      <c r="M559" s="2">
        <f ca="1">IFERROR(__xludf.DUMMYFUNCTION("""COMPUTED_VALUE"""),1142.8)</f>
        <v>1142.8</v>
      </c>
    </row>
    <row r="560" spans="1:13">
      <c r="A560" s="2">
        <f ca="1">IFERROR(__xludf.DUMMYFUNCTION("""COMPUTED_VALUE"""),1160)</f>
        <v>1160</v>
      </c>
      <c r="B560" s="2" t="str">
        <f ca="1">IFERROR(__xludf.DUMMYFUNCTION("""COMPUTED_VALUE"""),"HP")</f>
        <v>HP</v>
      </c>
      <c r="C560" s="2" t="str">
        <f ca="1">IFERROR(__xludf.DUMMYFUNCTION("""COMPUTED_VALUE"""),"Spectre Pro")</f>
        <v>Spectre Pro</v>
      </c>
      <c r="D560" s="2" t="str">
        <f ca="1">IFERROR(__xludf.DUMMYFUNCTION("""COMPUTED_VALUE"""),"2 in 1 Convertible")</f>
        <v>2 in 1 Convertible</v>
      </c>
      <c r="E560" s="2">
        <f ca="1">IFERROR(__xludf.DUMMYFUNCTION("""COMPUTED_VALUE"""),13.3)</f>
        <v>13.3</v>
      </c>
      <c r="F560" s="2" t="str">
        <f ca="1">IFERROR(__xludf.DUMMYFUNCTION("""COMPUTED_VALUE"""),"Full HD / Touchscreen 1920x1080")</f>
        <v>Full HD / Touchscreen 1920x1080</v>
      </c>
      <c r="G560" s="2" t="str">
        <f ca="1">IFERROR(__xludf.DUMMYFUNCTION("""COMPUTED_VALUE"""),"Intel Core i5 6300U 2.4GHz")</f>
        <v>Intel Core i5 6300U 2.4GHz</v>
      </c>
      <c r="H560" s="2" t="str">
        <f ca="1">IFERROR(__xludf.DUMMYFUNCTION("""COMPUTED_VALUE"""),"8GB")</f>
        <v>8GB</v>
      </c>
      <c r="I560" s="2" t="str">
        <f ca="1">IFERROR(__xludf.DUMMYFUNCTION("""COMPUTED_VALUE"""),"256GB SSD")</f>
        <v>256GB SSD</v>
      </c>
      <c r="J560" s="2" t="str">
        <f ca="1">IFERROR(__xludf.DUMMYFUNCTION("""COMPUTED_VALUE"""),"Intel HD Graphics 520")</f>
        <v>Intel HD Graphics 520</v>
      </c>
      <c r="K560" s="2" t="str">
        <f ca="1">IFERROR(__xludf.DUMMYFUNCTION("""COMPUTED_VALUE"""),"Windows 10")</f>
        <v>Windows 10</v>
      </c>
      <c r="L560" s="2" t="str">
        <f ca="1">IFERROR(__xludf.DUMMYFUNCTION("""COMPUTED_VALUE"""),"1.48kg")</f>
        <v>1.48kg</v>
      </c>
      <c r="M560" s="2">
        <f ca="1">IFERROR(__xludf.DUMMYFUNCTION("""COMPUTED_VALUE"""),1629)</f>
        <v>1629</v>
      </c>
    </row>
    <row r="561" spans="1:13">
      <c r="A561" s="2">
        <f ca="1">IFERROR(__xludf.DUMMYFUNCTION("""COMPUTED_VALUE"""),1161)</f>
        <v>1161</v>
      </c>
      <c r="B561" s="2" t="str">
        <f ca="1">IFERROR(__xludf.DUMMYFUNCTION("""COMPUTED_VALUE"""),"HP")</f>
        <v>HP</v>
      </c>
      <c r="C561" s="2" t="str">
        <f ca="1">IFERROR(__xludf.DUMMYFUNCTION("""COMPUTED_VALUE"""),"ZBook 15")</f>
        <v>ZBook 15</v>
      </c>
      <c r="D561" s="2" t="str">
        <f ca="1">IFERROR(__xludf.DUMMYFUNCTION("""COMPUTED_VALUE"""),"Workstation")</f>
        <v>Workstation</v>
      </c>
      <c r="E561" s="2">
        <f ca="1">IFERROR(__xludf.DUMMYFUNCTION("""COMPUTED_VALUE"""),15.6)</f>
        <v>15.6</v>
      </c>
      <c r="F561" s="2" t="str">
        <f ca="1">IFERROR(__xludf.DUMMYFUNCTION("""COMPUTED_VALUE"""),"IPS Panel Full HD 1920x1080")</f>
        <v>IPS Panel Full HD 1920x1080</v>
      </c>
      <c r="G561" s="2" t="str">
        <f ca="1">IFERROR(__xludf.DUMMYFUNCTION("""COMPUTED_VALUE"""),"Intel Core i7 6700HQ 2.6GHz")</f>
        <v>Intel Core i7 6700HQ 2.6GHz</v>
      </c>
      <c r="H561" s="2" t="str">
        <f ca="1">IFERROR(__xludf.DUMMYFUNCTION("""COMPUTED_VALUE"""),"8GB")</f>
        <v>8GB</v>
      </c>
      <c r="I561" s="2" t="str">
        <f ca="1">IFERROR(__xludf.DUMMYFUNCTION("""COMPUTED_VALUE"""),"256GB SSD")</f>
        <v>256GB SSD</v>
      </c>
      <c r="J561" s="2" t="str">
        <f ca="1">IFERROR(__xludf.DUMMYFUNCTION("""COMPUTED_VALUE"""),"Nvidia Quadro M1000M")</f>
        <v>Nvidia Quadro M1000M</v>
      </c>
      <c r="K561" s="2" t="str">
        <f ca="1">IFERROR(__xludf.DUMMYFUNCTION("""COMPUTED_VALUE"""),"Windows 7")</f>
        <v>Windows 7</v>
      </c>
      <c r="L561" s="2" t="str">
        <f ca="1">IFERROR(__xludf.DUMMYFUNCTION("""COMPUTED_VALUE"""),"2.59kg")</f>
        <v>2.59kg</v>
      </c>
      <c r="M561" s="2">
        <f ca="1">IFERROR(__xludf.DUMMYFUNCTION("""COMPUTED_VALUE"""),2229)</f>
        <v>2229</v>
      </c>
    </row>
    <row r="562" spans="1:13">
      <c r="A562" s="2">
        <f ca="1">IFERROR(__xludf.DUMMYFUNCTION("""COMPUTED_VALUE"""),1162)</f>
        <v>1162</v>
      </c>
      <c r="B562" s="2" t="str">
        <f ca="1">IFERROR(__xludf.DUMMYFUNCTION("""COMPUTED_VALUE"""),"HP")</f>
        <v>HP</v>
      </c>
      <c r="C562" s="2" t="str">
        <f ca="1">IFERROR(__xludf.DUMMYFUNCTION("""COMPUTED_VALUE"""),"Spectre Pro")</f>
        <v>Spectre Pro</v>
      </c>
      <c r="D562" s="2" t="str">
        <f ca="1">IFERROR(__xludf.DUMMYFUNCTION("""COMPUTED_VALUE"""),"2 in 1 Convertible")</f>
        <v>2 in 1 Convertible</v>
      </c>
      <c r="E562" s="2">
        <f ca="1">IFERROR(__xludf.DUMMYFUNCTION("""COMPUTED_VALUE"""),13.3)</f>
        <v>13.3</v>
      </c>
      <c r="F562" s="2" t="str">
        <f ca="1">IFERROR(__xludf.DUMMYFUNCTION("""COMPUTED_VALUE"""),"Touchscreen 2560x1440")</f>
        <v>Touchscreen 2560x1440</v>
      </c>
      <c r="G562" s="2" t="str">
        <f ca="1">IFERROR(__xludf.DUMMYFUNCTION("""COMPUTED_VALUE"""),"Intel Core i7 6600U 2.6GHz")</f>
        <v>Intel Core i7 6600U 2.6GHz</v>
      </c>
      <c r="H562" s="2" t="str">
        <f ca="1">IFERROR(__xludf.DUMMYFUNCTION("""COMPUTED_VALUE"""),"8GB")</f>
        <v>8GB</v>
      </c>
      <c r="I562" s="2" t="str">
        <f ca="1">IFERROR(__xludf.DUMMYFUNCTION("""COMPUTED_VALUE"""),"256GB SSD")</f>
        <v>256GB SSD</v>
      </c>
      <c r="J562" s="2" t="str">
        <f ca="1">IFERROR(__xludf.DUMMYFUNCTION("""COMPUTED_VALUE"""),"Intel HD Graphics 520")</f>
        <v>Intel HD Graphics 520</v>
      </c>
      <c r="K562" s="2" t="str">
        <f ca="1">IFERROR(__xludf.DUMMYFUNCTION("""COMPUTED_VALUE"""),"Windows 10")</f>
        <v>Windows 10</v>
      </c>
      <c r="L562" s="2" t="str">
        <f ca="1">IFERROR(__xludf.DUMMYFUNCTION("""COMPUTED_VALUE"""),"1.48kg")</f>
        <v>1.48kg</v>
      </c>
      <c r="M562" s="2">
        <f ca="1">IFERROR(__xludf.DUMMYFUNCTION("""COMPUTED_VALUE"""),1799)</f>
        <v>1799</v>
      </c>
    </row>
    <row r="563" spans="1:13">
      <c r="A563" s="2">
        <f ca="1">IFERROR(__xludf.DUMMYFUNCTION("""COMPUTED_VALUE"""),1163)</f>
        <v>1163</v>
      </c>
      <c r="B563" s="2" t="str">
        <f ca="1">IFERROR(__xludf.DUMMYFUNCTION("""COMPUTED_VALUE"""),"HP")</f>
        <v>HP</v>
      </c>
      <c r="C563" s="2" t="str">
        <f ca="1">IFERROR(__xludf.DUMMYFUNCTION("""COMPUTED_VALUE"""),"ZBook Studio")</f>
        <v>ZBook Studio</v>
      </c>
      <c r="D563" s="2" t="str">
        <f ca="1">IFERROR(__xludf.DUMMYFUNCTION("""COMPUTED_VALUE"""),"Workstation")</f>
        <v>Workstation</v>
      </c>
      <c r="E563" s="2">
        <f ca="1">IFERROR(__xludf.DUMMYFUNCTION("""COMPUTED_VALUE"""),15.6)</f>
        <v>15.6</v>
      </c>
      <c r="F563" s="2" t="str">
        <f ca="1">IFERROR(__xludf.DUMMYFUNCTION("""COMPUTED_VALUE"""),"Full HD 1920x1080")</f>
        <v>Full HD 1920x1080</v>
      </c>
      <c r="G563" s="2" t="str">
        <f ca="1">IFERROR(__xludf.DUMMYFUNCTION("""COMPUTED_VALUE"""),"Intel Core i7 6700HQ 2.6GHz")</f>
        <v>Intel Core i7 6700HQ 2.6GHz</v>
      </c>
      <c r="H563" s="2" t="str">
        <f ca="1">IFERROR(__xludf.DUMMYFUNCTION("""COMPUTED_VALUE"""),"8GB")</f>
        <v>8GB</v>
      </c>
      <c r="I563" s="2" t="str">
        <f ca="1">IFERROR(__xludf.DUMMYFUNCTION("""COMPUTED_VALUE"""),"256GB SSD")</f>
        <v>256GB SSD</v>
      </c>
      <c r="J563" s="2" t="str">
        <f ca="1">IFERROR(__xludf.DUMMYFUNCTION("""COMPUTED_VALUE"""),"Nvidia Quadro M1000M")</f>
        <v>Nvidia Quadro M1000M</v>
      </c>
      <c r="K563" s="2" t="str">
        <f ca="1">IFERROR(__xludf.DUMMYFUNCTION("""COMPUTED_VALUE"""),"Windows 7")</f>
        <v>Windows 7</v>
      </c>
      <c r="L563" s="2" t="str">
        <f ca="1">IFERROR(__xludf.DUMMYFUNCTION("""COMPUTED_VALUE"""),"2.0kg")</f>
        <v>2.0kg</v>
      </c>
      <c r="M563" s="2">
        <f ca="1">IFERROR(__xludf.DUMMYFUNCTION("""COMPUTED_VALUE"""),1899)</f>
        <v>1899</v>
      </c>
    </row>
    <row r="564" spans="1:13">
      <c r="A564" s="2">
        <f ca="1">IFERROR(__xludf.DUMMYFUNCTION("""COMPUTED_VALUE"""),1164)</f>
        <v>1164</v>
      </c>
      <c r="B564" s="2" t="str">
        <f ca="1">IFERROR(__xludf.DUMMYFUNCTION("""COMPUTED_VALUE"""),"HP")</f>
        <v>HP</v>
      </c>
      <c r="C564" s="2" t="str">
        <f ca="1">IFERROR(__xludf.DUMMYFUNCTION("""COMPUTED_VALUE"""),"EliteBook 820")</f>
        <v>EliteBook 820</v>
      </c>
      <c r="D564" s="2" t="str">
        <f ca="1">IFERROR(__xludf.DUMMYFUNCTION("""COMPUTED_VALUE"""),"Ultrabook")</f>
        <v>Ultrabook</v>
      </c>
      <c r="E564" s="2">
        <f ca="1">IFERROR(__xludf.DUMMYFUNCTION("""COMPUTED_VALUE"""),12.5)</f>
        <v>12.5</v>
      </c>
      <c r="F564" s="2" t="str">
        <f ca="1">IFERROR(__xludf.DUMMYFUNCTION("""COMPUTED_VALUE"""),"Full HD 1920x1080")</f>
        <v>Full HD 1920x1080</v>
      </c>
      <c r="G564" s="2" t="str">
        <f ca="1">IFERROR(__xludf.DUMMYFUNCTION("""COMPUTED_VALUE"""),"Intel Core i7 6500U 2.50GHz")</f>
        <v>Intel Core i7 6500U 2.50GHz</v>
      </c>
      <c r="H564" s="2" t="str">
        <f ca="1">IFERROR(__xludf.DUMMYFUNCTION("""COMPUTED_VALUE"""),"8GB")</f>
        <v>8GB</v>
      </c>
      <c r="I564" s="2" t="str">
        <f ca="1">IFERROR(__xludf.DUMMYFUNCTION("""COMPUTED_VALUE"""),"256GB SSD")</f>
        <v>256GB SSD</v>
      </c>
      <c r="J564" s="2" t="str">
        <f ca="1">IFERROR(__xludf.DUMMYFUNCTION("""COMPUTED_VALUE"""),"Intel HD Graphics 520")</f>
        <v>Intel HD Graphics 520</v>
      </c>
      <c r="K564" s="2" t="str">
        <f ca="1">IFERROR(__xludf.DUMMYFUNCTION("""COMPUTED_VALUE"""),"Windows 7")</f>
        <v>Windows 7</v>
      </c>
      <c r="L564" s="2" t="str">
        <f ca="1">IFERROR(__xludf.DUMMYFUNCTION("""COMPUTED_VALUE"""),"1.26kg")</f>
        <v>1.26kg</v>
      </c>
      <c r="M564" s="2">
        <f ca="1">IFERROR(__xludf.DUMMYFUNCTION("""COMPUTED_VALUE"""),2296.95)</f>
        <v>2296.9499999999998</v>
      </c>
    </row>
    <row r="565" spans="1:13">
      <c r="A565" s="2">
        <f ca="1">IFERROR(__xludf.DUMMYFUNCTION("""COMPUTED_VALUE"""),1165)</f>
        <v>1165</v>
      </c>
      <c r="B565" s="2" t="str">
        <f ca="1">IFERROR(__xludf.DUMMYFUNCTION("""COMPUTED_VALUE"""),"Dell")</f>
        <v>Dell</v>
      </c>
      <c r="C565" s="2" t="str">
        <f ca="1">IFERROR(__xludf.DUMMYFUNCTION("""COMPUTED_VALUE"""),"Vostro 5568")</f>
        <v>Vostro 5568</v>
      </c>
      <c r="D565" s="2" t="str">
        <f ca="1">IFERROR(__xludf.DUMMYFUNCTION("""COMPUTED_VALUE"""),"Notebook")</f>
        <v>Notebook</v>
      </c>
      <c r="E565" s="2">
        <f ca="1">IFERROR(__xludf.DUMMYFUNCTION("""COMPUTED_VALUE"""),15.6)</f>
        <v>15.6</v>
      </c>
      <c r="F565" s="2" t="str">
        <f ca="1">IFERROR(__xludf.DUMMYFUNCTION("""COMPUTED_VALUE"""),"Full HD 1920x1080")</f>
        <v>Full HD 1920x1080</v>
      </c>
      <c r="G565" s="2" t="str">
        <f ca="1">IFERROR(__xludf.DUMMYFUNCTION("""COMPUTED_VALUE"""),"Intel Core i7 7500U 2.7GHz")</f>
        <v>Intel Core i7 7500U 2.7GHz</v>
      </c>
      <c r="H565" s="2" t="str">
        <f ca="1">IFERROR(__xludf.DUMMYFUNCTION("""COMPUTED_VALUE"""),"8GB")</f>
        <v>8GB</v>
      </c>
      <c r="I565" s="2" t="str">
        <f ca="1">IFERROR(__xludf.DUMMYFUNCTION("""COMPUTED_VALUE"""),"256GB SSD")</f>
        <v>256GB SSD</v>
      </c>
      <c r="J565" s="2" t="str">
        <f ca="1">IFERROR(__xludf.DUMMYFUNCTION("""COMPUTED_VALUE"""),"Nvidia GeForce 940MX")</f>
        <v>Nvidia GeForce 940MX</v>
      </c>
      <c r="K565" s="2" t="str">
        <f ca="1">IFERROR(__xludf.DUMMYFUNCTION("""COMPUTED_VALUE"""),"Windows 10")</f>
        <v>Windows 10</v>
      </c>
      <c r="L565" s="2" t="str">
        <f ca="1">IFERROR(__xludf.DUMMYFUNCTION("""COMPUTED_VALUE"""),"2.18kg")</f>
        <v>2.18kg</v>
      </c>
      <c r="M565" s="2">
        <f ca="1">IFERROR(__xludf.DUMMYFUNCTION("""COMPUTED_VALUE"""),1009.9)</f>
        <v>1009.9</v>
      </c>
    </row>
    <row r="566" spans="1:13">
      <c r="A566" s="2">
        <f ca="1">IFERROR(__xludf.DUMMYFUNCTION("""COMPUTED_VALUE"""),1166)</f>
        <v>1166</v>
      </c>
      <c r="B566" s="2" t="str">
        <f ca="1">IFERROR(__xludf.DUMMYFUNCTION("""COMPUTED_VALUE"""),"HP")</f>
        <v>HP</v>
      </c>
      <c r="C566" s="2" t="str">
        <f ca="1">IFERROR(__xludf.DUMMYFUNCTION("""COMPUTED_VALUE"""),"EliteBook 850")</f>
        <v>EliteBook 850</v>
      </c>
      <c r="D566" s="2" t="str">
        <f ca="1">IFERROR(__xludf.DUMMYFUNCTION("""COMPUTED_VALUE"""),"Notebook")</f>
        <v>Notebook</v>
      </c>
      <c r="E566" s="2">
        <f ca="1">IFERROR(__xludf.DUMMYFUNCTION("""COMPUTED_VALUE"""),15.6)</f>
        <v>15.6</v>
      </c>
      <c r="F566" s="2" t="str">
        <f ca="1">IFERROR(__xludf.DUMMYFUNCTION("""COMPUTED_VALUE"""),"Full HD 1920x1080")</f>
        <v>Full HD 1920x1080</v>
      </c>
      <c r="G566" s="2" t="str">
        <f ca="1">IFERROR(__xludf.DUMMYFUNCTION("""COMPUTED_VALUE"""),"Intel Core i5 6200U 2.3GHz")</f>
        <v>Intel Core i5 6200U 2.3GHz</v>
      </c>
      <c r="H566" s="2" t="str">
        <f ca="1">IFERROR(__xludf.DUMMYFUNCTION("""COMPUTED_VALUE"""),"8GB")</f>
        <v>8GB</v>
      </c>
      <c r="I566" s="2" t="str">
        <f ca="1">IFERROR(__xludf.DUMMYFUNCTION("""COMPUTED_VALUE"""),"256GB SSD")</f>
        <v>256GB SSD</v>
      </c>
      <c r="J566" s="2" t="str">
        <f ca="1">IFERROR(__xludf.DUMMYFUNCTION("""COMPUTED_VALUE"""),"Intel HD Graphics 520")</f>
        <v>Intel HD Graphics 520</v>
      </c>
      <c r="K566" s="2" t="str">
        <f ca="1">IFERROR(__xludf.DUMMYFUNCTION("""COMPUTED_VALUE"""),"Windows 7")</f>
        <v>Windows 7</v>
      </c>
      <c r="L566" s="2" t="str">
        <f ca="1">IFERROR(__xludf.DUMMYFUNCTION("""COMPUTED_VALUE"""),"1.88kg")</f>
        <v>1.88kg</v>
      </c>
      <c r="M566" s="2">
        <f ca="1">IFERROR(__xludf.DUMMYFUNCTION("""COMPUTED_VALUE"""),1579)</f>
        <v>1579</v>
      </c>
    </row>
    <row r="567" spans="1:13">
      <c r="A567" s="2">
        <f ca="1">IFERROR(__xludf.DUMMYFUNCTION("""COMPUTED_VALUE"""),1167)</f>
        <v>1167</v>
      </c>
      <c r="B567" s="2" t="str">
        <f ca="1">IFERROR(__xludf.DUMMYFUNCTION("""COMPUTED_VALUE"""),"Lenovo")</f>
        <v>Lenovo</v>
      </c>
      <c r="C567" s="2" t="str">
        <f ca="1">IFERROR(__xludf.DUMMYFUNCTION("""COMPUTED_VALUE"""),"ThinkPad X1")</f>
        <v>ThinkPad X1</v>
      </c>
      <c r="D567" s="2" t="str">
        <f ca="1">IFERROR(__xludf.DUMMYFUNCTION("""COMPUTED_VALUE"""),"2 in 1 Convertible")</f>
        <v>2 in 1 Convertible</v>
      </c>
      <c r="E567" s="2">
        <f ca="1">IFERROR(__xludf.DUMMYFUNCTION("""COMPUTED_VALUE"""),14)</f>
        <v>14</v>
      </c>
      <c r="F567" s="2" t="str">
        <f ca="1">IFERROR(__xludf.DUMMYFUNCTION("""COMPUTED_VALUE"""),"IPS Panel Touchscreen 2560x1440")</f>
        <v>IPS Panel Touchscreen 2560x1440</v>
      </c>
      <c r="G567" s="2" t="str">
        <f ca="1">IFERROR(__xludf.DUMMYFUNCTION("""COMPUTED_VALUE"""),"Intel Core i7 6500U 2.5GHz")</f>
        <v>Intel Core i7 6500U 2.5GHz</v>
      </c>
      <c r="H567" s="2" t="str">
        <f ca="1">IFERROR(__xludf.DUMMYFUNCTION("""COMPUTED_VALUE"""),"8GB")</f>
        <v>8GB</v>
      </c>
      <c r="I567" s="2" t="str">
        <f ca="1">IFERROR(__xludf.DUMMYFUNCTION("""COMPUTED_VALUE"""),"256GB SSD")</f>
        <v>256GB SSD</v>
      </c>
      <c r="J567" s="2" t="str">
        <f ca="1">IFERROR(__xludf.DUMMYFUNCTION("""COMPUTED_VALUE"""),"Intel HD Graphics 520")</f>
        <v>Intel HD Graphics 520</v>
      </c>
      <c r="K567" s="2" t="str">
        <f ca="1">IFERROR(__xludf.DUMMYFUNCTION("""COMPUTED_VALUE"""),"Windows 10")</f>
        <v>Windows 10</v>
      </c>
      <c r="L567" s="2" t="str">
        <f ca="1">IFERROR(__xludf.DUMMYFUNCTION("""COMPUTED_VALUE"""),"1.27kg")</f>
        <v>1.27kg</v>
      </c>
      <c r="M567" s="2">
        <f ca="1">IFERROR(__xludf.DUMMYFUNCTION("""COMPUTED_VALUE"""),2339)</f>
        <v>2339</v>
      </c>
    </row>
    <row r="568" spans="1:13">
      <c r="A568" s="2">
        <f ca="1">IFERROR(__xludf.DUMMYFUNCTION("""COMPUTED_VALUE"""),1170)</f>
        <v>1170</v>
      </c>
      <c r="B568" s="2" t="str">
        <f ca="1">IFERROR(__xludf.DUMMYFUNCTION("""COMPUTED_VALUE"""),"Lenovo")</f>
        <v>Lenovo</v>
      </c>
      <c r="C568" s="2" t="str">
        <f ca="1">IFERROR(__xludf.DUMMYFUNCTION("""COMPUTED_VALUE"""),"B51-80 (i5-6200U/8GB/1TB/Radeon")</f>
        <v>B51-80 (i5-6200U/8GB/1TB/Radeon</v>
      </c>
      <c r="D568" s="2" t="str">
        <f ca="1">IFERROR(__xludf.DUMMYFUNCTION("""COMPUTED_VALUE"""),"Notebook")</f>
        <v>Notebook</v>
      </c>
      <c r="E568" s="2">
        <f ca="1">IFERROR(__xludf.DUMMYFUNCTION("""COMPUTED_VALUE"""),15.6)</f>
        <v>15.6</v>
      </c>
      <c r="F568" s="2" t="str">
        <f ca="1">IFERROR(__xludf.DUMMYFUNCTION("""COMPUTED_VALUE"""),"Full HD 1920x1080")</f>
        <v>Full HD 1920x1080</v>
      </c>
      <c r="G568" s="2" t="str">
        <f ca="1">IFERROR(__xludf.DUMMYFUNCTION("""COMPUTED_VALUE"""),"Intel Core i5 6200U 2.3GHz")</f>
        <v>Intel Core i5 6200U 2.3GHz</v>
      </c>
      <c r="H568" s="2" t="str">
        <f ca="1">IFERROR(__xludf.DUMMYFUNCTION("""COMPUTED_VALUE"""),"8GB")</f>
        <v>8GB</v>
      </c>
      <c r="I568" s="2" t="str">
        <f ca="1">IFERROR(__xludf.DUMMYFUNCTION("""COMPUTED_VALUE"""),"1TB HDD")</f>
        <v>1TB HDD</v>
      </c>
      <c r="J568" s="2" t="str">
        <f ca="1">IFERROR(__xludf.DUMMYFUNCTION("""COMPUTED_VALUE"""),"AMD Radeon R5 M330")</f>
        <v>AMD Radeon R5 M330</v>
      </c>
      <c r="K568" s="2" t="str">
        <f ca="1">IFERROR(__xludf.DUMMYFUNCTION("""COMPUTED_VALUE"""),"No OS")</f>
        <v>No OS</v>
      </c>
      <c r="L568" s="2" t="str">
        <f ca="1">IFERROR(__xludf.DUMMYFUNCTION("""COMPUTED_VALUE"""),"2.32kg")</f>
        <v>2.32kg</v>
      </c>
      <c r="M568" s="2">
        <f ca="1">IFERROR(__xludf.DUMMYFUNCTION("""COMPUTED_VALUE"""),599)</f>
        <v>599</v>
      </c>
    </row>
    <row r="569" spans="1:13">
      <c r="A569" s="2">
        <f ca="1">IFERROR(__xludf.DUMMYFUNCTION("""COMPUTED_VALUE"""),1171)</f>
        <v>1171</v>
      </c>
      <c r="B569" s="2" t="str">
        <f ca="1">IFERROR(__xludf.DUMMYFUNCTION("""COMPUTED_VALUE"""),"Dell")</f>
        <v>Dell</v>
      </c>
      <c r="C569" s="2" t="str">
        <f ca="1">IFERROR(__xludf.DUMMYFUNCTION("""COMPUTED_VALUE"""),"Inspiron 7567")</f>
        <v>Inspiron 7567</v>
      </c>
      <c r="D569" s="2" t="str">
        <f ca="1">IFERROR(__xludf.DUMMYFUNCTION("""COMPUTED_VALUE"""),"Gaming")</f>
        <v>Gaming</v>
      </c>
      <c r="E569" s="2">
        <f ca="1">IFERROR(__xludf.DUMMYFUNCTION("""COMPUTED_VALUE"""),15.6)</f>
        <v>15.6</v>
      </c>
      <c r="F569" s="2" t="str">
        <f ca="1">IFERROR(__xludf.DUMMYFUNCTION("""COMPUTED_VALUE"""),"Full HD 1920x1080")</f>
        <v>Full HD 1920x1080</v>
      </c>
      <c r="G569" s="2" t="str">
        <f ca="1">IFERROR(__xludf.DUMMYFUNCTION("""COMPUTED_VALUE"""),"Intel Core i7 7700HQ 2.8GHz")</f>
        <v>Intel Core i7 7700HQ 2.8GHz</v>
      </c>
      <c r="H569" s="2" t="str">
        <f ca="1">IFERROR(__xludf.DUMMYFUNCTION("""COMPUTED_VALUE"""),"8GB")</f>
        <v>8GB</v>
      </c>
      <c r="I569" s="2" t="str">
        <f ca="1">IFERROR(__xludf.DUMMYFUNCTION("""COMPUTED_VALUE"""),"1TB HDD")</f>
        <v>1TB HDD</v>
      </c>
      <c r="J569" s="2" t="str">
        <f ca="1">IFERROR(__xludf.DUMMYFUNCTION("""COMPUTED_VALUE"""),"Nvidia GeForce GTX 1050Ti")</f>
        <v>Nvidia GeForce GTX 1050Ti</v>
      </c>
      <c r="K569" s="2" t="str">
        <f ca="1">IFERROR(__xludf.DUMMYFUNCTION("""COMPUTED_VALUE"""),"Windows 10")</f>
        <v>Windows 10</v>
      </c>
      <c r="L569" s="2" t="str">
        <f ca="1">IFERROR(__xludf.DUMMYFUNCTION("""COMPUTED_VALUE"""),"2.62kg")</f>
        <v>2.62kg</v>
      </c>
      <c r="M569" s="2">
        <f ca="1">IFERROR(__xludf.DUMMYFUNCTION("""COMPUTED_VALUE"""),1199)</f>
        <v>1199</v>
      </c>
    </row>
    <row r="570" spans="1:13">
      <c r="A570" s="2">
        <f ca="1">IFERROR(__xludf.DUMMYFUNCTION("""COMPUTED_VALUE"""),1172)</f>
        <v>1172</v>
      </c>
      <c r="B570" s="2" t="str">
        <f ca="1">IFERROR(__xludf.DUMMYFUNCTION("""COMPUTED_VALUE"""),"Dell")</f>
        <v>Dell</v>
      </c>
      <c r="C570" s="2" t="str">
        <f ca="1">IFERROR(__xludf.DUMMYFUNCTION("""COMPUTED_VALUE"""),"XPS 15")</f>
        <v>XPS 15</v>
      </c>
      <c r="D570" s="2" t="str">
        <f ca="1">IFERROR(__xludf.DUMMYFUNCTION("""COMPUTED_VALUE"""),"Notebook")</f>
        <v>Notebook</v>
      </c>
      <c r="E570" s="2">
        <f ca="1">IFERROR(__xludf.DUMMYFUNCTION("""COMPUTED_VALUE"""),15.6)</f>
        <v>15.6</v>
      </c>
      <c r="F570" s="2" t="str">
        <f ca="1">IFERROR(__xludf.DUMMYFUNCTION("""COMPUTED_VALUE"""),"IPS Panel Touchscreen / 4K Ultra HD 3840x2160")</f>
        <v>IPS Panel Touchscreen / 4K Ultra HD 3840x2160</v>
      </c>
      <c r="G570" s="2" t="str">
        <f ca="1">IFERROR(__xludf.DUMMYFUNCTION("""COMPUTED_VALUE"""),"Intel Core i5 6300HQ 2.3GHz")</f>
        <v>Intel Core i5 6300HQ 2.3GHz</v>
      </c>
      <c r="H570" s="2" t="str">
        <f ca="1">IFERROR(__xludf.DUMMYFUNCTION("""COMPUTED_VALUE"""),"8GB")</f>
        <v>8GB</v>
      </c>
      <c r="I570" s="2" t="str">
        <f ca="1">IFERROR(__xludf.DUMMYFUNCTION("""COMPUTED_VALUE"""),"256GB SSD")</f>
        <v>256GB SSD</v>
      </c>
      <c r="J570" s="2" t="str">
        <f ca="1">IFERROR(__xludf.DUMMYFUNCTION("""COMPUTED_VALUE"""),"Nvidia GeForce 960M")</f>
        <v>Nvidia GeForce 960M</v>
      </c>
      <c r="K570" s="2" t="str">
        <f ca="1">IFERROR(__xludf.DUMMYFUNCTION("""COMPUTED_VALUE"""),"Windows 10")</f>
        <v>Windows 10</v>
      </c>
      <c r="L570" s="2" t="str">
        <f ca="1">IFERROR(__xludf.DUMMYFUNCTION("""COMPUTED_VALUE"""),"2.04kg")</f>
        <v>2.04kg</v>
      </c>
      <c r="M570" s="2">
        <f ca="1">IFERROR(__xludf.DUMMYFUNCTION("""COMPUTED_VALUE"""),2250.68)</f>
        <v>2250.6799999999998</v>
      </c>
    </row>
    <row r="571" spans="1:13">
      <c r="A571" s="2">
        <f ca="1">IFERROR(__xludf.DUMMYFUNCTION("""COMPUTED_VALUE"""),1176)</f>
        <v>1176</v>
      </c>
      <c r="B571" s="2" t="str">
        <f ca="1">IFERROR(__xludf.DUMMYFUNCTION("""COMPUTED_VALUE"""),"Lenovo")</f>
        <v>Lenovo</v>
      </c>
      <c r="C571" s="2" t="str">
        <f ca="1">IFERROR(__xludf.DUMMYFUNCTION("""COMPUTED_VALUE"""),"B51-80 (i5-6200U/8GB/1008GB/Radeon")</f>
        <v>B51-80 (i5-6200U/8GB/1008GB/Radeon</v>
      </c>
      <c r="D571" s="2" t="str">
        <f ca="1">IFERROR(__xludf.DUMMYFUNCTION("""COMPUTED_VALUE"""),"Notebook")</f>
        <v>Notebook</v>
      </c>
      <c r="E571" s="2">
        <f ca="1">IFERROR(__xludf.DUMMYFUNCTION("""COMPUTED_VALUE"""),15.6)</f>
        <v>15.6</v>
      </c>
      <c r="F571" s="2" t="str">
        <f ca="1">IFERROR(__xludf.DUMMYFUNCTION("""COMPUTED_VALUE"""),"Full HD 1920x1080")</f>
        <v>Full HD 1920x1080</v>
      </c>
      <c r="G571" s="2" t="str">
        <f ca="1">IFERROR(__xludf.DUMMYFUNCTION("""COMPUTED_VALUE"""),"Intel Core i5 6200U 2.3GHz")</f>
        <v>Intel Core i5 6200U 2.3GHz</v>
      </c>
      <c r="H571" s="2" t="str">
        <f ca="1">IFERROR(__xludf.DUMMYFUNCTION("""COMPUTED_VALUE"""),"8GB")</f>
        <v>8GB</v>
      </c>
      <c r="I571" s="2" t="str">
        <f ca="1">IFERROR(__xludf.DUMMYFUNCTION("""COMPUTED_VALUE"""),"1.0TB Hybrid")</f>
        <v>1.0TB Hybrid</v>
      </c>
      <c r="J571" s="2" t="str">
        <f ca="1">IFERROR(__xludf.DUMMYFUNCTION("""COMPUTED_VALUE"""),"AMD Radeon R5 M330")</f>
        <v>AMD Radeon R5 M330</v>
      </c>
      <c r="K571" s="2" t="str">
        <f ca="1">IFERROR(__xludf.DUMMYFUNCTION("""COMPUTED_VALUE"""),"Windows 10")</f>
        <v>Windows 10</v>
      </c>
      <c r="L571" s="2" t="str">
        <f ca="1">IFERROR(__xludf.DUMMYFUNCTION("""COMPUTED_VALUE"""),"2.5kg")</f>
        <v>2.5kg</v>
      </c>
      <c r="M571" s="2">
        <f ca="1">IFERROR(__xludf.DUMMYFUNCTION("""COMPUTED_VALUE"""),788.49)</f>
        <v>788.49</v>
      </c>
    </row>
    <row r="572" spans="1:13">
      <c r="A572" s="2">
        <f ca="1">IFERROR(__xludf.DUMMYFUNCTION("""COMPUTED_VALUE"""),1177)</f>
        <v>1177</v>
      </c>
      <c r="B572" s="2" t="str">
        <f ca="1">IFERROR(__xludf.DUMMYFUNCTION("""COMPUTED_VALUE"""),"HP")</f>
        <v>HP</v>
      </c>
      <c r="C572" s="2" t="str">
        <f ca="1">IFERROR(__xludf.DUMMYFUNCTION("""COMPUTED_VALUE"""),"Spectre Pro")</f>
        <v>Spectre Pro</v>
      </c>
      <c r="D572" s="2" t="str">
        <f ca="1">IFERROR(__xludf.DUMMYFUNCTION("""COMPUTED_VALUE"""),"2 in 1 Convertible")</f>
        <v>2 in 1 Convertible</v>
      </c>
      <c r="E572" s="2">
        <f ca="1">IFERROR(__xludf.DUMMYFUNCTION("""COMPUTED_VALUE"""),13.3)</f>
        <v>13.3</v>
      </c>
      <c r="F572" s="2" t="str">
        <f ca="1">IFERROR(__xludf.DUMMYFUNCTION("""COMPUTED_VALUE"""),"Touchscreen 2560x1440")</f>
        <v>Touchscreen 2560x1440</v>
      </c>
      <c r="G572" s="2" t="str">
        <f ca="1">IFERROR(__xludf.DUMMYFUNCTION("""COMPUTED_VALUE"""),"Intel Core i7 6600U 2.6GHz")</f>
        <v>Intel Core i7 6600U 2.6GHz</v>
      </c>
      <c r="H572" s="2" t="str">
        <f ca="1">IFERROR(__xludf.DUMMYFUNCTION("""COMPUTED_VALUE"""),"8GB")</f>
        <v>8GB</v>
      </c>
      <c r="I572" s="2" t="str">
        <f ca="1">IFERROR(__xludf.DUMMYFUNCTION("""COMPUTED_VALUE"""),"512GB SSD")</f>
        <v>512GB SSD</v>
      </c>
      <c r="J572" s="2" t="str">
        <f ca="1">IFERROR(__xludf.DUMMYFUNCTION("""COMPUTED_VALUE"""),"Intel HD Graphics 520")</f>
        <v>Intel HD Graphics 520</v>
      </c>
      <c r="K572" s="2" t="str">
        <f ca="1">IFERROR(__xludf.DUMMYFUNCTION("""COMPUTED_VALUE"""),"Windows 10")</f>
        <v>Windows 10</v>
      </c>
      <c r="L572" s="2" t="str">
        <f ca="1">IFERROR(__xludf.DUMMYFUNCTION("""COMPUTED_VALUE"""),"1.48kg")</f>
        <v>1.48kg</v>
      </c>
      <c r="M572" s="2">
        <f ca="1">IFERROR(__xludf.DUMMYFUNCTION("""COMPUTED_VALUE"""),2041)</f>
        <v>2041</v>
      </c>
    </row>
    <row r="573" spans="1:13">
      <c r="A573" s="2">
        <f ca="1">IFERROR(__xludf.DUMMYFUNCTION("""COMPUTED_VALUE"""),1178)</f>
        <v>1178</v>
      </c>
      <c r="B573" s="2" t="str">
        <f ca="1">IFERROR(__xludf.DUMMYFUNCTION("""COMPUTED_VALUE"""),"Lenovo")</f>
        <v>Lenovo</v>
      </c>
      <c r="C573" s="2" t="str">
        <f ca="1">IFERROR(__xludf.DUMMYFUNCTION("""COMPUTED_VALUE"""),"ThinkPad T460")</f>
        <v>ThinkPad T460</v>
      </c>
      <c r="D573" s="2" t="str">
        <f ca="1">IFERROR(__xludf.DUMMYFUNCTION("""COMPUTED_VALUE"""),"Ultrabook")</f>
        <v>Ultrabook</v>
      </c>
      <c r="E573" s="2">
        <f ca="1">IFERROR(__xludf.DUMMYFUNCTION("""COMPUTED_VALUE"""),14)</f>
        <v>14</v>
      </c>
      <c r="F573" s="2" t="str">
        <f ca="1">IFERROR(__xludf.DUMMYFUNCTION("""COMPUTED_VALUE"""),"Full HD 1920x1080")</f>
        <v>Full HD 1920x1080</v>
      </c>
      <c r="G573" s="2" t="str">
        <f ca="1">IFERROR(__xludf.DUMMYFUNCTION("""COMPUTED_VALUE"""),"Intel Core i7 6600U 2.6GHz")</f>
        <v>Intel Core i7 6600U 2.6GHz</v>
      </c>
      <c r="H573" s="2" t="str">
        <f ca="1">IFERROR(__xludf.DUMMYFUNCTION("""COMPUTED_VALUE"""),"8GB")</f>
        <v>8GB</v>
      </c>
      <c r="I573" s="2" t="str">
        <f ca="1">IFERROR(__xludf.DUMMYFUNCTION("""COMPUTED_VALUE"""),"256GB SSD")</f>
        <v>256GB SSD</v>
      </c>
      <c r="J573" s="2" t="str">
        <f ca="1">IFERROR(__xludf.DUMMYFUNCTION("""COMPUTED_VALUE"""),"Intel HD Graphics 520")</f>
        <v>Intel HD Graphics 520</v>
      </c>
      <c r="K573" s="2" t="str">
        <f ca="1">IFERROR(__xludf.DUMMYFUNCTION("""COMPUTED_VALUE"""),"Windows 7")</f>
        <v>Windows 7</v>
      </c>
      <c r="L573" s="2" t="str">
        <f ca="1">IFERROR(__xludf.DUMMYFUNCTION("""COMPUTED_VALUE"""),"1.7kg")</f>
        <v>1.7kg</v>
      </c>
      <c r="M573" s="2">
        <f ca="1">IFERROR(__xludf.DUMMYFUNCTION("""COMPUTED_VALUE"""),1499)</f>
        <v>1499</v>
      </c>
    </row>
    <row r="574" spans="1:13">
      <c r="A574" s="2">
        <f ca="1">IFERROR(__xludf.DUMMYFUNCTION("""COMPUTED_VALUE"""),1180)</f>
        <v>1180</v>
      </c>
      <c r="B574" s="2" t="str">
        <f ca="1">IFERROR(__xludf.DUMMYFUNCTION("""COMPUTED_VALUE"""),"HP")</f>
        <v>HP</v>
      </c>
      <c r="C574" s="2" t="str">
        <f ca="1">IFERROR(__xludf.DUMMYFUNCTION("""COMPUTED_VALUE"""),"Pavilion 15-cb003nv")</f>
        <v>Pavilion 15-cb003nv</v>
      </c>
      <c r="D574" s="2" t="str">
        <f ca="1">IFERROR(__xludf.DUMMYFUNCTION("""COMPUTED_VALUE"""),"Gaming")</f>
        <v>Gaming</v>
      </c>
      <c r="E574" s="2">
        <f ca="1">IFERROR(__xludf.DUMMYFUNCTION("""COMPUTED_VALUE"""),15.6)</f>
        <v>15.6</v>
      </c>
      <c r="F574" s="2" t="str">
        <f ca="1">IFERROR(__xludf.DUMMYFUNCTION("""COMPUTED_VALUE"""),"IPS Panel Full HD 1920x1080")</f>
        <v>IPS Panel Full HD 1920x1080</v>
      </c>
      <c r="G574" s="2" t="str">
        <f ca="1">IFERROR(__xludf.DUMMYFUNCTION("""COMPUTED_VALUE"""),"Intel Core i7 7700HQ 2.8GHz")</f>
        <v>Intel Core i7 7700HQ 2.8GHz</v>
      </c>
      <c r="H574" s="2" t="str">
        <f ca="1">IFERROR(__xludf.DUMMYFUNCTION("""COMPUTED_VALUE"""),"8GB")</f>
        <v>8GB</v>
      </c>
      <c r="I574" s="2" t="str">
        <f ca="1">IFERROR(__xludf.DUMMYFUNCTION("""COMPUTED_VALUE"""),"1TB HDD")</f>
        <v>1TB HDD</v>
      </c>
      <c r="J574" s="2" t="str">
        <f ca="1">IFERROR(__xludf.DUMMYFUNCTION("""COMPUTED_VALUE"""),"Nvidia GeForce GTX 1050")</f>
        <v>Nvidia GeForce GTX 1050</v>
      </c>
      <c r="K574" s="2" t="str">
        <f ca="1">IFERROR(__xludf.DUMMYFUNCTION("""COMPUTED_VALUE"""),"Windows 10")</f>
        <v>Windows 10</v>
      </c>
      <c r="L574" s="2" t="str">
        <f ca="1">IFERROR(__xludf.DUMMYFUNCTION("""COMPUTED_VALUE"""),"2.62kg")</f>
        <v>2.62kg</v>
      </c>
      <c r="M574" s="2">
        <f ca="1">IFERROR(__xludf.DUMMYFUNCTION("""COMPUTED_VALUE"""),899)</f>
        <v>899</v>
      </c>
    </row>
    <row r="575" spans="1:13">
      <c r="A575" s="2">
        <f ca="1">IFERROR(__xludf.DUMMYFUNCTION("""COMPUTED_VALUE"""),1181)</f>
        <v>1181</v>
      </c>
      <c r="B575" s="2" t="str">
        <f ca="1">IFERROR(__xludf.DUMMYFUNCTION("""COMPUTED_VALUE"""),"Lenovo")</f>
        <v>Lenovo</v>
      </c>
      <c r="C575" s="2" t="str">
        <f ca="1">IFERROR(__xludf.DUMMYFUNCTION("""COMPUTED_VALUE"""),"IdeaPad 310-15ISK")</f>
        <v>IdeaPad 310-15ISK</v>
      </c>
      <c r="D575" s="2" t="str">
        <f ca="1">IFERROR(__xludf.DUMMYFUNCTION("""COMPUTED_VALUE"""),"Notebook")</f>
        <v>Notebook</v>
      </c>
      <c r="E575" s="2">
        <f ca="1">IFERROR(__xludf.DUMMYFUNCTION("""COMPUTED_VALUE"""),15.6)</f>
        <v>15.6</v>
      </c>
      <c r="F575" s="2" t="str">
        <f ca="1">IFERROR(__xludf.DUMMYFUNCTION("""COMPUTED_VALUE"""),"1366x768")</f>
        <v>1366x768</v>
      </c>
      <c r="G575" s="2" t="str">
        <f ca="1">IFERROR(__xludf.DUMMYFUNCTION("""COMPUTED_VALUE"""),"Intel Core i3 6006U 2.0GHz")</f>
        <v>Intel Core i3 6006U 2.0GHz</v>
      </c>
      <c r="H575" s="2" t="str">
        <f ca="1">IFERROR(__xludf.DUMMYFUNCTION("""COMPUTED_VALUE"""),"8GB")</f>
        <v>8GB</v>
      </c>
      <c r="I575" s="2" t="str">
        <f ca="1">IFERROR(__xludf.DUMMYFUNCTION("""COMPUTED_VALUE"""),"1TB HDD")</f>
        <v>1TB HDD</v>
      </c>
      <c r="J575" s="2" t="str">
        <f ca="1">IFERROR(__xludf.DUMMYFUNCTION("""COMPUTED_VALUE"""),"Intel HD Graphics 520")</f>
        <v>Intel HD Graphics 520</v>
      </c>
      <c r="K575" s="2" t="str">
        <f ca="1">IFERROR(__xludf.DUMMYFUNCTION("""COMPUTED_VALUE"""),"Windows 10")</f>
        <v>Windows 10</v>
      </c>
      <c r="L575" s="2" t="str">
        <f ca="1">IFERROR(__xludf.DUMMYFUNCTION("""COMPUTED_VALUE"""),"2.2kg")</f>
        <v>2.2kg</v>
      </c>
      <c r="M575" s="2">
        <f ca="1">IFERROR(__xludf.DUMMYFUNCTION("""COMPUTED_VALUE"""),459)</f>
        <v>459</v>
      </c>
    </row>
    <row r="576" spans="1:13">
      <c r="A576" s="2">
        <f ca="1">IFERROR(__xludf.DUMMYFUNCTION("""COMPUTED_VALUE"""),1183)</f>
        <v>1183</v>
      </c>
      <c r="B576" s="2" t="str">
        <f ca="1">IFERROR(__xludf.DUMMYFUNCTION("""COMPUTED_VALUE"""),"Dell")</f>
        <v>Dell</v>
      </c>
      <c r="C576" s="2" t="str">
        <f ca="1">IFERROR(__xludf.DUMMYFUNCTION("""COMPUTED_VALUE"""),"Inspiron 7567")</f>
        <v>Inspiron 7567</v>
      </c>
      <c r="D576" s="2" t="str">
        <f ca="1">IFERROR(__xludf.DUMMYFUNCTION("""COMPUTED_VALUE"""),"Gaming")</f>
        <v>Gaming</v>
      </c>
      <c r="E576" s="2">
        <f ca="1">IFERROR(__xludf.DUMMYFUNCTION("""COMPUTED_VALUE"""),15.6)</f>
        <v>15.6</v>
      </c>
      <c r="F576" s="2" t="str">
        <f ca="1">IFERROR(__xludf.DUMMYFUNCTION("""COMPUTED_VALUE"""),"4K Ultra HD 3840x2160")</f>
        <v>4K Ultra HD 3840x2160</v>
      </c>
      <c r="G576" s="2" t="str">
        <f ca="1">IFERROR(__xludf.DUMMYFUNCTION("""COMPUTED_VALUE"""),"Intel Core i7 7700HQ 2.8GHz")</f>
        <v>Intel Core i7 7700HQ 2.8GHz</v>
      </c>
      <c r="H576" s="2" t="str">
        <f ca="1">IFERROR(__xludf.DUMMYFUNCTION("""COMPUTED_VALUE"""),"8GB")</f>
        <v>8GB</v>
      </c>
      <c r="I576" s="2" t="str">
        <f ca="1">IFERROR(__xludf.DUMMYFUNCTION("""COMPUTED_VALUE"""),"128GB SSD +  1TB HDD")</f>
        <v>128GB SSD +  1TB HDD</v>
      </c>
      <c r="J576" s="2" t="str">
        <f ca="1">IFERROR(__xludf.DUMMYFUNCTION("""COMPUTED_VALUE"""),"Nvidia GeForce GTX 1050 Ti")</f>
        <v>Nvidia GeForce GTX 1050 Ti</v>
      </c>
      <c r="K576" s="2" t="str">
        <f ca="1">IFERROR(__xludf.DUMMYFUNCTION("""COMPUTED_VALUE"""),"Windows 10")</f>
        <v>Windows 10</v>
      </c>
      <c r="L576" s="2" t="str">
        <f ca="1">IFERROR(__xludf.DUMMYFUNCTION("""COMPUTED_VALUE"""),"2.62kg")</f>
        <v>2.62kg</v>
      </c>
      <c r="M576" s="2">
        <f ca="1">IFERROR(__xludf.DUMMYFUNCTION("""COMPUTED_VALUE"""),1498)</f>
        <v>1498</v>
      </c>
    </row>
    <row r="577" spans="1:13">
      <c r="A577" s="2">
        <f ca="1">IFERROR(__xludf.DUMMYFUNCTION("""COMPUTED_VALUE"""),1184)</f>
        <v>1184</v>
      </c>
      <c r="B577" s="2" t="str">
        <f ca="1">IFERROR(__xludf.DUMMYFUNCTION("""COMPUTED_VALUE"""),"Lenovo")</f>
        <v>Lenovo</v>
      </c>
      <c r="C577" s="2" t="str">
        <f ca="1">IFERROR(__xludf.DUMMYFUNCTION("""COMPUTED_VALUE"""),"ThinkPad T570")</f>
        <v>ThinkPad T570</v>
      </c>
      <c r="D577" s="2" t="str">
        <f ca="1">IFERROR(__xludf.DUMMYFUNCTION("""COMPUTED_VALUE"""),"Notebook")</f>
        <v>Notebook</v>
      </c>
      <c r="E577" s="2">
        <f ca="1">IFERROR(__xludf.DUMMYFUNCTION("""COMPUTED_VALUE"""),15.6)</f>
        <v>15.6</v>
      </c>
      <c r="F577" s="2" t="str">
        <f ca="1">IFERROR(__xludf.DUMMYFUNCTION("""COMPUTED_VALUE"""),"IPS Panel Full HD 1920x1080")</f>
        <v>IPS Panel Full HD 1920x1080</v>
      </c>
      <c r="G577" s="2" t="str">
        <f ca="1">IFERROR(__xludf.DUMMYFUNCTION("""COMPUTED_VALUE"""),"Intel Core i5 7200U 2.5GHz")</f>
        <v>Intel Core i5 7200U 2.5GHz</v>
      </c>
      <c r="H577" s="2" t="str">
        <f ca="1">IFERROR(__xludf.DUMMYFUNCTION("""COMPUTED_VALUE"""),"8GB")</f>
        <v>8GB</v>
      </c>
      <c r="I577" s="2" t="str">
        <f ca="1">IFERROR(__xludf.DUMMYFUNCTION("""COMPUTED_VALUE"""),"256GB SSD")</f>
        <v>256GB SSD</v>
      </c>
      <c r="J577" s="2" t="str">
        <f ca="1">IFERROR(__xludf.DUMMYFUNCTION("""COMPUTED_VALUE"""),"Intel HD Graphics 620")</f>
        <v>Intel HD Graphics 620</v>
      </c>
      <c r="K577" s="2" t="str">
        <f ca="1">IFERROR(__xludf.DUMMYFUNCTION("""COMPUTED_VALUE"""),"Windows 10")</f>
        <v>Windows 10</v>
      </c>
      <c r="L577" s="2" t="str">
        <f ca="1">IFERROR(__xludf.DUMMYFUNCTION("""COMPUTED_VALUE"""),"1.95kg")</f>
        <v>1.95kg</v>
      </c>
      <c r="M577" s="2">
        <f ca="1">IFERROR(__xludf.DUMMYFUNCTION("""COMPUTED_VALUE"""),1390)</f>
        <v>1390</v>
      </c>
    </row>
    <row r="578" spans="1:13">
      <c r="A578" s="2">
        <f ca="1">IFERROR(__xludf.DUMMYFUNCTION("""COMPUTED_VALUE"""),1187)</f>
        <v>1187</v>
      </c>
      <c r="B578" s="2" t="str">
        <f ca="1">IFERROR(__xludf.DUMMYFUNCTION("""COMPUTED_VALUE"""),"MSI")</f>
        <v>MSI</v>
      </c>
      <c r="C578" s="2" t="str">
        <f ca="1">IFERROR(__xludf.DUMMYFUNCTION("""COMPUTED_VALUE"""),"PL60 7RD")</f>
        <v>PL60 7RD</v>
      </c>
      <c r="D578" s="2" t="str">
        <f ca="1">IFERROR(__xludf.DUMMYFUNCTION("""COMPUTED_VALUE"""),"Gaming")</f>
        <v>Gaming</v>
      </c>
      <c r="E578" s="2">
        <f ca="1">IFERROR(__xludf.DUMMYFUNCTION("""COMPUTED_VALUE"""),15.6)</f>
        <v>15.6</v>
      </c>
      <c r="F578" s="2" t="str">
        <f ca="1">IFERROR(__xludf.DUMMYFUNCTION("""COMPUTED_VALUE"""),"IPS Panel Full HD 1920x1080")</f>
        <v>IPS Panel Full HD 1920x1080</v>
      </c>
      <c r="G578" s="2" t="str">
        <f ca="1">IFERROR(__xludf.DUMMYFUNCTION("""COMPUTED_VALUE"""),"Intel Core i7 7500U 2.7GHz")</f>
        <v>Intel Core i7 7500U 2.7GHz</v>
      </c>
      <c r="H578" s="2" t="str">
        <f ca="1">IFERROR(__xludf.DUMMYFUNCTION("""COMPUTED_VALUE"""),"8GB")</f>
        <v>8GB</v>
      </c>
      <c r="I578" s="2" t="str">
        <f ca="1">IFERROR(__xludf.DUMMYFUNCTION("""COMPUTED_VALUE"""),"1TB HDD")</f>
        <v>1TB HDD</v>
      </c>
      <c r="J578" s="2" t="str">
        <f ca="1">IFERROR(__xludf.DUMMYFUNCTION("""COMPUTED_VALUE"""),"Nvidia GeForce GTX 1050")</f>
        <v>Nvidia GeForce GTX 1050</v>
      </c>
      <c r="K578" s="2" t="str">
        <f ca="1">IFERROR(__xludf.DUMMYFUNCTION("""COMPUTED_VALUE"""),"Windows 10")</f>
        <v>Windows 10</v>
      </c>
      <c r="L578" s="2" t="str">
        <f ca="1">IFERROR(__xludf.DUMMYFUNCTION("""COMPUTED_VALUE"""),"2.2kg")</f>
        <v>2.2kg</v>
      </c>
      <c r="M578" s="2">
        <f ca="1">IFERROR(__xludf.DUMMYFUNCTION("""COMPUTED_VALUE"""),839)</f>
        <v>839</v>
      </c>
    </row>
    <row r="579" spans="1:13">
      <c r="A579" s="2">
        <f ca="1">IFERROR(__xludf.DUMMYFUNCTION("""COMPUTED_VALUE"""),1188)</f>
        <v>1188</v>
      </c>
      <c r="B579" s="2" t="str">
        <f ca="1">IFERROR(__xludf.DUMMYFUNCTION("""COMPUTED_VALUE"""),"HP")</f>
        <v>HP</v>
      </c>
      <c r="C579" s="2" t="str">
        <f ca="1">IFERROR(__xludf.DUMMYFUNCTION("""COMPUTED_VALUE"""),"250 G5")</f>
        <v>250 G5</v>
      </c>
      <c r="D579" s="2" t="str">
        <f ca="1">IFERROR(__xludf.DUMMYFUNCTION("""COMPUTED_VALUE"""),"Notebook")</f>
        <v>Notebook</v>
      </c>
      <c r="E579" s="2">
        <f ca="1">IFERROR(__xludf.DUMMYFUNCTION("""COMPUTED_VALUE"""),15.6)</f>
        <v>15.6</v>
      </c>
      <c r="F579" s="2" t="str">
        <f ca="1">IFERROR(__xludf.DUMMYFUNCTION("""COMPUTED_VALUE"""),"Full HD 1920x1080")</f>
        <v>Full HD 1920x1080</v>
      </c>
      <c r="G579" s="2" t="str">
        <f ca="1">IFERROR(__xludf.DUMMYFUNCTION("""COMPUTED_VALUE"""),"Intel Core i7 6500U 2.5GHz")</f>
        <v>Intel Core i7 6500U 2.5GHz</v>
      </c>
      <c r="H579" s="2" t="str">
        <f ca="1">IFERROR(__xludf.DUMMYFUNCTION("""COMPUTED_VALUE"""),"8GB")</f>
        <v>8GB</v>
      </c>
      <c r="I579" s="2" t="str">
        <f ca="1">IFERROR(__xludf.DUMMYFUNCTION("""COMPUTED_VALUE"""),"256GB SSD")</f>
        <v>256GB SSD</v>
      </c>
      <c r="J579" s="2" t="str">
        <f ca="1">IFERROR(__xludf.DUMMYFUNCTION("""COMPUTED_VALUE"""),"Intel HD Graphics 520")</f>
        <v>Intel HD Graphics 520</v>
      </c>
      <c r="K579" s="2" t="str">
        <f ca="1">IFERROR(__xludf.DUMMYFUNCTION("""COMPUTED_VALUE"""),"Windows 10")</f>
        <v>Windows 10</v>
      </c>
      <c r="L579" s="2" t="str">
        <f ca="1">IFERROR(__xludf.DUMMYFUNCTION("""COMPUTED_VALUE"""),"1.96kg")</f>
        <v>1.96kg</v>
      </c>
      <c r="M579" s="2">
        <f ca="1">IFERROR(__xludf.DUMMYFUNCTION("""COMPUTED_VALUE"""),679)</f>
        <v>679</v>
      </c>
    </row>
    <row r="580" spans="1:13">
      <c r="A580" s="2">
        <f ca="1">IFERROR(__xludf.DUMMYFUNCTION("""COMPUTED_VALUE"""),1192)</f>
        <v>1192</v>
      </c>
      <c r="B580" s="2" t="str">
        <f ca="1">IFERROR(__xludf.DUMMYFUNCTION("""COMPUTED_VALUE"""),"Lenovo")</f>
        <v>Lenovo</v>
      </c>
      <c r="C580" s="2" t="str">
        <f ca="1">IFERROR(__xludf.DUMMYFUNCTION("""COMPUTED_VALUE"""),"IdeaPad 510-15IKB")</f>
        <v>IdeaPad 510-15IKB</v>
      </c>
      <c r="D580" s="2" t="str">
        <f ca="1">IFERROR(__xludf.DUMMYFUNCTION("""COMPUTED_VALUE"""),"Notebook")</f>
        <v>Notebook</v>
      </c>
      <c r="E580" s="2">
        <f ca="1">IFERROR(__xludf.DUMMYFUNCTION("""COMPUTED_VALUE"""),15.6)</f>
        <v>15.6</v>
      </c>
      <c r="F580" s="2" t="str">
        <f ca="1">IFERROR(__xludf.DUMMYFUNCTION("""COMPUTED_VALUE"""),"Full HD 1920x1080")</f>
        <v>Full HD 1920x1080</v>
      </c>
      <c r="G580" s="2" t="str">
        <f ca="1">IFERROR(__xludf.DUMMYFUNCTION("""COMPUTED_VALUE"""),"Intel Core i7 7500U 2.7GHz")</f>
        <v>Intel Core i7 7500U 2.7GHz</v>
      </c>
      <c r="H580" s="2" t="str">
        <f ca="1">IFERROR(__xludf.DUMMYFUNCTION("""COMPUTED_VALUE"""),"8GB")</f>
        <v>8GB</v>
      </c>
      <c r="I580" s="2" t="str">
        <f ca="1">IFERROR(__xludf.DUMMYFUNCTION("""COMPUTED_VALUE"""),"1TB HDD")</f>
        <v>1TB HDD</v>
      </c>
      <c r="J580" s="2" t="str">
        <f ca="1">IFERROR(__xludf.DUMMYFUNCTION("""COMPUTED_VALUE"""),"Nvidia GeForce 940MX")</f>
        <v>Nvidia GeForce 940MX</v>
      </c>
      <c r="K580" s="2" t="str">
        <f ca="1">IFERROR(__xludf.DUMMYFUNCTION("""COMPUTED_VALUE"""),"No OS")</f>
        <v>No OS</v>
      </c>
      <c r="L580" s="2" t="str">
        <f ca="1">IFERROR(__xludf.DUMMYFUNCTION("""COMPUTED_VALUE"""),"2.2kg")</f>
        <v>2.2kg</v>
      </c>
      <c r="M580" s="2">
        <f ca="1">IFERROR(__xludf.DUMMYFUNCTION("""COMPUTED_VALUE"""),709)</f>
        <v>709</v>
      </c>
    </row>
    <row r="581" spans="1:13">
      <c r="A581" s="2">
        <f ca="1">IFERROR(__xludf.DUMMYFUNCTION("""COMPUTED_VALUE"""),1198)</f>
        <v>1198</v>
      </c>
      <c r="B581" s="2" t="str">
        <f ca="1">IFERROR(__xludf.DUMMYFUNCTION("""COMPUTED_VALUE"""),"Lenovo")</f>
        <v>Lenovo</v>
      </c>
      <c r="C581" s="2" t="str">
        <f ca="1">IFERROR(__xludf.DUMMYFUNCTION("""COMPUTED_VALUE"""),"ThinkPad X1")</f>
        <v>ThinkPad X1</v>
      </c>
      <c r="D581" s="2" t="str">
        <f ca="1">IFERROR(__xludf.DUMMYFUNCTION("""COMPUTED_VALUE"""),"2 in 1 Convertible")</f>
        <v>2 in 1 Convertible</v>
      </c>
      <c r="E581" s="2">
        <f ca="1">IFERROR(__xludf.DUMMYFUNCTION("""COMPUTED_VALUE"""),14)</f>
        <v>14</v>
      </c>
      <c r="F581" s="2" t="str">
        <f ca="1">IFERROR(__xludf.DUMMYFUNCTION("""COMPUTED_VALUE"""),"IPS Panel Touchscreen 2560x1440")</f>
        <v>IPS Panel Touchscreen 2560x1440</v>
      </c>
      <c r="G581" s="2" t="str">
        <f ca="1">IFERROR(__xludf.DUMMYFUNCTION("""COMPUTED_VALUE"""),"Intel Core i5 6200U 2.3GHz")</f>
        <v>Intel Core i5 6200U 2.3GHz</v>
      </c>
      <c r="H581" s="2" t="str">
        <f ca="1">IFERROR(__xludf.DUMMYFUNCTION("""COMPUTED_VALUE"""),"8GB")</f>
        <v>8GB</v>
      </c>
      <c r="I581" s="2" t="str">
        <f ca="1">IFERROR(__xludf.DUMMYFUNCTION("""COMPUTED_VALUE"""),"256GB SSD")</f>
        <v>256GB SSD</v>
      </c>
      <c r="J581" s="2" t="str">
        <f ca="1">IFERROR(__xludf.DUMMYFUNCTION("""COMPUTED_VALUE"""),"Intel HD Graphics 520")</f>
        <v>Intel HD Graphics 520</v>
      </c>
      <c r="K581" s="2" t="str">
        <f ca="1">IFERROR(__xludf.DUMMYFUNCTION("""COMPUTED_VALUE"""),"Windows 10")</f>
        <v>Windows 10</v>
      </c>
      <c r="L581" s="2" t="str">
        <f ca="1">IFERROR(__xludf.DUMMYFUNCTION("""COMPUTED_VALUE"""),"1.36kg")</f>
        <v>1.36kg</v>
      </c>
      <c r="M581" s="2">
        <f ca="1">IFERROR(__xludf.DUMMYFUNCTION("""COMPUTED_VALUE"""),1637)</f>
        <v>1637</v>
      </c>
    </row>
    <row r="582" spans="1:13">
      <c r="A582" s="2">
        <f ca="1">IFERROR(__xludf.DUMMYFUNCTION("""COMPUTED_VALUE"""),1200)</f>
        <v>1200</v>
      </c>
      <c r="B582" s="2" t="str">
        <f ca="1">IFERROR(__xludf.DUMMYFUNCTION("""COMPUTED_VALUE"""),"Dell")</f>
        <v>Dell</v>
      </c>
      <c r="C582" s="2" t="str">
        <f ca="1">IFERROR(__xludf.DUMMYFUNCTION("""COMPUTED_VALUE"""),"Vostro 5568")</f>
        <v>Vostro 5568</v>
      </c>
      <c r="D582" s="2" t="str">
        <f ca="1">IFERROR(__xludf.DUMMYFUNCTION("""COMPUTED_VALUE"""),"Notebook")</f>
        <v>Notebook</v>
      </c>
      <c r="E582" s="2">
        <f ca="1">IFERROR(__xludf.DUMMYFUNCTION("""COMPUTED_VALUE"""),15.6)</f>
        <v>15.6</v>
      </c>
      <c r="F582" s="2" t="str">
        <f ca="1">IFERROR(__xludf.DUMMYFUNCTION("""COMPUTED_VALUE"""),"Full HD 1920x1080")</f>
        <v>Full HD 1920x1080</v>
      </c>
      <c r="G582" s="2" t="str">
        <f ca="1">IFERROR(__xludf.DUMMYFUNCTION("""COMPUTED_VALUE"""),"Intel Core i7 7500U 2.7GHz")</f>
        <v>Intel Core i7 7500U 2.7GHz</v>
      </c>
      <c r="H582" s="2" t="str">
        <f ca="1">IFERROR(__xludf.DUMMYFUNCTION("""COMPUTED_VALUE"""),"8GB")</f>
        <v>8GB</v>
      </c>
      <c r="I582" s="2" t="str">
        <f ca="1">IFERROR(__xludf.DUMMYFUNCTION("""COMPUTED_VALUE"""),"256GB SSD")</f>
        <v>256GB SSD</v>
      </c>
      <c r="J582" s="2" t="str">
        <f ca="1">IFERROR(__xludf.DUMMYFUNCTION("""COMPUTED_VALUE"""),"Nvidia GeForce GT 940MX")</f>
        <v>Nvidia GeForce GT 940MX</v>
      </c>
      <c r="K582" s="2" t="str">
        <f ca="1">IFERROR(__xludf.DUMMYFUNCTION("""COMPUTED_VALUE"""),"Linux")</f>
        <v>Linux</v>
      </c>
      <c r="L582" s="2" t="str">
        <f ca="1">IFERROR(__xludf.DUMMYFUNCTION("""COMPUTED_VALUE"""),"1.98kg")</f>
        <v>1.98kg</v>
      </c>
      <c r="M582" s="2">
        <f ca="1">IFERROR(__xludf.DUMMYFUNCTION("""COMPUTED_VALUE"""),895.01)</f>
        <v>895.01</v>
      </c>
    </row>
    <row r="583" spans="1:13">
      <c r="A583" s="2">
        <f ca="1">IFERROR(__xludf.DUMMYFUNCTION("""COMPUTED_VALUE"""),1203)</f>
        <v>1203</v>
      </c>
      <c r="B583" s="2" t="str">
        <f ca="1">IFERROR(__xludf.DUMMYFUNCTION("""COMPUTED_VALUE"""),"Asus")</f>
        <v>Asus</v>
      </c>
      <c r="C583" s="2" t="str">
        <f ca="1">IFERROR(__xludf.DUMMYFUNCTION("""COMPUTED_VALUE"""),"Rog GL552VW-DM201T")</f>
        <v>Rog GL552VW-DM201T</v>
      </c>
      <c r="D583" s="2" t="str">
        <f ca="1">IFERROR(__xludf.DUMMYFUNCTION("""COMPUTED_VALUE"""),"Gaming")</f>
        <v>Gaming</v>
      </c>
      <c r="E583" s="2">
        <f ca="1">IFERROR(__xludf.DUMMYFUNCTION("""COMPUTED_VALUE"""),15.6)</f>
        <v>15.6</v>
      </c>
      <c r="F583" s="2" t="str">
        <f ca="1">IFERROR(__xludf.DUMMYFUNCTION("""COMPUTED_VALUE"""),"IPS Panel Full HD 1920x1080")</f>
        <v>IPS Panel Full HD 1920x1080</v>
      </c>
      <c r="G583" s="2" t="str">
        <f ca="1">IFERROR(__xludf.DUMMYFUNCTION("""COMPUTED_VALUE"""),"Intel Core i7 6700HQ 2.6GHz")</f>
        <v>Intel Core i7 6700HQ 2.6GHz</v>
      </c>
      <c r="H583" s="2" t="str">
        <f ca="1">IFERROR(__xludf.DUMMYFUNCTION("""COMPUTED_VALUE"""),"8GB")</f>
        <v>8GB</v>
      </c>
      <c r="I583" s="2" t="str">
        <f ca="1">IFERROR(__xludf.DUMMYFUNCTION("""COMPUTED_VALUE"""),"256GB SSD +  1TB HDD")</f>
        <v>256GB SSD +  1TB HDD</v>
      </c>
      <c r="J583" s="2" t="str">
        <f ca="1">IFERROR(__xludf.DUMMYFUNCTION("""COMPUTED_VALUE"""),"Nvidia GeForce GTX 960M")</f>
        <v>Nvidia GeForce GTX 960M</v>
      </c>
      <c r="K583" s="2" t="str">
        <f ca="1">IFERROR(__xludf.DUMMYFUNCTION("""COMPUTED_VALUE"""),"Windows 10")</f>
        <v>Windows 10</v>
      </c>
      <c r="L583" s="2" t="str">
        <f ca="1">IFERROR(__xludf.DUMMYFUNCTION("""COMPUTED_VALUE"""),"2.591kg")</f>
        <v>2.591kg</v>
      </c>
      <c r="M583" s="2">
        <f ca="1">IFERROR(__xludf.DUMMYFUNCTION("""COMPUTED_VALUE"""),909)</f>
        <v>909</v>
      </c>
    </row>
    <row r="584" spans="1:13">
      <c r="A584" s="2">
        <f ca="1">IFERROR(__xludf.DUMMYFUNCTION("""COMPUTED_VALUE"""),1206)</f>
        <v>1206</v>
      </c>
      <c r="B584" s="2" t="str">
        <f ca="1">IFERROR(__xludf.DUMMYFUNCTION("""COMPUTED_VALUE"""),"Dell")</f>
        <v>Dell</v>
      </c>
      <c r="C584" s="2" t="str">
        <f ca="1">IFERROR(__xludf.DUMMYFUNCTION("""COMPUTED_VALUE"""),"XPS 13")</f>
        <v>XPS 13</v>
      </c>
      <c r="D584" s="2" t="str">
        <f ca="1">IFERROR(__xludf.DUMMYFUNCTION("""COMPUTED_VALUE"""),"Ultrabook")</f>
        <v>Ultrabook</v>
      </c>
      <c r="E584" s="2">
        <f ca="1">IFERROR(__xludf.DUMMYFUNCTION("""COMPUTED_VALUE"""),13.3)</f>
        <v>13.3</v>
      </c>
      <c r="F584" s="2" t="str">
        <f ca="1">IFERROR(__xludf.DUMMYFUNCTION("""COMPUTED_VALUE"""),"Quad HD+ / Touchscreen 3200x1800")</f>
        <v>Quad HD+ / Touchscreen 3200x1800</v>
      </c>
      <c r="G584" s="2" t="str">
        <f ca="1">IFERROR(__xludf.DUMMYFUNCTION("""COMPUTED_VALUE"""),"Intel Core i5 6300U 2.4GHz")</f>
        <v>Intel Core i5 6300U 2.4GHz</v>
      </c>
      <c r="H584" s="2" t="str">
        <f ca="1">IFERROR(__xludf.DUMMYFUNCTION("""COMPUTED_VALUE"""),"8GB")</f>
        <v>8GB</v>
      </c>
      <c r="I584" s="2" t="str">
        <f ca="1">IFERROR(__xludf.DUMMYFUNCTION("""COMPUTED_VALUE"""),"256GB SSD")</f>
        <v>256GB SSD</v>
      </c>
      <c r="J584" s="2" t="str">
        <f ca="1">IFERROR(__xludf.DUMMYFUNCTION("""COMPUTED_VALUE"""),"Intel HD Graphics 520")</f>
        <v>Intel HD Graphics 520</v>
      </c>
      <c r="K584" s="2" t="str">
        <f ca="1">IFERROR(__xludf.DUMMYFUNCTION("""COMPUTED_VALUE"""),"Linux")</f>
        <v>Linux</v>
      </c>
      <c r="L584" s="2" t="str">
        <f ca="1">IFERROR(__xludf.DUMMYFUNCTION("""COMPUTED_VALUE"""),"1.23kg")</f>
        <v>1.23kg</v>
      </c>
      <c r="M584" s="2">
        <f ca="1">IFERROR(__xludf.DUMMYFUNCTION("""COMPUTED_VALUE"""),1099)</f>
        <v>1099</v>
      </c>
    </row>
    <row r="585" spans="1:13">
      <c r="A585" s="2">
        <f ca="1">IFERROR(__xludf.DUMMYFUNCTION("""COMPUTED_VALUE"""),1208)</f>
        <v>1208</v>
      </c>
      <c r="B585" s="2" t="str">
        <f ca="1">IFERROR(__xludf.DUMMYFUNCTION("""COMPUTED_VALUE"""),"Lenovo")</f>
        <v>Lenovo</v>
      </c>
      <c r="C585" s="2" t="str">
        <f ca="1">IFERROR(__xludf.DUMMYFUNCTION("""COMPUTED_VALUE"""),"Legion Y520-15IKBN")</f>
        <v>Legion Y520-15IKBN</v>
      </c>
      <c r="D585" s="2" t="str">
        <f ca="1">IFERROR(__xludf.DUMMYFUNCTION("""COMPUTED_VALUE"""),"Gaming")</f>
        <v>Gaming</v>
      </c>
      <c r="E585" s="2">
        <f ca="1">IFERROR(__xludf.DUMMYFUNCTION("""COMPUTED_VALUE"""),15.6)</f>
        <v>15.6</v>
      </c>
      <c r="F585" s="2" t="str">
        <f ca="1">IFERROR(__xludf.DUMMYFUNCTION("""COMPUTED_VALUE"""),"IPS Panel Full HD 1920x1080")</f>
        <v>IPS Panel Full HD 1920x1080</v>
      </c>
      <c r="G585" s="2" t="str">
        <f ca="1">IFERROR(__xludf.DUMMYFUNCTION("""COMPUTED_VALUE"""),"Intel Core i5 7300HQ 2.5GHz")</f>
        <v>Intel Core i5 7300HQ 2.5GHz</v>
      </c>
      <c r="H585" s="2" t="str">
        <f ca="1">IFERROR(__xludf.DUMMYFUNCTION("""COMPUTED_VALUE"""),"8GB")</f>
        <v>8GB</v>
      </c>
      <c r="I585" s="2" t="str">
        <f ca="1">IFERROR(__xludf.DUMMYFUNCTION("""COMPUTED_VALUE"""),"1TB HDD")</f>
        <v>1TB HDD</v>
      </c>
      <c r="J585" s="2" t="str">
        <f ca="1">IFERROR(__xludf.DUMMYFUNCTION("""COMPUTED_VALUE"""),"Nvidia GeForce GTX 1050")</f>
        <v>Nvidia GeForce GTX 1050</v>
      </c>
      <c r="K585" s="2" t="str">
        <f ca="1">IFERROR(__xludf.DUMMYFUNCTION("""COMPUTED_VALUE"""),"Windows 10")</f>
        <v>Windows 10</v>
      </c>
      <c r="L585" s="2" t="str">
        <f ca="1">IFERROR(__xludf.DUMMYFUNCTION("""COMPUTED_VALUE"""),"2.4kg")</f>
        <v>2.4kg</v>
      </c>
      <c r="M585" s="2">
        <f ca="1">IFERROR(__xludf.DUMMYFUNCTION("""COMPUTED_VALUE"""),819)</f>
        <v>819</v>
      </c>
    </row>
    <row r="586" spans="1:13">
      <c r="A586" s="2">
        <f ca="1">IFERROR(__xludf.DUMMYFUNCTION("""COMPUTED_VALUE"""),1211)</f>
        <v>1211</v>
      </c>
      <c r="B586" s="2" t="str">
        <f ca="1">IFERROR(__xludf.DUMMYFUNCTION("""COMPUTED_VALUE"""),"Apple")</f>
        <v>Apple</v>
      </c>
      <c r="C586" s="2" t="str">
        <f ca="1">IFERROR(__xludf.DUMMYFUNCTION("""COMPUTED_VALUE"""),"MacBook 12""")</f>
        <v>MacBook 12"</v>
      </c>
      <c r="D586" s="2" t="str">
        <f ca="1">IFERROR(__xludf.DUMMYFUNCTION("""COMPUTED_VALUE"""),"Ultrabook")</f>
        <v>Ultrabook</v>
      </c>
      <c r="E586" s="2">
        <f ca="1">IFERROR(__xludf.DUMMYFUNCTION("""COMPUTED_VALUE"""),12)</f>
        <v>12</v>
      </c>
      <c r="F586" s="2" t="str">
        <f ca="1">IFERROR(__xludf.DUMMYFUNCTION("""COMPUTED_VALUE"""),"IPS Panel Retina Display 2304x1440")</f>
        <v>IPS Panel Retina Display 2304x1440</v>
      </c>
      <c r="G586" s="2" t="str">
        <f ca="1">IFERROR(__xludf.DUMMYFUNCTION("""COMPUTED_VALUE"""),"Intel Core M 1.1GHz")</f>
        <v>Intel Core M 1.1GHz</v>
      </c>
      <c r="H586" s="2" t="str">
        <f ca="1">IFERROR(__xludf.DUMMYFUNCTION("""COMPUTED_VALUE"""),"8GB")</f>
        <v>8GB</v>
      </c>
      <c r="I586" s="2" t="str">
        <f ca="1">IFERROR(__xludf.DUMMYFUNCTION("""COMPUTED_VALUE"""),"256GB Flash Storage")</f>
        <v>256GB Flash Storage</v>
      </c>
      <c r="J586" s="2" t="str">
        <f ca="1">IFERROR(__xludf.DUMMYFUNCTION("""COMPUTED_VALUE"""),"Intel HD Graphics 5300")</f>
        <v>Intel HD Graphics 5300</v>
      </c>
      <c r="K586" s="2" t="str">
        <f ca="1">IFERROR(__xludf.DUMMYFUNCTION("""COMPUTED_VALUE"""),"Mac OS X")</f>
        <v>Mac OS X</v>
      </c>
      <c r="L586" s="2" t="str">
        <f ca="1">IFERROR(__xludf.DUMMYFUNCTION("""COMPUTED_VALUE"""),"0.920kg")</f>
        <v>0.920kg</v>
      </c>
      <c r="M586" s="2">
        <f ca="1">IFERROR(__xludf.DUMMYFUNCTION("""COMPUTED_VALUE"""),1163)</f>
        <v>1163</v>
      </c>
    </row>
    <row r="587" spans="1:13">
      <c r="A587" s="2">
        <f ca="1">IFERROR(__xludf.DUMMYFUNCTION("""COMPUTED_VALUE"""),1212)</f>
        <v>1212</v>
      </c>
      <c r="B587" s="2" t="str">
        <f ca="1">IFERROR(__xludf.DUMMYFUNCTION("""COMPUTED_VALUE"""),"Dell")</f>
        <v>Dell</v>
      </c>
      <c r="C587" s="2" t="str">
        <f ca="1">IFERROR(__xludf.DUMMYFUNCTION("""COMPUTED_VALUE"""),"Inspiron 7378")</f>
        <v>Inspiron 7378</v>
      </c>
      <c r="D587" s="2" t="str">
        <f ca="1">IFERROR(__xludf.DUMMYFUNCTION("""COMPUTED_VALUE"""),"2 in 1 Convertible")</f>
        <v>2 in 1 Convertible</v>
      </c>
      <c r="E587" s="2">
        <f ca="1">IFERROR(__xludf.DUMMYFUNCTION("""COMPUTED_VALUE"""),13.3)</f>
        <v>13.3</v>
      </c>
      <c r="F587" s="2" t="str">
        <f ca="1">IFERROR(__xludf.DUMMYFUNCTION("""COMPUTED_VALUE"""),"IPS Panel Full HD / Touchscreen 1920x1080")</f>
        <v>IPS Panel Full HD / Touchscreen 1920x1080</v>
      </c>
      <c r="G587" s="2" t="str">
        <f ca="1">IFERROR(__xludf.DUMMYFUNCTION("""COMPUTED_VALUE"""),"Intel Core i5 7200U 2.5GHz")</f>
        <v>Intel Core i5 7200U 2.5GHz</v>
      </c>
      <c r="H587" s="2" t="str">
        <f ca="1">IFERROR(__xludf.DUMMYFUNCTION("""COMPUTED_VALUE"""),"8GB")</f>
        <v>8GB</v>
      </c>
      <c r="I587" s="2" t="str">
        <f ca="1">IFERROR(__xludf.DUMMYFUNCTION("""COMPUTED_VALUE"""),"256GB SSD")</f>
        <v>256GB SSD</v>
      </c>
      <c r="J587" s="2" t="str">
        <f ca="1">IFERROR(__xludf.DUMMYFUNCTION("""COMPUTED_VALUE"""),"Intel HD Graphics 620")</f>
        <v>Intel HD Graphics 620</v>
      </c>
      <c r="K587" s="2" t="str">
        <f ca="1">IFERROR(__xludf.DUMMYFUNCTION("""COMPUTED_VALUE"""),"Windows 10")</f>
        <v>Windows 10</v>
      </c>
      <c r="L587" s="2" t="str">
        <f ca="1">IFERROR(__xludf.DUMMYFUNCTION("""COMPUTED_VALUE"""),"1.6kg")</f>
        <v>1.6kg</v>
      </c>
      <c r="M587" s="2">
        <f ca="1">IFERROR(__xludf.DUMMYFUNCTION("""COMPUTED_VALUE"""),1199)</f>
        <v>1199</v>
      </c>
    </row>
    <row r="588" spans="1:13">
      <c r="A588" s="2">
        <f ca="1">IFERROR(__xludf.DUMMYFUNCTION("""COMPUTED_VALUE"""),1219)</f>
        <v>1219</v>
      </c>
      <c r="B588" s="2" t="str">
        <f ca="1">IFERROR(__xludf.DUMMYFUNCTION("""COMPUTED_VALUE"""),"Lenovo")</f>
        <v>Lenovo</v>
      </c>
      <c r="C588" s="2" t="str">
        <f ca="1">IFERROR(__xludf.DUMMYFUNCTION("""COMPUTED_VALUE"""),"IdeaPad 310-15ISK")</f>
        <v>IdeaPad 310-15ISK</v>
      </c>
      <c r="D588" s="2" t="str">
        <f ca="1">IFERROR(__xludf.DUMMYFUNCTION("""COMPUTED_VALUE"""),"Notebook")</f>
        <v>Notebook</v>
      </c>
      <c r="E588" s="2">
        <f ca="1">IFERROR(__xludf.DUMMYFUNCTION("""COMPUTED_VALUE"""),15.6)</f>
        <v>15.6</v>
      </c>
      <c r="F588" s="2" t="str">
        <f ca="1">IFERROR(__xludf.DUMMYFUNCTION("""COMPUTED_VALUE"""),"1366x768")</f>
        <v>1366x768</v>
      </c>
      <c r="G588" s="2" t="str">
        <f ca="1">IFERROR(__xludf.DUMMYFUNCTION("""COMPUTED_VALUE"""),"Intel Core i7 6500U 2.5GHz")</f>
        <v>Intel Core i7 6500U 2.5GHz</v>
      </c>
      <c r="H588" s="2" t="str">
        <f ca="1">IFERROR(__xludf.DUMMYFUNCTION("""COMPUTED_VALUE"""),"8GB")</f>
        <v>8GB</v>
      </c>
      <c r="I588" s="2" t="str">
        <f ca="1">IFERROR(__xludf.DUMMYFUNCTION("""COMPUTED_VALUE"""),"500GB HDD")</f>
        <v>500GB HDD</v>
      </c>
      <c r="J588" s="2" t="str">
        <f ca="1">IFERROR(__xludf.DUMMYFUNCTION("""COMPUTED_VALUE"""),"Nvidia GeForce 920MX")</f>
        <v>Nvidia GeForce 920MX</v>
      </c>
      <c r="K588" s="2" t="str">
        <f ca="1">IFERROR(__xludf.DUMMYFUNCTION("""COMPUTED_VALUE"""),"No OS")</f>
        <v>No OS</v>
      </c>
      <c r="L588" s="2" t="str">
        <f ca="1">IFERROR(__xludf.DUMMYFUNCTION("""COMPUTED_VALUE"""),"2.2kg")</f>
        <v>2.2kg</v>
      </c>
      <c r="M588" s="2">
        <f ca="1">IFERROR(__xludf.DUMMYFUNCTION("""COMPUTED_VALUE"""),629)</f>
        <v>629</v>
      </c>
    </row>
    <row r="589" spans="1:13">
      <c r="A589" s="2">
        <f ca="1">IFERROR(__xludf.DUMMYFUNCTION("""COMPUTED_VALUE"""),1222)</f>
        <v>1222</v>
      </c>
      <c r="B589" s="2" t="str">
        <f ca="1">IFERROR(__xludf.DUMMYFUNCTION("""COMPUTED_VALUE"""),"Asus")</f>
        <v>Asus</v>
      </c>
      <c r="C589" s="2" t="str">
        <f ca="1">IFERROR(__xludf.DUMMYFUNCTION("""COMPUTED_VALUE"""),"FX502VM-DM105T (i7-6700HQ/8GB/1TB/GeForce")</f>
        <v>FX502VM-DM105T (i7-6700HQ/8GB/1TB/GeForce</v>
      </c>
      <c r="D589" s="2" t="str">
        <f ca="1">IFERROR(__xludf.DUMMYFUNCTION("""COMPUTED_VALUE"""),"Gaming")</f>
        <v>Gaming</v>
      </c>
      <c r="E589" s="2">
        <f ca="1">IFERROR(__xludf.DUMMYFUNCTION("""COMPUTED_VALUE"""),15.6)</f>
        <v>15.6</v>
      </c>
      <c r="F589" s="2" t="str">
        <f ca="1">IFERROR(__xludf.DUMMYFUNCTION("""COMPUTED_VALUE"""),"Full HD 1920x1080")</f>
        <v>Full HD 1920x1080</v>
      </c>
      <c r="G589" s="2" t="str">
        <f ca="1">IFERROR(__xludf.DUMMYFUNCTION("""COMPUTED_VALUE"""),"Intel Core i7 6700HQ 2.6GHz")</f>
        <v>Intel Core i7 6700HQ 2.6GHz</v>
      </c>
      <c r="H589" s="2" t="str">
        <f ca="1">IFERROR(__xludf.DUMMYFUNCTION("""COMPUTED_VALUE"""),"8GB")</f>
        <v>8GB</v>
      </c>
      <c r="I589" s="2" t="str">
        <f ca="1">IFERROR(__xludf.DUMMYFUNCTION("""COMPUTED_VALUE"""),"1TB HDD")</f>
        <v>1TB HDD</v>
      </c>
      <c r="J589" s="2" t="str">
        <f ca="1">IFERROR(__xludf.DUMMYFUNCTION("""COMPUTED_VALUE"""),"Nvidia GeForce GTX 1060")</f>
        <v>Nvidia GeForce GTX 1060</v>
      </c>
      <c r="K589" s="2" t="str">
        <f ca="1">IFERROR(__xludf.DUMMYFUNCTION("""COMPUTED_VALUE"""),"Windows 10")</f>
        <v>Windows 10</v>
      </c>
      <c r="L589" s="2" t="str">
        <f ca="1">IFERROR(__xludf.DUMMYFUNCTION("""COMPUTED_VALUE"""),"2.2kg")</f>
        <v>2.2kg</v>
      </c>
      <c r="M589" s="2">
        <f ca="1">IFERROR(__xludf.DUMMYFUNCTION("""COMPUTED_VALUE"""),1169)</f>
        <v>1169</v>
      </c>
    </row>
    <row r="590" spans="1:13">
      <c r="A590" s="2">
        <f ca="1">IFERROR(__xludf.DUMMYFUNCTION("""COMPUTED_VALUE"""),1223)</f>
        <v>1223</v>
      </c>
      <c r="B590" s="2" t="str">
        <f ca="1">IFERROR(__xludf.DUMMYFUNCTION("""COMPUTED_VALUE"""),"Dell")</f>
        <v>Dell</v>
      </c>
      <c r="C590" s="2" t="str">
        <f ca="1">IFERROR(__xludf.DUMMYFUNCTION("""COMPUTED_VALUE"""),"Inspiron 5567")</f>
        <v>Inspiron 5567</v>
      </c>
      <c r="D590" s="2" t="str">
        <f ca="1">IFERROR(__xludf.DUMMYFUNCTION("""COMPUTED_VALUE"""),"Notebook")</f>
        <v>Notebook</v>
      </c>
      <c r="E590" s="2">
        <f ca="1">IFERROR(__xludf.DUMMYFUNCTION("""COMPUTED_VALUE"""),15.6)</f>
        <v>15.6</v>
      </c>
      <c r="F590" s="2" t="str">
        <f ca="1">IFERROR(__xludf.DUMMYFUNCTION("""COMPUTED_VALUE"""),"Full HD 1920x1080")</f>
        <v>Full HD 1920x1080</v>
      </c>
      <c r="G590" s="2" t="str">
        <f ca="1">IFERROR(__xludf.DUMMYFUNCTION("""COMPUTED_VALUE"""),"Intel Core i5 7200U 2.5GHz")</f>
        <v>Intel Core i5 7200U 2.5GHz</v>
      </c>
      <c r="H590" s="2" t="str">
        <f ca="1">IFERROR(__xludf.DUMMYFUNCTION("""COMPUTED_VALUE"""),"8GB")</f>
        <v>8GB</v>
      </c>
      <c r="I590" s="2" t="str">
        <f ca="1">IFERROR(__xludf.DUMMYFUNCTION("""COMPUTED_VALUE"""),"256GB SSD")</f>
        <v>256GB SSD</v>
      </c>
      <c r="J590" s="2" t="str">
        <f ca="1">IFERROR(__xludf.DUMMYFUNCTION("""COMPUTED_VALUE"""),"AMD Radeon R7 M445")</f>
        <v>AMD Radeon R7 M445</v>
      </c>
      <c r="K590" s="2" t="str">
        <f ca="1">IFERROR(__xludf.DUMMYFUNCTION("""COMPUTED_VALUE"""),"Windows 10")</f>
        <v>Windows 10</v>
      </c>
      <c r="L590" s="2" t="str">
        <f ca="1">IFERROR(__xludf.DUMMYFUNCTION("""COMPUTED_VALUE"""),"2.36kg")</f>
        <v>2.36kg</v>
      </c>
      <c r="M590" s="2">
        <f ca="1">IFERROR(__xludf.DUMMYFUNCTION("""COMPUTED_VALUE"""),889)</f>
        <v>889</v>
      </c>
    </row>
    <row r="591" spans="1:13">
      <c r="A591" s="2">
        <f ca="1">IFERROR(__xludf.DUMMYFUNCTION("""COMPUTED_VALUE"""),1224)</f>
        <v>1224</v>
      </c>
      <c r="B591" s="2" t="str">
        <f ca="1">IFERROR(__xludf.DUMMYFUNCTION("""COMPUTED_VALUE"""),"HP")</f>
        <v>HP</v>
      </c>
      <c r="C591" s="2" t="str">
        <f ca="1">IFERROR(__xludf.DUMMYFUNCTION("""COMPUTED_VALUE"""),"15-bs025nv (i5-7200U/8GB/256GB/W10)")</f>
        <v>15-bs025nv (i5-7200U/8GB/256GB/W10)</v>
      </c>
      <c r="D591" s="2" t="str">
        <f ca="1">IFERROR(__xludf.DUMMYFUNCTION("""COMPUTED_VALUE"""),"Notebook")</f>
        <v>Notebook</v>
      </c>
      <c r="E591" s="2">
        <f ca="1">IFERROR(__xludf.DUMMYFUNCTION("""COMPUTED_VALUE"""),15.6)</f>
        <v>15.6</v>
      </c>
      <c r="F591" s="2" t="str">
        <f ca="1">IFERROR(__xludf.DUMMYFUNCTION("""COMPUTED_VALUE"""),"1366x768")</f>
        <v>1366x768</v>
      </c>
      <c r="G591" s="2" t="str">
        <f ca="1">IFERROR(__xludf.DUMMYFUNCTION("""COMPUTED_VALUE"""),"Intel Core i5 7200U 2.5GHz")</f>
        <v>Intel Core i5 7200U 2.5GHz</v>
      </c>
      <c r="H591" s="2" t="str">
        <f ca="1">IFERROR(__xludf.DUMMYFUNCTION("""COMPUTED_VALUE"""),"8GB")</f>
        <v>8GB</v>
      </c>
      <c r="I591" s="2" t="str">
        <f ca="1">IFERROR(__xludf.DUMMYFUNCTION("""COMPUTED_VALUE"""),"256GB SSD")</f>
        <v>256GB SSD</v>
      </c>
      <c r="J591" s="2" t="str">
        <f ca="1">IFERROR(__xludf.DUMMYFUNCTION("""COMPUTED_VALUE"""),"Intel HD Graphics 620")</f>
        <v>Intel HD Graphics 620</v>
      </c>
      <c r="K591" s="2" t="str">
        <f ca="1">IFERROR(__xludf.DUMMYFUNCTION("""COMPUTED_VALUE"""),"Windows 10")</f>
        <v>Windows 10</v>
      </c>
      <c r="L591" s="2" t="str">
        <f ca="1">IFERROR(__xludf.DUMMYFUNCTION("""COMPUTED_VALUE"""),"1.91kg")</f>
        <v>1.91kg</v>
      </c>
      <c r="M591" s="2">
        <f ca="1">IFERROR(__xludf.DUMMYFUNCTION("""COMPUTED_VALUE"""),579)</f>
        <v>579</v>
      </c>
    </row>
    <row r="592" spans="1:13">
      <c r="A592" s="2">
        <f ca="1">IFERROR(__xludf.DUMMYFUNCTION("""COMPUTED_VALUE"""),1226)</f>
        <v>1226</v>
      </c>
      <c r="B592" s="2" t="str">
        <f ca="1">IFERROR(__xludf.DUMMYFUNCTION("""COMPUTED_VALUE"""),"Acer")</f>
        <v>Acer</v>
      </c>
      <c r="C592" s="2" t="str">
        <f ca="1">IFERROR(__xludf.DUMMYFUNCTION("""COMPUTED_VALUE"""),"Aspire E5-774G")</f>
        <v>Aspire E5-774G</v>
      </c>
      <c r="D592" s="2" t="str">
        <f ca="1">IFERROR(__xludf.DUMMYFUNCTION("""COMPUTED_VALUE"""),"Notebook")</f>
        <v>Notebook</v>
      </c>
      <c r="E592" s="2">
        <f ca="1">IFERROR(__xludf.DUMMYFUNCTION("""COMPUTED_VALUE"""),17.3)</f>
        <v>17.3</v>
      </c>
      <c r="F592" s="2" t="str">
        <f ca="1">IFERROR(__xludf.DUMMYFUNCTION("""COMPUTED_VALUE"""),"1600x900")</f>
        <v>1600x900</v>
      </c>
      <c r="G592" s="2" t="str">
        <f ca="1">IFERROR(__xludf.DUMMYFUNCTION("""COMPUTED_VALUE"""),"Intel Core i3 6006U 2.0GHz")</f>
        <v>Intel Core i3 6006U 2.0GHz</v>
      </c>
      <c r="H592" s="2" t="str">
        <f ca="1">IFERROR(__xludf.DUMMYFUNCTION("""COMPUTED_VALUE"""),"8GB")</f>
        <v>8GB</v>
      </c>
      <c r="I592" s="2" t="str">
        <f ca="1">IFERROR(__xludf.DUMMYFUNCTION("""COMPUTED_VALUE"""),"1TB HDD")</f>
        <v>1TB HDD</v>
      </c>
      <c r="J592" s="2" t="str">
        <f ca="1">IFERROR(__xludf.DUMMYFUNCTION("""COMPUTED_VALUE"""),"Nvidia GeForce 940MX")</f>
        <v>Nvidia GeForce 940MX</v>
      </c>
      <c r="K592" s="2" t="str">
        <f ca="1">IFERROR(__xludf.DUMMYFUNCTION("""COMPUTED_VALUE"""),"Windows 10")</f>
        <v>Windows 10</v>
      </c>
      <c r="L592" s="2" t="str">
        <f ca="1">IFERROR(__xludf.DUMMYFUNCTION("""COMPUTED_VALUE"""),"3.3kg")</f>
        <v>3.3kg</v>
      </c>
      <c r="M592" s="2">
        <f ca="1">IFERROR(__xludf.DUMMYFUNCTION("""COMPUTED_VALUE"""),629)</f>
        <v>629</v>
      </c>
    </row>
    <row r="593" spans="1:13">
      <c r="A593" s="2">
        <f ca="1">IFERROR(__xludf.DUMMYFUNCTION("""COMPUTED_VALUE"""),1228)</f>
        <v>1228</v>
      </c>
      <c r="B593" s="2" t="str">
        <f ca="1">IFERROR(__xludf.DUMMYFUNCTION("""COMPUTED_VALUE"""),"Apple")</f>
        <v>Apple</v>
      </c>
      <c r="C593" s="2" t="str">
        <f ca="1">IFERROR(__xludf.DUMMYFUNCTION("""COMPUTED_VALUE"""),"MacBook 12""")</f>
        <v>MacBook 12"</v>
      </c>
      <c r="D593" s="2" t="str">
        <f ca="1">IFERROR(__xludf.DUMMYFUNCTION("""COMPUTED_VALUE"""),"Ultrabook")</f>
        <v>Ultrabook</v>
      </c>
      <c r="E593" s="2">
        <f ca="1">IFERROR(__xludf.DUMMYFUNCTION("""COMPUTED_VALUE"""),12)</f>
        <v>12</v>
      </c>
      <c r="F593" s="2" t="str">
        <f ca="1">IFERROR(__xludf.DUMMYFUNCTION("""COMPUTED_VALUE"""),"IPS Panel Retina Display 2304x1440")</f>
        <v>IPS Panel Retina Display 2304x1440</v>
      </c>
      <c r="G593" s="2" t="str">
        <f ca="1">IFERROR(__xludf.DUMMYFUNCTION("""COMPUTED_VALUE"""),"Intel Core M 1.2GHz")</f>
        <v>Intel Core M 1.2GHz</v>
      </c>
      <c r="H593" s="2" t="str">
        <f ca="1">IFERROR(__xludf.DUMMYFUNCTION("""COMPUTED_VALUE"""),"8GB")</f>
        <v>8GB</v>
      </c>
      <c r="I593" s="2" t="str">
        <f ca="1">IFERROR(__xludf.DUMMYFUNCTION("""COMPUTED_VALUE"""),"512GB Flash Storage")</f>
        <v>512GB Flash Storage</v>
      </c>
      <c r="J593" s="2" t="str">
        <f ca="1">IFERROR(__xludf.DUMMYFUNCTION("""COMPUTED_VALUE"""),"Intel HD Graphics 515")</f>
        <v>Intel HD Graphics 515</v>
      </c>
      <c r="K593" s="2" t="str">
        <f ca="1">IFERROR(__xludf.DUMMYFUNCTION("""COMPUTED_VALUE"""),"Mac OS X")</f>
        <v>Mac OS X</v>
      </c>
      <c r="L593" s="2" t="str">
        <f ca="1">IFERROR(__xludf.DUMMYFUNCTION("""COMPUTED_VALUE"""),"0.920kg")</f>
        <v>0.920kg</v>
      </c>
      <c r="M593" s="2">
        <f ca="1">IFERROR(__xludf.DUMMYFUNCTION("""COMPUTED_VALUE"""),1279)</f>
        <v>1279</v>
      </c>
    </row>
    <row r="594" spans="1:13">
      <c r="A594" s="2">
        <f ca="1">IFERROR(__xludf.DUMMYFUNCTION("""COMPUTED_VALUE"""),1231)</f>
        <v>1231</v>
      </c>
      <c r="B594" s="2" t="str">
        <f ca="1">IFERROR(__xludf.DUMMYFUNCTION("""COMPUTED_VALUE"""),"Dell")</f>
        <v>Dell</v>
      </c>
      <c r="C594" s="2" t="str">
        <f ca="1">IFERROR(__xludf.DUMMYFUNCTION("""COMPUTED_VALUE"""),"Inspiron 7579")</f>
        <v>Inspiron 7579</v>
      </c>
      <c r="D594" s="2" t="str">
        <f ca="1">IFERROR(__xludf.DUMMYFUNCTION("""COMPUTED_VALUE"""),"2 in 1 Convertible")</f>
        <v>2 in 1 Convertible</v>
      </c>
      <c r="E594" s="2">
        <f ca="1">IFERROR(__xludf.DUMMYFUNCTION("""COMPUTED_VALUE"""),15.6)</f>
        <v>15.6</v>
      </c>
      <c r="F594" s="2" t="str">
        <f ca="1">IFERROR(__xludf.DUMMYFUNCTION("""COMPUTED_VALUE"""),"IPS Panel Full HD / Touchscreen 1920x1080")</f>
        <v>IPS Panel Full HD / Touchscreen 1920x1080</v>
      </c>
      <c r="G594" s="2" t="str">
        <f ca="1">IFERROR(__xludf.DUMMYFUNCTION("""COMPUTED_VALUE"""),"Intel Core i5 7200U 2.5GHz")</f>
        <v>Intel Core i5 7200U 2.5GHz</v>
      </c>
      <c r="H594" s="2" t="str">
        <f ca="1">IFERROR(__xludf.DUMMYFUNCTION("""COMPUTED_VALUE"""),"8GB")</f>
        <v>8GB</v>
      </c>
      <c r="I594" s="2" t="str">
        <f ca="1">IFERROR(__xludf.DUMMYFUNCTION("""COMPUTED_VALUE"""),"256GB SSD")</f>
        <v>256GB SSD</v>
      </c>
      <c r="J594" s="2" t="str">
        <f ca="1">IFERROR(__xludf.DUMMYFUNCTION("""COMPUTED_VALUE"""),"Intel HD Graphics 620")</f>
        <v>Intel HD Graphics 620</v>
      </c>
      <c r="K594" s="2" t="str">
        <f ca="1">IFERROR(__xludf.DUMMYFUNCTION("""COMPUTED_VALUE"""),"Windows 10")</f>
        <v>Windows 10</v>
      </c>
      <c r="L594" s="2" t="str">
        <f ca="1">IFERROR(__xludf.DUMMYFUNCTION("""COMPUTED_VALUE"""),"2.191kg")</f>
        <v>2.191kg</v>
      </c>
      <c r="M594" s="2">
        <f ca="1">IFERROR(__xludf.DUMMYFUNCTION("""COMPUTED_VALUE"""),999)</f>
        <v>999</v>
      </c>
    </row>
    <row r="595" spans="1:13">
      <c r="A595" s="2">
        <f ca="1">IFERROR(__xludf.DUMMYFUNCTION("""COMPUTED_VALUE"""),1235)</f>
        <v>1235</v>
      </c>
      <c r="B595" s="2" t="str">
        <f ca="1">IFERROR(__xludf.DUMMYFUNCTION("""COMPUTED_VALUE"""),"Lenovo")</f>
        <v>Lenovo</v>
      </c>
      <c r="C595" s="2" t="str">
        <f ca="1">IFERROR(__xludf.DUMMYFUNCTION("""COMPUTED_VALUE"""),"IdeaPad 320-17IKB")</f>
        <v>IdeaPad 320-17IKB</v>
      </c>
      <c r="D595" s="2" t="str">
        <f ca="1">IFERROR(__xludf.DUMMYFUNCTION("""COMPUTED_VALUE"""),"Notebook")</f>
        <v>Notebook</v>
      </c>
      <c r="E595" s="2">
        <f ca="1">IFERROR(__xludf.DUMMYFUNCTION("""COMPUTED_VALUE"""),17.3)</f>
        <v>17.3</v>
      </c>
      <c r="F595" s="2" t="str">
        <f ca="1">IFERROR(__xludf.DUMMYFUNCTION("""COMPUTED_VALUE"""),"1600x900")</f>
        <v>1600x900</v>
      </c>
      <c r="G595" s="2" t="str">
        <f ca="1">IFERROR(__xludf.DUMMYFUNCTION("""COMPUTED_VALUE"""),"Intel Core i5 7200U 2.5GHz")</f>
        <v>Intel Core i5 7200U 2.5GHz</v>
      </c>
      <c r="H595" s="2" t="str">
        <f ca="1">IFERROR(__xludf.DUMMYFUNCTION("""COMPUTED_VALUE"""),"8GB")</f>
        <v>8GB</v>
      </c>
      <c r="I595" s="2" t="str">
        <f ca="1">IFERROR(__xludf.DUMMYFUNCTION("""COMPUTED_VALUE"""),"1TB HDD")</f>
        <v>1TB HDD</v>
      </c>
      <c r="J595" s="2" t="str">
        <f ca="1">IFERROR(__xludf.DUMMYFUNCTION("""COMPUTED_VALUE"""),"Intel HD Graphics 620")</f>
        <v>Intel HD Graphics 620</v>
      </c>
      <c r="K595" s="2" t="str">
        <f ca="1">IFERROR(__xludf.DUMMYFUNCTION("""COMPUTED_VALUE"""),"No OS")</f>
        <v>No OS</v>
      </c>
      <c r="L595" s="2" t="str">
        <f ca="1">IFERROR(__xludf.DUMMYFUNCTION("""COMPUTED_VALUE"""),"2.8kg")</f>
        <v>2.8kg</v>
      </c>
      <c r="M595" s="2">
        <f ca="1">IFERROR(__xludf.DUMMYFUNCTION("""COMPUTED_VALUE"""),539)</f>
        <v>539</v>
      </c>
    </row>
    <row r="596" spans="1:13">
      <c r="A596" s="2">
        <f ca="1">IFERROR(__xludf.DUMMYFUNCTION("""COMPUTED_VALUE"""),1236)</f>
        <v>1236</v>
      </c>
      <c r="B596" s="2" t="str">
        <f ca="1">IFERROR(__xludf.DUMMYFUNCTION("""COMPUTED_VALUE"""),"Lenovo")</f>
        <v>Lenovo</v>
      </c>
      <c r="C596" s="2" t="str">
        <f ca="1">IFERROR(__xludf.DUMMYFUNCTION("""COMPUTED_VALUE"""),"IdeaPad Y700-15ISK")</f>
        <v>IdeaPad Y700-15ISK</v>
      </c>
      <c r="D596" s="2" t="str">
        <f ca="1">IFERROR(__xludf.DUMMYFUNCTION("""COMPUTED_VALUE"""),"Gaming")</f>
        <v>Gaming</v>
      </c>
      <c r="E596" s="2">
        <f ca="1">IFERROR(__xludf.DUMMYFUNCTION("""COMPUTED_VALUE"""),15.6)</f>
        <v>15.6</v>
      </c>
      <c r="F596" s="2" t="str">
        <f ca="1">IFERROR(__xludf.DUMMYFUNCTION("""COMPUTED_VALUE"""),"IPS Panel Full HD 1920x1080")</f>
        <v>IPS Panel Full HD 1920x1080</v>
      </c>
      <c r="G596" s="2" t="str">
        <f ca="1">IFERROR(__xludf.DUMMYFUNCTION("""COMPUTED_VALUE"""),"Intel Core i7 6700HQ 2.6GHz")</f>
        <v>Intel Core i7 6700HQ 2.6GHz</v>
      </c>
      <c r="H596" s="2" t="str">
        <f ca="1">IFERROR(__xludf.DUMMYFUNCTION("""COMPUTED_VALUE"""),"8GB")</f>
        <v>8GB</v>
      </c>
      <c r="I596" s="2" t="str">
        <f ca="1">IFERROR(__xludf.DUMMYFUNCTION("""COMPUTED_VALUE"""),"128GB SSD +  1TB HDD")</f>
        <v>128GB SSD +  1TB HDD</v>
      </c>
      <c r="J596" s="2" t="str">
        <f ca="1">IFERROR(__xludf.DUMMYFUNCTION("""COMPUTED_VALUE"""),"Nvidia GeForce GTX 960&lt;U+039C&gt;")</f>
        <v>Nvidia GeForce GTX 960&lt;U+039C&gt;</v>
      </c>
      <c r="K596" s="2" t="str">
        <f ca="1">IFERROR(__xludf.DUMMYFUNCTION("""COMPUTED_VALUE"""),"Windows 10")</f>
        <v>Windows 10</v>
      </c>
      <c r="L596" s="2" t="str">
        <f ca="1">IFERROR(__xludf.DUMMYFUNCTION("""COMPUTED_VALUE"""),"2.6kg")</f>
        <v>2.6kg</v>
      </c>
      <c r="M596" s="2">
        <f ca="1">IFERROR(__xludf.DUMMYFUNCTION("""COMPUTED_VALUE"""),1272)</f>
        <v>1272</v>
      </c>
    </row>
    <row r="597" spans="1:13">
      <c r="A597" s="2">
        <f ca="1">IFERROR(__xludf.DUMMYFUNCTION("""COMPUTED_VALUE"""),1237)</f>
        <v>1237</v>
      </c>
      <c r="B597" s="2" t="str">
        <f ca="1">IFERROR(__xludf.DUMMYFUNCTION("""COMPUTED_VALUE"""),"Acer")</f>
        <v>Acer</v>
      </c>
      <c r="C597" s="2" t="str">
        <f ca="1">IFERROR(__xludf.DUMMYFUNCTION("""COMPUTED_VALUE"""),"SP714-51 (i7-7Y75/8GB/256GB/FHD/W10)")</f>
        <v>SP714-51 (i7-7Y75/8GB/256GB/FHD/W10)</v>
      </c>
      <c r="D597" s="2" t="str">
        <f ca="1">IFERROR(__xludf.DUMMYFUNCTION("""COMPUTED_VALUE"""),"2 in 1 Convertible")</f>
        <v>2 in 1 Convertible</v>
      </c>
      <c r="E597" s="2">
        <f ca="1">IFERROR(__xludf.DUMMYFUNCTION("""COMPUTED_VALUE"""),14)</f>
        <v>14</v>
      </c>
      <c r="F597" s="2" t="str">
        <f ca="1">IFERROR(__xludf.DUMMYFUNCTION("""COMPUTED_VALUE"""),"IPS Panel Full HD / Touchscreen 1920x1080")</f>
        <v>IPS Panel Full HD / Touchscreen 1920x1080</v>
      </c>
      <c r="G597" s="2" t="str">
        <f ca="1">IFERROR(__xludf.DUMMYFUNCTION("""COMPUTED_VALUE"""),"Intel Core i7 7Y75 1.3GHz")</f>
        <v>Intel Core i7 7Y75 1.3GHz</v>
      </c>
      <c r="H597" s="2" t="str">
        <f ca="1">IFERROR(__xludf.DUMMYFUNCTION("""COMPUTED_VALUE"""),"8GB")</f>
        <v>8GB</v>
      </c>
      <c r="I597" s="2" t="str">
        <f ca="1">IFERROR(__xludf.DUMMYFUNCTION("""COMPUTED_VALUE"""),"256GB SSD")</f>
        <v>256GB SSD</v>
      </c>
      <c r="J597" s="2" t="str">
        <f ca="1">IFERROR(__xludf.DUMMYFUNCTION("""COMPUTED_VALUE"""),"Intel HD Graphics 615")</f>
        <v>Intel HD Graphics 615</v>
      </c>
      <c r="K597" s="2" t="str">
        <f ca="1">IFERROR(__xludf.DUMMYFUNCTION("""COMPUTED_VALUE"""),"Windows 10")</f>
        <v>Windows 10</v>
      </c>
      <c r="L597" s="2" t="str">
        <f ca="1">IFERROR(__xludf.DUMMYFUNCTION("""COMPUTED_VALUE"""),"1.2kg")</f>
        <v>1.2kg</v>
      </c>
      <c r="M597" s="2">
        <f ca="1">IFERROR(__xludf.DUMMYFUNCTION("""COMPUTED_VALUE"""),1149)</f>
        <v>1149</v>
      </c>
    </row>
    <row r="598" spans="1:13">
      <c r="A598" s="2">
        <f ca="1">IFERROR(__xludf.DUMMYFUNCTION("""COMPUTED_VALUE"""),1238)</f>
        <v>1238</v>
      </c>
      <c r="B598" s="2" t="str">
        <f ca="1">IFERROR(__xludf.DUMMYFUNCTION("""COMPUTED_VALUE"""),"Lenovo")</f>
        <v>Lenovo</v>
      </c>
      <c r="C598" s="2" t="str">
        <f ca="1">IFERROR(__xludf.DUMMYFUNCTION("""COMPUTED_VALUE"""),"Thinkpad T560")</f>
        <v>Thinkpad T560</v>
      </c>
      <c r="D598" s="2" t="str">
        <f ca="1">IFERROR(__xludf.DUMMYFUNCTION("""COMPUTED_VALUE"""),"Notebook")</f>
        <v>Notebook</v>
      </c>
      <c r="E598" s="2">
        <f ca="1">IFERROR(__xludf.DUMMYFUNCTION("""COMPUTED_VALUE"""),15.6)</f>
        <v>15.6</v>
      </c>
      <c r="F598" s="2" t="str">
        <f ca="1">IFERROR(__xludf.DUMMYFUNCTION("""COMPUTED_VALUE"""),"IPS Panel Full HD 1920x1080")</f>
        <v>IPS Panel Full HD 1920x1080</v>
      </c>
      <c r="G598" s="2" t="str">
        <f ca="1">IFERROR(__xludf.DUMMYFUNCTION("""COMPUTED_VALUE"""),"Intel Core i7 6600U 2.6GHz")</f>
        <v>Intel Core i7 6600U 2.6GHz</v>
      </c>
      <c r="H598" s="2" t="str">
        <f ca="1">IFERROR(__xludf.DUMMYFUNCTION("""COMPUTED_VALUE"""),"8GB")</f>
        <v>8GB</v>
      </c>
      <c r="I598" s="2" t="str">
        <f ca="1">IFERROR(__xludf.DUMMYFUNCTION("""COMPUTED_VALUE"""),"256GB SSD")</f>
        <v>256GB SSD</v>
      </c>
      <c r="J598" s="2" t="str">
        <f ca="1">IFERROR(__xludf.DUMMYFUNCTION("""COMPUTED_VALUE"""),"Intel HD Graphics 520")</f>
        <v>Intel HD Graphics 520</v>
      </c>
      <c r="K598" s="2" t="str">
        <f ca="1">IFERROR(__xludf.DUMMYFUNCTION("""COMPUTED_VALUE"""),"Windows 10")</f>
        <v>Windows 10</v>
      </c>
      <c r="L598" s="2" t="str">
        <f ca="1">IFERROR(__xludf.DUMMYFUNCTION("""COMPUTED_VALUE"""),"2.3kg")</f>
        <v>2.3kg</v>
      </c>
      <c r="M598" s="2">
        <f ca="1">IFERROR(__xludf.DUMMYFUNCTION("""COMPUTED_VALUE"""),1529)</f>
        <v>1529</v>
      </c>
    </row>
    <row r="599" spans="1:13">
      <c r="A599" s="2">
        <f ca="1">IFERROR(__xludf.DUMMYFUNCTION("""COMPUTED_VALUE"""),1239)</f>
        <v>1239</v>
      </c>
      <c r="B599" s="2" t="str">
        <f ca="1">IFERROR(__xludf.DUMMYFUNCTION("""COMPUTED_VALUE"""),"MSI")</f>
        <v>MSI</v>
      </c>
      <c r="C599" s="2" t="str">
        <f ca="1">IFERROR(__xludf.DUMMYFUNCTION("""COMPUTED_VALUE"""),"GP62MVR 6RF")</f>
        <v>GP62MVR 6RF</v>
      </c>
      <c r="D599" s="2" t="str">
        <f ca="1">IFERROR(__xludf.DUMMYFUNCTION("""COMPUTED_VALUE"""),"Gaming")</f>
        <v>Gaming</v>
      </c>
      <c r="E599" s="2">
        <f ca="1">IFERROR(__xludf.DUMMYFUNCTION("""COMPUTED_VALUE"""),15.6)</f>
        <v>15.6</v>
      </c>
      <c r="F599" s="2" t="str">
        <f ca="1">IFERROR(__xludf.DUMMYFUNCTION("""COMPUTED_VALUE"""),"Full HD 1920x1080")</f>
        <v>Full HD 1920x1080</v>
      </c>
      <c r="G599" s="2" t="str">
        <f ca="1">IFERROR(__xludf.DUMMYFUNCTION("""COMPUTED_VALUE"""),"Intel Core i7 6700HQ 2.6GHz")</f>
        <v>Intel Core i7 6700HQ 2.6GHz</v>
      </c>
      <c r="H599" s="2" t="str">
        <f ca="1">IFERROR(__xludf.DUMMYFUNCTION("""COMPUTED_VALUE"""),"8GB")</f>
        <v>8GB</v>
      </c>
      <c r="I599" s="2" t="str">
        <f ca="1">IFERROR(__xludf.DUMMYFUNCTION("""COMPUTED_VALUE"""),"128GB SSD +  1TB HDD")</f>
        <v>128GB SSD +  1TB HDD</v>
      </c>
      <c r="J599" s="2" t="str">
        <f ca="1">IFERROR(__xludf.DUMMYFUNCTION("""COMPUTED_VALUE"""),"Nvidia GeForce GTX 1060")</f>
        <v>Nvidia GeForce GTX 1060</v>
      </c>
      <c r="K599" s="2" t="str">
        <f ca="1">IFERROR(__xludf.DUMMYFUNCTION("""COMPUTED_VALUE"""),"Windows 10")</f>
        <v>Windows 10</v>
      </c>
      <c r="L599" s="2" t="str">
        <f ca="1">IFERROR(__xludf.DUMMYFUNCTION("""COMPUTED_VALUE"""),"2.2kg")</f>
        <v>2.2kg</v>
      </c>
      <c r="M599" s="2">
        <f ca="1">IFERROR(__xludf.DUMMYFUNCTION("""COMPUTED_VALUE"""),1476.11)</f>
        <v>1476.11</v>
      </c>
    </row>
    <row r="600" spans="1:13">
      <c r="A600" s="2">
        <f ca="1">IFERROR(__xludf.DUMMYFUNCTION("""COMPUTED_VALUE"""),1241)</f>
        <v>1241</v>
      </c>
      <c r="B600" s="2" t="str">
        <f ca="1">IFERROR(__xludf.DUMMYFUNCTION("""COMPUTED_VALUE"""),"Dell")</f>
        <v>Dell</v>
      </c>
      <c r="C600" s="2" t="str">
        <f ca="1">IFERROR(__xludf.DUMMYFUNCTION("""COMPUTED_VALUE"""),"Latitude E7270")</f>
        <v>Latitude E7270</v>
      </c>
      <c r="D600" s="2" t="str">
        <f ca="1">IFERROR(__xludf.DUMMYFUNCTION("""COMPUTED_VALUE"""),"Ultrabook")</f>
        <v>Ultrabook</v>
      </c>
      <c r="E600" s="2">
        <f ca="1">IFERROR(__xludf.DUMMYFUNCTION("""COMPUTED_VALUE"""),12.5)</f>
        <v>12.5</v>
      </c>
      <c r="F600" s="2" t="str">
        <f ca="1">IFERROR(__xludf.DUMMYFUNCTION("""COMPUTED_VALUE"""),"Full HD / Touchscreen 1920x1080")</f>
        <v>Full HD / Touchscreen 1920x1080</v>
      </c>
      <c r="G600" s="2" t="str">
        <f ca="1">IFERROR(__xludf.DUMMYFUNCTION("""COMPUTED_VALUE"""),"Intel Core i5 6300U 2.4GHz")</f>
        <v>Intel Core i5 6300U 2.4GHz</v>
      </c>
      <c r="H600" s="2" t="str">
        <f ca="1">IFERROR(__xludf.DUMMYFUNCTION("""COMPUTED_VALUE"""),"8GB")</f>
        <v>8GB</v>
      </c>
      <c r="I600" s="2" t="str">
        <f ca="1">IFERROR(__xludf.DUMMYFUNCTION("""COMPUTED_VALUE"""),"256GB SSD")</f>
        <v>256GB SSD</v>
      </c>
      <c r="J600" s="2" t="str">
        <f ca="1">IFERROR(__xludf.DUMMYFUNCTION("""COMPUTED_VALUE"""),"Intel HD Graphics 520")</f>
        <v>Intel HD Graphics 520</v>
      </c>
      <c r="K600" s="2" t="str">
        <f ca="1">IFERROR(__xludf.DUMMYFUNCTION("""COMPUTED_VALUE"""),"Windows 7")</f>
        <v>Windows 7</v>
      </c>
      <c r="L600" s="2" t="str">
        <f ca="1">IFERROR(__xludf.DUMMYFUNCTION("""COMPUTED_VALUE"""),"1.26kg")</f>
        <v>1.26kg</v>
      </c>
      <c r="M600" s="2">
        <f ca="1">IFERROR(__xludf.DUMMYFUNCTION("""COMPUTED_VALUE"""),1713.37)</f>
        <v>1713.37</v>
      </c>
    </row>
    <row r="601" spans="1:13">
      <c r="A601" s="2">
        <f ca="1">IFERROR(__xludf.DUMMYFUNCTION("""COMPUTED_VALUE"""),1244)</f>
        <v>1244</v>
      </c>
      <c r="B601" s="2" t="str">
        <f ca="1">IFERROR(__xludf.DUMMYFUNCTION("""COMPUTED_VALUE"""),"Dell")</f>
        <v>Dell</v>
      </c>
      <c r="C601" s="2" t="str">
        <f ca="1">IFERROR(__xludf.DUMMYFUNCTION("""COMPUTED_VALUE"""),"XPS 13")</f>
        <v>XPS 13</v>
      </c>
      <c r="D601" s="2" t="str">
        <f ca="1">IFERROR(__xludf.DUMMYFUNCTION("""COMPUTED_VALUE"""),"Ultrabook")</f>
        <v>Ultrabook</v>
      </c>
      <c r="E601" s="2">
        <f ca="1">IFERROR(__xludf.DUMMYFUNCTION("""COMPUTED_VALUE"""),13.3)</f>
        <v>13.3</v>
      </c>
      <c r="F601" s="2" t="str">
        <f ca="1">IFERROR(__xludf.DUMMYFUNCTION("""COMPUTED_VALUE"""),"Quad HD+ / Touchscreen 3200x1800")</f>
        <v>Quad HD+ / Touchscreen 3200x1800</v>
      </c>
      <c r="G601" s="2" t="str">
        <f ca="1">IFERROR(__xludf.DUMMYFUNCTION("""COMPUTED_VALUE"""),"Intel Core i7 7500U 2.7GHz")</f>
        <v>Intel Core i7 7500U 2.7GHz</v>
      </c>
      <c r="H601" s="2" t="str">
        <f ca="1">IFERROR(__xludf.DUMMYFUNCTION("""COMPUTED_VALUE"""),"8GB")</f>
        <v>8GB</v>
      </c>
      <c r="I601" s="2" t="str">
        <f ca="1">IFERROR(__xludf.DUMMYFUNCTION("""COMPUTED_VALUE"""),"256GB SSD")</f>
        <v>256GB SSD</v>
      </c>
      <c r="J601" s="2" t="str">
        <f ca="1">IFERROR(__xludf.DUMMYFUNCTION("""COMPUTED_VALUE"""),"Intel HD Graphics 620")</f>
        <v>Intel HD Graphics 620</v>
      </c>
      <c r="K601" s="2" t="str">
        <f ca="1">IFERROR(__xludf.DUMMYFUNCTION("""COMPUTED_VALUE"""),"Windows 10")</f>
        <v>Windows 10</v>
      </c>
      <c r="L601" s="2" t="str">
        <f ca="1">IFERROR(__xludf.DUMMYFUNCTION("""COMPUTED_VALUE"""),"1.29kg")</f>
        <v>1.29kg</v>
      </c>
      <c r="M601" s="2">
        <f ca="1">IFERROR(__xludf.DUMMYFUNCTION("""COMPUTED_VALUE"""),1477)</f>
        <v>1477</v>
      </c>
    </row>
    <row r="602" spans="1:13">
      <c r="A602" s="2">
        <f ca="1">IFERROR(__xludf.DUMMYFUNCTION("""COMPUTED_VALUE"""),1247)</f>
        <v>1247</v>
      </c>
      <c r="B602" s="2" t="str">
        <f ca="1">IFERROR(__xludf.DUMMYFUNCTION("""COMPUTED_VALUE"""),"MSI")</f>
        <v>MSI</v>
      </c>
      <c r="C602" s="2" t="str">
        <f ca="1">IFERROR(__xludf.DUMMYFUNCTION("""COMPUTED_VALUE"""),"GL62M 7RDX")</f>
        <v>GL62M 7RDX</v>
      </c>
      <c r="D602" s="2" t="str">
        <f ca="1">IFERROR(__xludf.DUMMYFUNCTION("""COMPUTED_VALUE"""),"Gaming")</f>
        <v>Gaming</v>
      </c>
      <c r="E602" s="2">
        <f ca="1">IFERROR(__xludf.DUMMYFUNCTION("""COMPUTED_VALUE"""),15.6)</f>
        <v>15.6</v>
      </c>
      <c r="F602" s="2" t="str">
        <f ca="1">IFERROR(__xludf.DUMMYFUNCTION("""COMPUTED_VALUE"""),"Full HD 1920x1080")</f>
        <v>Full HD 1920x1080</v>
      </c>
      <c r="G602" s="2" t="str">
        <f ca="1">IFERROR(__xludf.DUMMYFUNCTION("""COMPUTED_VALUE"""),"Intel Core i7 7700HQ 2.8GHz")</f>
        <v>Intel Core i7 7700HQ 2.8GHz</v>
      </c>
      <c r="H602" s="2" t="str">
        <f ca="1">IFERROR(__xludf.DUMMYFUNCTION("""COMPUTED_VALUE"""),"8GB")</f>
        <v>8GB</v>
      </c>
      <c r="I602" s="2" t="str">
        <f ca="1">IFERROR(__xludf.DUMMYFUNCTION("""COMPUTED_VALUE"""),"128GB SSD +  1TB HDD")</f>
        <v>128GB SSD +  1TB HDD</v>
      </c>
      <c r="J602" s="2" t="str">
        <f ca="1">IFERROR(__xludf.DUMMYFUNCTION("""COMPUTED_VALUE"""),"Nvidia GeForce GTX 1050")</f>
        <v>Nvidia GeForce GTX 1050</v>
      </c>
      <c r="K602" s="2" t="str">
        <f ca="1">IFERROR(__xludf.DUMMYFUNCTION("""COMPUTED_VALUE"""),"Windows 10")</f>
        <v>Windows 10</v>
      </c>
      <c r="L602" s="2" t="str">
        <f ca="1">IFERROR(__xludf.DUMMYFUNCTION("""COMPUTED_VALUE"""),"2.2kg")</f>
        <v>2.2kg</v>
      </c>
      <c r="M602" s="2">
        <f ca="1">IFERROR(__xludf.DUMMYFUNCTION("""COMPUTED_VALUE"""),1149)</f>
        <v>1149</v>
      </c>
    </row>
    <row r="603" spans="1:13">
      <c r="A603" s="2">
        <f ca="1">IFERROR(__xludf.DUMMYFUNCTION("""COMPUTED_VALUE"""),1250)</f>
        <v>1250</v>
      </c>
      <c r="B603" s="2" t="str">
        <f ca="1">IFERROR(__xludf.DUMMYFUNCTION("""COMPUTED_VALUE"""),"Dell")</f>
        <v>Dell</v>
      </c>
      <c r="C603" s="2" t="str">
        <f ca="1">IFERROR(__xludf.DUMMYFUNCTION("""COMPUTED_VALUE"""),"Inspiron 3567")</f>
        <v>Inspiron 3567</v>
      </c>
      <c r="D603" s="2" t="str">
        <f ca="1">IFERROR(__xludf.DUMMYFUNCTION("""COMPUTED_VALUE"""),"Notebook")</f>
        <v>Notebook</v>
      </c>
      <c r="E603" s="2">
        <f ca="1">IFERROR(__xludf.DUMMYFUNCTION("""COMPUTED_VALUE"""),15.6)</f>
        <v>15.6</v>
      </c>
      <c r="F603" s="2" t="str">
        <f ca="1">IFERROR(__xludf.DUMMYFUNCTION("""COMPUTED_VALUE"""),"Touchscreen 1366x768")</f>
        <v>Touchscreen 1366x768</v>
      </c>
      <c r="G603" s="2" t="str">
        <f ca="1">IFERROR(__xludf.DUMMYFUNCTION("""COMPUTED_VALUE"""),"Intel Core i3 7100U 2.4GHz")</f>
        <v>Intel Core i3 7100U 2.4GHz</v>
      </c>
      <c r="H603" s="2" t="str">
        <f ca="1">IFERROR(__xludf.DUMMYFUNCTION("""COMPUTED_VALUE"""),"8GB")</f>
        <v>8GB</v>
      </c>
      <c r="I603" s="2" t="str">
        <f ca="1">IFERROR(__xludf.DUMMYFUNCTION("""COMPUTED_VALUE"""),"1TB HDD")</f>
        <v>1TB HDD</v>
      </c>
      <c r="J603" s="2" t="str">
        <f ca="1">IFERROR(__xludf.DUMMYFUNCTION("""COMPUTED_VALUE"""),"Intel HD Graphics 620")</f>
        <v>Intel HD Graphics 620</v>
      </c>
      <c r="K603" s="2" t="str">
        <f ca="1">IFERROR(__xludf.DUMMYFUNCTION("""COMPUTED_VALUE"""),"Windows 10")</f>
        <v>Windows 10</v>
      </c>
      <c r="L603" s="2" t="str">
        <f ca="1">IFERROR(__xludf.DUMMYFUNCTION("""COMPUTED_VALUE"""),"2.3kg")</f>
        <v>2.3kg</v>
      </c>
      <c r="M603" s="2">
        <f ca="1">IFERROR(__xludf.DUMMYFUNCTION("""COMPUTED_VALUE"""),469.01)</f>
        <v>469.01</v>
      </c>
    </row>
    <row r="604" spans="1:13">
      <c r="A604" s="2">
        <f ca="1">IFERROR(__xludf.DUMMYFUNCTION("""COMPUTED_VALUE"""),1254)</f>
        <v>1254</v>
      </c>
      <c r="B604" s="2" t="str">
        <f ca="1">IFERROR(__xludf.DUMMYFUNCTION("""COMPUTED_VALUE"""),"HP")</f>
        <v>HP</v>
      </c>
      <c r="C604" s="2" t="str">
        <f ca="1">IFERROR(__xludf.DUMMYFUNCTION("""COMPUTED_VALUE"""),"EliteBook 840")</f>
        <v>EliteBook 840</v>
      </c>
      <c r="D604" s="2" t="str">
        <f ca="1">IFERROR(__xludf.DUMMYFUNCTION("""COMPUTED_VALUE"""),"Ultrabook")</f>
        <v>Ultrabook</v>
      </c>
      <c r="E604" s="2">
        <f ca="1">IFERROR(__xludf.DUMMYFUNCTION("""COMPUTED_VALUE"""),14)</f>
        <v>14</v>
      </c>
      <c r="F604" s="2" t="str">
        <f ca="1">IFERROR(__xludf.DUMMYFUNCTION("""COMPUTED_VALUE"""),"2560x1440")</f>
        <v>2560x1440</v>
      </c>
      <c r="G604" s="2" t="str">
        <f ca="1">IFERROR(__xludf.DUMMYFUNCTION("""COMPUTED_VALUE"""),"Intel Core i7 6500U 2.5GHz")</f>
        <v>Intel Core i7 6500U 2.5GHz</v>
      </c>
      <c r="H604" s="2" t="str">
        <f ca="1">IFERROR(__xludf.DUMMYFUNCTION("""COMPUTED_VALUE"""),"8GB")</f>
        <v>8GB</v>
      </c>
      <c r="I604" s="2" t="str">
        <f ca="1">IFERROR(__xludf.DUMMYFUNCTION("""COMPUTED_VALUE"""),"256GB SSD")</f>
        <v>256GB SSD</v>
      </c>
      <c r="J604" s="2" t="str">
        <f ca="1">IFERROR(__xludf.DUMMYFUNCTION("""COMPUTED_VALUE"""),"Intel HD Graphics 520")</f>
        <v>Intel HD Graphics 520</v>
      </c>
      <c r="K604" s="2" t="str">
        <f ca="1">IFERROR(__xludf.DUMMYFUNCTION("""COMPUTED_VALUE"""),"Windows 7")</f>
        <v>Windows 7</v>
      </c>
      <c r="L604" s="2" t="str">
        <f ca="1">IFERROR(__xludf.DUMMYFUNCTION("""COMPUTED_VALUE"""),"1.54kg")</f>
        <v>1.54kg</v>
      </c>
      <c r="M604" s="2">
        <f ca="1">IFERROR(__xludf.DUMMYFUNCTION("""COMPUTED_VALUE"""),2198.19)</f>
        <v>2198.19</v>
      </c>
    </row>
    <row r="605" spans="1:13">
      <c r="A605" s="2">
        <f ca="1">IFERROR(__xludf.DUMMYFUNCTION("""COMPUTED_VALUE"""),1256)</f>
        <v>1256</v>
      </c>
      <c r="B605" s="2" t="str">
        <f ca="1">IFERROR(__xludf.DUMMYFUNCTION("""COMPUTED_VALUE"""),"MSI")</f>
        <v>MSI</v>
      </c>
      <c r="C605" s="2" t="str">
        <f ca="1">IFERROR(__xludf.DUMMYFUNCTION("""COMPUTED_VALUE"""),"GL62 6QF")</f>
        <v>GL62 6QF</v>
      </c>
      <c r="D605" s="2" t="str">
        <f ca="1">IFERROR(__xludf.DUMMYFUNCTION("""COMPUTED_VALUE"""),"Gaming")</f>
        <v>Gaming</v>
      </c>
      <c r="E605" s="2">
        <f ca="1">IFERROR(__xludf.DUMMYFUNCTION("""COMPUTED_VALUE"""),15.6)</f>
        <v>15.6</v>
      </c>
      <c r="F605" s="2" t="str">
        <f ca="1">IFERROR(__xludf.DUMMYFUNCTION("""COMPUTED_VALUE"""),"Full HD 1920x1080")</f>
        <v>Full HD 1920x1080</v>
      </c>
      <c r="G605" s="2" t="str">
        <f ca="1">IFERROR(__xludf.DUMMYFUNCTION("""COMPUTED_VALUE"""),"Intel Core i7 6700HQ 2.6GHz")</f>
        <v>Intel Core i7 6700HQ 2.6GHz</v>
      </c>
      <c r="H605" s="2" t="str">
        <f ca="1">IFERROR(__xludf.DUMMYFUNCTION("""COMPUTED_VALUE"""),"8GB")</f>
        <v>8GB</v>
      </c>
      <c r="I605" s="2" t="str">
        <f ca="1">IFERROR(__xludf.DUMMYFUNCTION("""COMPUTED_VALUE"""),"128GB SSD +  1TB HDD")</f>
        <v>128GB SSD +  1TB HDD</v>
      </c>
      <c r="J605" s="2" t="str">
        <f ca="1">IFERROR(__xludf.DUMMYFUNCTION("""COMPUTED_VALUE"""),"Nvidia GeForce GTX 960M")</f>
        <v>Nvidia GeForce GTX 960M</v>
      </c>
      <c r="K605" s="2" t="str">
        <f ca="1">IFERROR(__xludf.DUMMYFUNCTION("""COMPUTED_VALUE"""),"Windows 10")</f>
        <v>Windows 10</v>
      </c>
      <c r="L605" s="2" t="str">
        <f ca="1">IFERROR(__xludf.DUMMYFUNCTION("""COMPUTED_VALUE"""),"2.3kg")</f>
        <v>2.3kg</v>
      </c>
      <c r="M605" s="2">
        <f ca="1">IFERROR(__xludf.DUMMYFUNCTION("""COMPUTED_VALUE"""),1169)</f>
        <v>1169</v>
      </c>
    </row>
    <row r="606" spans="1:13">
      <c r="A606" s="2">
        <f ca="1">IFERROR(__xludf.DUMMYFUNCTION("""COMPUTED_VALUE"""),1259)</f>
        <v>1259</v>
      </c>
      <c r="B606" s="2" t="str">
        <f ca="1">IFERROR(__xludf.DUMMYFUNCTION("""COMPUTED_VALUE"""),"Asus")</f>
        <v>Asus</v>
      </c>
      <c r="C606" s="2" t="str">
        <f ca="1">IFERROR(__xludf.DUMMYFUNCTION("""COMPUTED_VALUE"""),"ZenBook UX310UA-WB71")</f>
        <v>ZenBook UX310UA-WB71</v>
      </c>
      <c r="D606" s="2" t="str">
        <f ca="1">IFERROR(__xludf.DUMMYFUNCTION("""COMPUTED_VALUE"""),"Ultrabook")</f>
        <v>Ultrabook</v>
      </c>
      <c r="E606" s="2">
        <f ca="1">IFERROR(__xludf.DUMMYFUNCTION("""COMPUTED_VALUE"""),13.3)</f>
        <v>13.3</v>
      </c>
      <c r="F606" s="2" t="str">
        <f ca="1">IFERROR(__xludf.DUMMYFUNCTION("""COMPUTED_VALUE"""),"Full HD 1920x1080")</f>
        <v>Full HD 1920x1080</v>
      </c>
      <c r="G606" s="2" t="str">
        <f ca="1">IFERROR(__xludf.DUMMYFUNCTION("""COMPUTED_VALUE"""),"Intel Core i7 6500U 2.5GHz")</f>
        <v>Intel Core i7 6500U 2.5GHz</v>
      </c>
      <c r="H606" s="2" t="str">
        <f ca="1">IFERROR(__xludf.DUMMYFUNCTION("""COMPUTED_VALUE"""),"8GB")</f>
        <v>8GB</v>
      </c>
      <c r="I606" s="2" t="str">
        <f ca="1">IFERROR(__xludf.DUMMYFUNCTION("""COMPUTED_VALUE"""),"256GB SSD")</f>
        <v>256GB SSD</v>
      </c>
      <c r="J606" s="2" t="str">
        <f ca="1">IFERROR(__xludf.DUMMYFUNCTION("""COMPUTED_VALUE"""),"Intel HD Graphics 520")</f>
        <v>Intel HD Graphics 520</v>
      </c>
      <c r="K606" s="2" t="str">
        <f ca="1">IFERROR(__xludf.DUMMYFUNCTION("""COMPUTED_VALUE"""),"Windows 10")</f>
        <v>Windows 10</v>
      </c>
      <c r="L606" s="2" t="str">
        <f ca="1">IFERROR(__xludf.DUMMYFUNCTION("""COMPUTED_VALUE"""),"1.45kg")</f>
        <v>1.45kg</v>
      </c>
      <c r="M606" s="2">
        <f ca="1">IFERROR(__xludf.DUMMYFUNCTION("""COMPUTED_VALUE"""),1280)</f>
        <v>1280</v>
      </c>
    </row>
    <row r="607" spans="1:13">
      <c r="A607" s="2">
        <f ca="1">IFERROR(__xludf.DUMMYFUNCTION("""COMPUTED_VALUE"""),1266)</f>
        <v>1266</v>
      </c>
      <c r="B607" s="2" t="str">
        <f ca="1">IFERROR(__xludf.DUMMYFUNCTION("""COMPUTED_VALUE"""),"Lenovo")</f>
        <v>Lenovo</v>
      </c>
      <c r="C607" s="2" t="str">
        <f ca="1">IFERROR(__xludf.DUMMYFUNCTION("""COMPUTED_VALUE"""),"V510-15IKB (i5-7200U/8GB/256GB/FHD/No")</f>
        <v>V510-15IKB (i5-7200U/8GB/256GB/FHD/No</v>
      </c>
      <c r="D607" s="2" t="str">
        <f ca="1">IFERROR(__xludf.DUMMYFUNCTION("""COMPUTED_VALUE"""),"Notebook")</f>
        <v>Notebook</v>
      </c>
      <c r="E607" s="2">
        <f ca="1">IFERROR(__xludf.DUMMYFUNCTION("""COMPUTED_VALUE"""),15.6)</f>
        <v>15.6</v>
      </c>
      <c r="F607" s="2" t="str">
        <f ca="1">IFERROR(__xludf.DUMMYFUNCTION("""COMPUTED_VALUE"""),"IPS Panel Full HD 1920x1080")</f>
        <v>IPS Panel Full HD 1920x1080</v>
      </c>
      <c r="G607" s="2" t="str">
        <f ca="1">IFERROR(__xludf.DUMMYFUNCTION("""COMPUTED_VALUE"""),"Intel Core i5 7200U 2.5GHz")</f>
        <v>Intel Core i5 7200U 2.5GHz</v>
      </c>
      <c r="H607" s="2" t="str">
        <f ca="1">IFERROR(__xludf.DUMMYFUNCTION("""COMPUTED_VALUE"""),"8GB")</f>
        <v>8GB</v>
      </c>
      <c r="I607" s="2" t="str">
        <f ca="1">IFERROR(__xludf.DUMMYFUNCTION("""COMPUTED_VALUE"""),"256GB SSD")</f>
        <v>256GB SSD</v>
      </c>
      <c r="J607" s="2" t="str">
        <f ca="1">IFERROR(__xludf.DUMMYFUNCTION("""COMPUTED_VALUE"""),"Intel HD Graphics 620")</f>
        <v>Intel HD Graphics 620</v>
      </c>
      <c r="K607" s="2" t="str">
        <f ca="1">IFERROR(__xludf.DUMMYFUNCTION("""COMPUTED_VALUE"""),"No OS")</f>
        <v>No OS</v>
      </c>
      <c r="L607" s="2" t="str">
        <f ca="1">IFERROR(__xludf.DUMMYFUNCTION("""COMPUTED_VALUE"""),"2.3kg")</f>
        <v>2.3kg</v>
      </c>
      <c r="M607" s="2">
        <f ca="1">IFERROR(__xludf.DUMMYFUNCTION("""COMPUTED_VALUE"""),573)</f>
        <v>573</v>
      </c>
    </row>
    <row r="608" spans="1:13">
      <c r="A608" s="2">
        <f ca="1">IFERROR(__xludf.DUMMYFUNCTION("""COMPUTED_VALUE"""),1267)</f>
        <v>1267</v>
      </c>
      <c r="B608" s="2" t="str">
        <f ca="1">IFERROR(__xludf.DUMMYFUNCTION("""COMPUTED_VALUE"""),"Dell")</f>
        <v>Dell</v>
      </c>
      <c r="C608" s="2" t="str">
        <f ca="1">IFERROR(__xludf.DUMMYFUNCTION("""COMPUTED_VALUE"""),"XPS 13")</f>
        <v>XPS 13</v>
      </c>
      <c r="D608" s="2" t="str">
        <f ca="1">IFERROR(__xludf.DUMMYFUNCTION("""COMPUTED_VALUE"""),"2 in 1 Convertible")</f>
        <v>2 in 1 Convertible</v>
      </c>
      <c r="E608" s="2">
        <f ca="1">IFERROR(__xludf.DUMMYFUNCTION("""COMPUTED_VALUE"""),13.3)</f>
        <v>13.3</v>
      </c>
      <c r="F608" s="2" t="str">
        <f ca="1">IFERROR(__xludf.DUMMYFUNCTION("""COMPUTED_VALUE"""),"Quad HD+ / Touchscreen 3200x1800")</f>
        <v>Quad HD+ / Touchscreen 3200x1800</v>
      </c>
      <c r="G608" s="2" t="str">
        <f ca="1">IFERROR(__xludf.DUMMYFUNCTION("""COMPUTED_VALUE"""),"Intel Core i5 7Y54 1.2GHz")</f>
        <v>Intel Core i5 7Y54 1.2GHz</v>
      </c>
      <c r="H608" s="2" t="str">
        <f ca="1">IFERROR(__xludf.DUMMYFUNCTION("""COMPUTED_VALUE"""),"8GB")</f>
        <v>8GB</v>
      </c>
      <c r="I608" s="2" t="str">
        <f ca="1">IFERROR(__xludf.DUMMYFUNCTION("""COMPUTED_VALUE"""),"256GB SSD")</f>
        <v>256GB SSD</v>
      </c>
      <c r="J608" s="2" t="str">
        <f ca="1">IFERROR(__xludf.DUMMYFUNCTION("""COMPUTED_VALUE"""),"Intel HD Graphics 615")</f>
        <v>Intel HD Graphics 615</v>
      </c>
      <c r="K608" s="2" t="str">
        <f ca="1">IFERROR(__xludf.DUMMYFUNCTION("""COMPUTED_VALUE"""),"Windows 10")</f>
        <v>Windows 10</v>
      </c>
      <c r="L608" s="2" t="str">
        <f ca="1">IFERROR(__xludf.DUMMYFUNCTION("""COMPUTED_VALUE"""),"1.24kg")</f>
        <v>1.24kg</v>
      </c>
      <c r="M608" s="2">
        <f ca="1">IFERROR(__xludf.DUMMYFUNCTION("""COMPUTED_VALUE"""),1813)</f>
        <v>1813</v>
      </c>
    </row>
    <row r="609" spans="1:13">
      <c r="A609" s="2">
        <f ca="1">IFERROR(__xludf.DUMMYFUNCTION("""COMPUTED_VALUE"""),1271)</f>
        <v>1271</v>
      </c>
      <c r="B609" s="2" t="str">
        <f ca="1">IFERROR(__xludf.DUMMYFUNCTION("""COMPUTED_VALUE"""),"Lenovo")</f>
        <v>Lenovo</v>
      </c>
      <c r="C609" s="2" t="str">
        <f ca="1">IFERROR(__xludf.DUMMYFUNCTION("""COMPUTED_VALUE"""),"ThinkPad L460")</f>
        <v>ThinkPad L460</v>
      </c>
      <c r="D609" s="2" t="str">
        <f ca="1">IFERROR(__xludf.DUMMYFUNCTION("""COMPUTED_VALUE"""),"Notebook")</f>
        <v>Notebook</v>
      </c>
      <c r="E609" s="2">
        <f ca="1">IFERROR(__xludf.DUMMYFUNCTION("""COMPUTED_VALUE"""),14)</f>
        <v>14</v>
      </c>
      <c r="F609" s="2" t="str">
        <f ca="1">IFERROR(__xludf.DUMMYFUNCTION("""COMPUTED_VALUE"""),"IPS Panel Full HD 1920x1080")</f>
        <v>IPS Panel Full HD 1920x1080</v>
      </c>
      <c r="G609" s="2" t="str">
        <f ca="1">IFERROR(__xludf.DUMMYFUNCTION("""COMPUTED_VALUE"""),"Intel Core i5 6200U 2.3GHz")</f>
        <v>Intel Core i5 6200U 2.3GHz</v>
      </c>
      <c r="H609" s="2" t="str">
        <f ca="1">IFERROR(__xludf.DUMMYFUNCTION("""COMPUTED_VALUE"""),"8GB")</f>
        <v>8GB</v>
      </c>
      <c r="I609" s="2" t="str">
        <f ca="1">IFERROR(__xludf.DUMMYFUNCTION("""COMPUTED_VALUE"""),"256GB SSD")</f>
        <v>256GB SSD</v>
      </c>
      <c r="J609" s="2" t="str">
        <f ca="1">IFERROR(__xludf.DUMMYFUNCTION("""COMPUTED_VALUE"""),"Intel HD Graphics 520")</f>
        <v>Intel HD Graphics 520</v>
      </c>
      <c r="K609" s="2" t="str">
        <f ca="1">IFERROR(__xludf.DUMMYFUNCTION("""COMPUTED_VALUE"""),"Windows 10")</f>
        <v>Windows 10</v>
      </c>
      <c r="L609" s="2" t="str">
        <f ca="1">IFERROR(__xludf.DUMMYFUNCTION("""COMPUTED_VALUE"""),"1.9kg")</f>
        <v>1.9kg</v>
      </c>
      <c r="M609" s="2">
        <f ca="1">IFERROR(__xludf.DUMMYFUNCTION("""COMPUTED_VALUE"""),1072)</f>
        <v>1072</v>
      </c>
    </row>
    <row r="610" spans="1:13">
      <c r="A610" s="2">
        <f ca="1">IFERROR(__xludf.DUMMYFUNCTION("""COMPUTED_VALUE"""),1276)</f>
        <v>1276</v>
      </c>
      <c r="B610" s="2" t="str">
        <f ca="1">IFERROR(__xludf.DUMMYFUNCTION("""COMPUTED_VALUE"""),"Lenovo")</f>
        <v>Lenovo</v>
      </c>
      <c r="C610" s="2" t="str">
        <f ca="1">IFERROR(__xludf.DUMMYFUNCTION("""COMPUTED_VALUE"""),"B51-80 (i7-6500U/8GB/1008GB/Radeon")</f>
        <v>B51-80 (i7-6500U/8GB/1008GB/Radeon</v>
      </c>
      <c r="D610" s="2" t="str">
        <f ca="1">IFERROR(__xludf.DUMMYFUNCTION("""COMPUTED_VALUE"""),"Notebook")</f>
        <v>Notebook</v>
      </c>
      <c r="E610" s="2">
        <f ca="1">IFERROR(__xludf.DUMMYFUNCTION("""COMPUTED_VALUE"""),15.6)</f>
        <v>15.6</v>
      </c>
      <c r="F610" s="2" t="str">
        <f ca="1">IFERROR(__xludf.DUMMYFUNCTION("""COMPUTED_VALUE"""),"Full HD 1920x1080")</f>
        <v>Full HD 1920x1080</v>
      </c>
      <c r="G610" s="2" t="str">
        <f ca="1">IFERROR(__xludf.DUMMYFUNCTION("""COMPUTED_VALUE"""),"Intel Core i7 6500U 2.5GHz")</f>
        <v>Intel Core i7 6500U 2.5GHz</v>
      </c>
      <c r="H610" s="2" t="str">
        <f ca="1">IFERROR(__xludf.DUMMYFUNCTION("""COMPUTED_VALUE"""),"8GB")</f>
        <v>8GB</v>
      </c>
      <c r="I610" s="2" t="str">
        <f ca="1">IFERROR(__xludf.DUMMYFUNCTION("""COMPUTED_VALUE"""),"1.0TB Hybrid")</f>
        <v>1.0TB Hybrid</v>
      </c>
      <c r="J610" s="2" t="str">
        <f ca="1">IFERROR(__xludf.DUMMYFUNCTION("""COMPUTED_VALUE"""),"AMD Radeon R5 M330")</f>
        <v>AMD Radeon R5 M330</v>
      </c>
      <c r="K610" s="2" t="str">
        <f ca="1">IFERROR(__xludf.DUMMYFUNCTION("""COMPUTED_VALUE"""),"Windows 7")</f>
        <v>Windows 7</v>
      </c>
      <c r="L610" s="2" t="str">
        <f ca="1">IFERROR(__xludf.DUMMYFUNCTION("""COMPUTED_VALUE"""),"2.32kg")</f>
        <v>2.32kg</v>
      </c>
      <c r="M610" s="2">
        <f ca="1">IFERROR(__xludf.DUMMYFUNCTION("""COMPUTED_VALUE"""),895)</f>
        <v>895</v>
      </c>
    </row>
    <row r="611" spans="1:13">
      <c r="A611" s="2">
        <f ca="1">IFERROR(__xludf.DUMMYFUNCTION("""COMPUTED_VALUE"""),1277)</f>
        <v>1277</v>
      </c>
      <c r="B611" s="2" t="str">
        <f ca="1">IFERROR(__xludf.DUMMYFUNCTION("""COMPUTED_VALUE"""),"MSI")</f>
        <v>MSI</v>
      </c>
      <c r="C611" s="2" t="str">
        <f ca="1">IFERROR(__xludf.DUMMYFUNCTION("""COMPUTED_VALUE"""),"GE62 Apache")</f>
        <v>GE62 Apache</v>
      </c>
      <c r="D611" s="2" t="str">
        <f ca="1">IFERROR(__xludf.DUMMYFUNCTION("""COMPUTED_VALUE"""),"Gaming")</f>
        <v>Gaming</v>
      </c>
      <c r="E611" s="2">
        <f ca="1">IFERROR(__xludf.DUMMYFUNCTION("""COMPUTED_VALUE"""),15.6)</f>
        <v>15.6</v>
      </c>
      <c r="F611" s="2" t="str">
        <f ca="1">IFERROR(__xludf.DUMMYFUNCTION("""COMPUTED_VALUE"""),"Full HD 1920x1080")</f>
        <v>Full HD 1920x1080</v>
      </c>
      <c r="G611" s="2" t="str">
        <f ca="1">IFERROR(__xludf.DUMMYFUNCTION("""COMPUTED_VALUE"""),"Intel Core i7 6700HQ 2.6GHz")</f>
        <v>Intel Core i7 6700HQ 2.6GHz</v>
      </c>
      <c r="H611" s="2" t="str">
        <f ca="1">IFERROR(__xludf.DUMMYFUNCTION("""COMPUTED_VALUE"""),"8GB")</f>
        <v>8GB</v>
      </c>
      <c r="I611" s="2" t="str">
        <f ca="1">IFERROR(__xludf.DUMMYFUNCTION("""COMPUTED_VALUE"""),"128GB SSD +  1TB HDD")</f>
        <v>128GB SSD +  1TB HDD</v>
      </c>
      <c r="J611" s="2" t="str">
        <f ca="1">IFERROR(__xludf.DUMMYFUNCTION("""COMPUTED_VALUE"""),"Nvidia GeForce GTX 960M")</f>
        <v>Nvidia GeForce GTX 960M</v>
      </c>
      <c r="K611" s="2" t="str">
        <f ca="1">IFERROR(__xludf.DUMMYFUNCTION("""COMPUTED_VALUE"""),"Windows 10")</f>
        <v>Windows 10</v>
      </c>
      <c r="L611" s="2" t="str">
        <f ca="1">IFERROR(__xludf.DUMMYFUNCTION("""COMPUTED_VALUE"""),"2.4kg")</f>
        <v>2.4kg</v>
      </c>
      <c r="M611" s="2">
        <f ca="1">IFERROR(__xludf.DUMMYFUNCTION("""COMPUTED_VALUE"""),1229)</f>
        <v>1229</v>
      </c>
    </row>
    <row r="612" spans="1:13">
      <c r="A612" s="2">
        <f ca="1">IFERROR(__xludf.DUMMYFUNCTION("""COMPUTED_VALUE"""),1279)</f>
        <v>1279</v>
      </c>
      <c r="B612" s="2" t="str">
        <f ca="1">IFERROR(__xludf.DUMMYFUNCTION("""COMPUTED_VALUE"""),"Asus")</f>
        <v>Asus</v>
      </c>
      <c r="C612" s="2" t="str">
        <f ca="1">IFERROR(__xludf.DUMMYFUNCTION("""COMPUTED_VALUE"""),"ZenBook UX305CA-UBM1")</f>
        <v>ZenBook UX305CA-UBM1</v>
      </c>
      <c r="D612" s="2" t="str">
        <f ca="1">IFERROR(__xludf.DUMMYFUNCTION("""COMPUTED_VALUE"""),"Ultrabook")</f>
        <v>Ultrabook</v>
      </c>
      <c r="E612" s="2">
        <f ca="1">IFERROR(__xludf.DUMMYFUNCTION("""COMPUTED_VALUE"""),13.3)</f>
        <v>13.3</v>
      </c>
      <c r="F612" s="2" t="str">
        <f ca="1">IFERROR(__xludf.DUMMYFUNCTION("""COMPUTED_VALUE"""),"IPS Panel Full HD 1920x1080")</f>
        <v>IPS Panel Full HD 1920x1080</v>
      </c>
      <c r="G612" s="2" t="str">
        <f ca="1">IFERROR(__xludf.DUMMYFUNCTION("""COMPUTED_VALUE"""),"Intel Core M 6Y30 0.9GHz")</f>
        <v>Intel Core M 6Y30 0.9GHz</v>
      </c>
      <c r="H612" s="2" t="str">
        <f ca="1">IFERROR(__xludf.DUMMYFUNCTION("""COMPUTED_VALUE"""),"8GB")</f>
        <v>8GB</v>
      </c>
      <c r="I612" s="2" t="str">
        <f ca="1">IFERROR(__xludf.DUMMYFUNCTION("""COMPUTED_VALUE"""),"512GB SSD")</f>
        <v>512GB SSD</v>
      </c>
      <c r="J612" s="2" t="str">
        <f ca="1">IFERROR(__xludf.DUMMYFUNCTION("""COMPUTED_VALUE"""),"Intel HD Graphics 515")</f>
        <v>Intel HD Graphics 515</v>
      </c>
      <c r="K612" s="2" t="str">
        <f ca="1">IFERROR(__xludf.DUMMYFUNCTION("""COMPUTED_VALUE"""),"Windows 10")</f>
        <v>Windows 10</v>
      </c>
      <c r="L612" s="2" t="str">
        <f ca="1">IFERROR(__xludf.DUMMYFUNCTION("""COMPUTED_VALUE"""),"1.2kg")</f>
        <v>1.2kg</v>
      </c>
      <c r="M612" s="2">
        <f ca="1">IFERROR(__xludf.DUMMYFUNCTION("""COMPUTED_VALUE"""),729)</f>
        <v>729</v>
      </c>
    </row>
    <row r="613" spans="1:13">
      <c r="A613" s="2">
        <f ca="1">IFERROR(__xludf.DUMMYFUNCTION("""COMPUTED_VALUE"""),1283)</f>
        <v>1283</v>
      </c>
      <c r="B613" s="2" t="str">
        <f ca="1">IFERROR(__xludf.DUMMYFUNCTION("""COMPUTED_VALUE"""),"Lenovo")</f>
        <v>Lenovo</v>
      </c>
      <c r="C613" s="2" t="str">
        <f ca="1">IFERROR(__xludf.DUMMYFUNCTION("""COMPUTED_VALUE"""),"IdeaPad Y700-15ISK")</f>
        <v>IdeaPad Y700-15ISK</v>
      </c>
      <c r="D613" s="2" t="str">
        <f ca="1">IFERROR(__xludf.DUMMYFUNCTION("""COMPUTED_VALUE"""),"Notebook")</f>
        <v>Notebook</v>
      </c>
      <c r="E613" s="2">
        <f ca="1">IFERROR(__xludf.DUMMYFUNCTION("""COMPUTED_VALUE"""),15.6)</f>
        <v>15.6</v>
      </c>
      <c r="F613" s="2" t="str">
        <f ca="1">IFERROR(__xludf.DUMMYFUNCTION("""COMPUTED_VALUE"""),"IPS Panel Full HD 1920x1080")</f>
        <v>IPS Panel Full HD 1920x1080</v>
      </c>
      <c r="G613" s="2" t="str">
        <f ca="1">IFERROR(__xludf.DUMMYFUNCTION("""COMPUTED_VALUE"""),"Intel Core i7 6700HQ 2.6GHz")</f>
        <v>Intel Core i7 6700HQ 2.6GHz</v>
      </c>
      <c r="H613" s="2" t="str">
        <f ca="1">IFERROR(__xludf.DUMMYFUNCTION("""COMPUTED_VALUE"""),"8GB")</f>
        <v>8GB</v>
      </c>
      <c r="I613" s="2" t="str">
        <f ca="1">IFERROR(__xludf.DUMMYFUNCTION("""COMPUTED_VALUE"""),"1TB HDD")</f>
        <v>1TB HDD</v>
      </c>
      <c r="J613" s="2" t="str">
        <f ca="1">IFERROR(__xludf.DUMMYFUNCTION("""COMPUTED_VALUE"""),"Nvidia GeForce GTX 960M")</f>
        <v>Nvidia GeForce GTX 960M</v>
      </c>
      <c r="K613" s="2" t="str">
        <f ca="1">IFERROR(__xludf.DUMMYFUNCTION("""COMPUTED_VALUE"""),"Windows 10")</f>
        <v>Windows 10</v>
      </c>
      <c r="L613" s="2" t="str">
        <f ca="1">IFERROR(__xludf.DUMMYFUNCTION("""COMPUTED_VALUE"""),"2.6kg")</f>
        <v>2.6kg</v>
      </c>
      <c r="M613" s="2">
        <f ca="1">IFERROR(__xludf.DUMMYFUNCTION("""COMPUTED_VALUE"""),899)</f>
        <v>899</v>
      </c>
    </row>
    <row r="614" spans="1:13">
      <c r="A614" s="2">
        <f ca="1">IFERROR(__xludf.DUMMYFUNCTION("""COMPUTED_VALUE"""),1285)</f>
        <v>1285</v>
      </c>
      <c r="B614" s="2" t="str">
        <f ca="1">IFERROR(__xludf.DUMMYFUNCTION("""COMPUTED_VALUE"""),"Dell")</f>
        <v>Dell</v>
      </c>
      <c r="C614" s="2" t="str">
        <f ca="1">IFERROR(__xludf.DUMMYFUNCTION("""COMPUTED_VALUE"""),"Inspiron 3567")</f>
        <v>Inspiron 3567</v>
      </c>
      <c r="D614" s="2" t="str">
        <f ca="1">IFERROR(__xludf.DUMMYFUNCTION("""COMPUTED_VALUE"""),"Notebook")</f>
        <v>Notebook</v>
      </c>
      <c r="E614" s="2">
        <f ca="1">IFERROR(__xludf.DUMMYFUNCTION("""COMPUTED_VALUE"""),15.6)</f>
        <v>15.6</v>
      </c>
      <c r="F614" s="2" t="str">
        <f ca="1">IFERROR(__xludf.DUMMYFUNCTION("""COMPUTED_VALUE"""),"1366x768")</f>
        <v>1366x768</v>
      </c>
      <c r="G614" s="2" t="str">
        <f ca="1">IFERROR(__xludf.DUMMYFUNCTION("""COMPUTED_VALUE"""),"Intel Core i7 7500U 2.7GHz")</f>
        <v>Intel Core i7 7500U 2.7GHz</v>
      </c>
      <c r="H614" s="2" t="str">
        <f ca="1">IFERROR(__xludf.DUMMYFUNCTION("""COMPUTED_VALUE"""),"8GB")</f>
        <v>8GB</v>
      </c>
      <c r="I614" s="2" t="str">
        <f ca="1">IFERROR(__xludf.DUMMYFUNCTION("""COMPUTED_VALUE"""),"1TB HDD")</f>
        <v>1TB HDD</v>
      </c>
      <c r="J614" s="2" t="str">
        <f ca="1">IFERROR(__xludf.DUMMYFUNCTION("""COMPUTED_VALUE"""),"AMD Radeon R5 M430")</f>
        <v>AMD Radeon R5 M430</v>
      </c>
      <c r="K614" s="2" t="str">
        <f ca="1">IFERROR(__xludf.DUMMYFUNCTION("""COMPUTED_VALUE"""),"Linux")</f>
        <v>Linux</v>
      </c>
      <c r="L614" s="2" t="str">
        <f ca="1">IFERROR(__xludf.DUMMYFUNCTION("""COMPUTED_VALUE"""),"2.3kg")</f>
        <v>2.3kg</v>
      </c>
      <c r="M614" s="2">
        <f ca="1">IFERROR(__xludf.DUMMYFUNCTION("""COMPUTED_VALUE"""),805.99)</f>
        <v>805.99</v>
      </c>
    </row>
    <row r="615" spans="1:13">
      <c r="A615" s="2">
        <f ca="1">IFERROR(__xludf.DUMMYFUNCTION("""COMPUTED_VALUE"""),1293)</f>
        <v>1293</v>
      </c>
      <c r="B615" s="2" t="str">
        <f ca="1">IFERROR(__xludf.DUMMYFUNCTION("""COMPUTED_VALUE"""),"Asus")</f>
        <v>Asus</v>
      </c>
      <c r="C615" s="2" t="str">
        <f ca="1">IFERROR(__xludf.DUMMYFUNCTION("""COMPUTED_VALUE"""),"ZenBook UX305CA-UBM1")</f>
        <v>ZenBook UX305CA-UBM1</v>
      </c>
      <c r="D615" s="2" t="str">
        <f ca="1">IFERROR(__xludf.DUMMYFUNCTION("""COMPUTED_VALUE"""),"Ultrabook")</f>
        <v>Ultrabook</v>
      </c>
      <c r="E615" s="2">
        <f ca="1">IFERROR(__xludf.DUMMYFUNCTION("""COMPUTED_VALUE"""),13.3)</f>
        <v>13.3</v>
      </c>
      <c r="F615" s="2" t="str">
        <f ca="1">IFERROR(__xludf.DUMMYFUNCTION("""COMPUTED_VALUE"""),"IPS Panel Full HD 1920x1080")</f>
        <v>IPS Panel Full HD 1920x1080</v>
      </c>
      <c r="G615" s="2" t="str">
        <f ca="1">IFERROR(__xludf.DUMMYFUNCTION("""COMPUTED_VALUE"""),"Intel Core M 6Y30 0.9GHz")</f>
        <v>Intel Core M 6Y30 0.9GHz</v>
      </c>
      <c r="H615" s="2" t="str">
        <f ca="1">IFERROR(__xludf.DUMMYFUNCTION("""COMPUTED_VALUE"""),"8GB")</f>
        <v>8GB</v>
      </c>
      <c r="I615" s="2" t="str">
        <f ca="1">IFERROR(__xludf.DUMMYFUNCTION("""COMPUTED_VALUE"""),"512GB SSD")</f>
        <v>512GB SSD</v>
      </c>
      <c r="J615" s="2" t="str">
        <f ca="1">IFERROR(__xludf.DUMMYFUNCTION("""COMPUTED_VALUE"""),"Intel HD Graphics 515")</f>
        <v>Intel HD Graphics 515</v>
      </c>
      <c r="K615" s="2" t="str">
        <f ca="1">IFERROR(__xludf.DUMMYFUNCTION("""COMPUTED_VALUE"""),"Windows 10")</f>
        <v>Windows 10</v>
      </c>
      <c r="L615" s="2" t="str">
        <f ca="1">IFERROR(__xludf.DUMMYFUNCTION("""COMPUTED_VALUE"""),"1.2kg")</f>
        <v>1.2kg</v>
      </c>
      <c r="M615" s="2">
        <f ca="1">IFERROR(__xludf.DUMMYFUNCTION("""COMPUTED_VALUE"""),729)</f>
        <v>729</v>
      </c>
    </row>
    <row r="616" spans="1:13">
      <c r="A616" s="2">
        <f ca="1">IFERROR(__xludf.DUMMYFUNCTION("""COMPUTED_VALUE"""),1297)</f>
        <v>1297</v>
      </c>
      <c r="B616" s="2" t="str">
        <f ca="1">IFERROR(__xludf.DUMMYFUNCTION("""COMPUTED_VALUE"""),"Lenovo")</f>
        <v>Lenovo</v>
      </c>
      <c r="C616" s="2" t="str">
        <f ca="1">IFERROR(__xludf.DUMMYFUNCTION("""COMPUTED_VALUE"""),"IdeaPad Y700-15ISK")</f>
        <v>IdeaPad Y700-15ISK</v>
      </c>
      <c r="D616" s="2" t="str">
        <f ca="1">IFERROR(__xludf.DUMMYFUNCTION("""COMPUTED_VALUE"""),"Notebook")</f>
        <v>Notebook</v>
      </c>
      <c r="E616" s="2">
        <f ca="1">IFERROR(__xludf.DUMMYFUNCTION("""COMPUTED_VALUE"""),15.6)</f>
        <v>15.6</v>
      </c>
      <c r="F616" s="2" t="str">
        <f ca="1">IFERROR(__xludf.DUMMYFUNCTION("""COMPUTED_VALUE"""),"IPS Panel Full HD 1920x1080")</f>
        <v>IPS Panel Full HD 1920x1080</v>
      </c>
      <c r="G616" s="2" t="str">
        <f ca="1">IFERROR(__xludf.DUMMYFUNCTION("""COMPUTED_VALUE"""),"Intel Core i7 6700HQ 2.6GHz")</f>
        <v>Intel Core i7 6700HQ 2.6GHz</v>
      </c>
      <c r="H616" s="2" t="str">
        <f ca="1">IFERROR(__xludf.DUMMYFUNCTION("""COMPUTED_VALUE"""),"8GB")</f>
        <v>8GB</v>
      </c>
      <c r="I616" s="2" t="str">
        <f ca="1">IFERROR(__xludf.DUMMYFUNCTION("""COMPUTED_VALUE"""),"1TB HDD")</f>
        <v>1TB HDD</v>
      </c>
      <c r="J616" s="2" t="str">
        <f ca="1">IFERROR(__xludf.DUMMYFUNCTION("""COMPUTED_VALUE"""),"Nvidia GeForce GTX 960M")</f>
        <v>Nvidia GeForce GTX 960M</v>
      </c>
      <c r="K616" s="2" t="str">
        <f ca="1">IFERROR(__xludf.DUMMYFUNCTION("""COMPUTED_VALUE"""),"Windows 10")</f>
        <v>Windows 10</v>
      </c>
      <c r="L616" s="2" t="str">
        <f ca="1">IFERROR(__xludf.DUMMYFUNCTION("""COMPUTED_VALUE"""),"2.6kg")</f>
        <v>2.6kg</v>
      </c>
      <c r="M616" s="2">
        <f ca="1">IFERROR(__xludf.DUMMYFUNCTION("""COMPUTED_VALUE"""),899)</f>
        <v>899</v>
      </c>
    </row>
    <row r="617" spans="1:13">
      <c r="A617" s="2">
        <f ca="1">IFERROR(__xludf.DUMMYFUNCTION("""COMPUTED_VALUE"""),1299)</f>
        <v>1299</v>
      </c>
      <c r="B617" s="2" t="str">
        <f ca="1">IFERROR(__xludf.DUMMYFUNCTION("""COMPUTED_VALUE"""),"Dell")</f>
        <v>Dell</v>
      </c>
      <c r="C617" s="2" t="str">
        <f ca="1">IFERROR(__xludf.DUMMYFUNCTION("""COMPUTED_VALUE"""),"Inspiron 3567")</f>
        <v>Inspiron 3567</v>
      </c>
      <c r="D617" s="2" t="str">
        <f ca="1">IFERROR(__xludf.DUMMYFUNCTION("""COMPUTED_VALUE"""),"Notebook")</f>
        <v>Notebook</v>
      </c>
      <c r="E617" s="2">
        <f ca="1">IFERROR(__xludf.DUMMYFUNCTION("""COMPUTED_VALUE"""),15.6)</f>
        <v>15.6</v>
      </c>
      <c r="F617" s="2" t="str">
        <f ca="1">IFERROR(__xludf.DUMMYFUNCTION("""COMPUTED_VALUE"""),"1366x768")</f>
        <v>1366x768</v>
      </c>
      <c r="G617" s="2" t="str">
        <f ca="1">IFERROR(__xludf.DUMMYFUNCTION("""COMPUTED_VALUE"""),"Intel Core i7 7500U 2.7GHz")</f>
        <v>Intel Core i7 7500U 2.7GHz</v>
      </c>
      <c r="H617" s="2" t="str">
        <f ca="1">IFERROR(__xludf.DUMMYFUNCTION("""COMPUTED_VALUE"""),"8GB")</f>
        <v>8GB</v>
      </c>
      <c r="I617" s="2" t="str">
        <f ca="1">IFERROR(__xludf.DUMMYFUNCTION("""COMPUTED_VALUE"""),"1TB HDD")</f>
        <v>1TB HDD</v>
      </c>
      <c r="J617" s="2" t="str">
        <f ca="1">IFERROR(__xludf.DUMMYFUNCTION("""COMPUTED_VALUE"""),"AMD Radeon R5 M430")</f>
        <v>AMD Radeon R5 M430</v>
      </c>
      <c r="K617" s="2" t="str">
        <f ca="1">IFERROR(__xludf.DUMMYFUNCTION("""COMPUTED_VALUE"""),"Linux")</f>
        <v>Linux</v>
      </c>
      <c r="L617" s="2" t="str">
        <f ca="1">IFERROR(__xludf.DUMMYFUNCTION("""COMPUTED_VALUE"""),"2.3kg")</f>
        <v>2.3kg</v>
      </c>
      <c r="M617" s="2">
        <f ca="1">IFERROR(__xludf.DUMMYFUNCTION("""COMPUTED_VALUE"""),805.99)</f>
        <v>805.99</v>
      </c>
    </row>
    <row r="618" spans="1:13">
      <c r="A618" s="2">
        <f ca="1">IFERROR(__xludf.DUMMYFUNCTION("""COMPUTED_VALUE"""),1307)</f>
        <v>1307</v>
      </c>
      <c r="B618" s="2" t="str">
        <f ca="1">IFERROR(__xludf.DUMMYFUNCTION("""COMPUTED_VALUE"""),"Asus")</f>
        <v>Asus</v>
      </c>
      <c r="C618" s="2" t="str">
        <f ca="1">IFERROR(__xludf.DUMMYFUNCTION("""COMPUTED_VALUE"""),"ZenBook UX305CA-UBM1")</f>
        <v>ZenBook UX305CA-UBM1</v>
      </c>
      <c r="D618" s="2" t="str">
        <f ca="1">IFERROR(__xludf.DUMMYFUNCTION("""COMPUTED_VALUE"""),"Ultrabook")</f>
        <v>Ultrabook</v>
      </c>
      <c r="E618" s="2">
        <f ca="1">IFERROR(__xludf.DUMMYFUNCTION("""COMPUTED_VALUE"""),13.3)</f>
        <v>13.3</v>
      </c>
      <c r="F618" s="2" t="str">
        <f ca="1">IFERROR(__xludf.DUMMYFUNCTION("""COMPUTED_VALUE"""),"IPS Panel Full HD 1920x1080")</f>
        <v>IPS Panel Full HD 1920x1080</v>
      </c>
      <c r="G618" s="2" t="str">
        <f ca="1">IFERROR(__xludf.DUMMYFUNCTION("""COMPUTED_VALUE"""),"Intel Core M 6Y30 0.9GHz")</f>
        <v>Intel Core M 6Y30 0.9GHz</v>
      </c>
      <c r="H618" s="2" t="str">
        <f ca="1">IFERROR(__xludf.DUMMYFUNCTION("""COMPUTED_VALUE"""),"8GB")</f>
        <v>8GB</v>
      </c>
      <c r="I618" s="2" t="str">
        <f ca="1">IFERROR(__xludf.DUMMYFUNCTION("""COMPUTED_VALUE"""),"512GB SSD")</f>
        <v>512GB SSD</v>
      </c>
      <c r="J618" s="2" t="str">
        <f ca="1">IFERROR(__xludf.DUMMYFUNCTION("""COMPUTED_VALUE"""),"Intel HD Graphics 515")</f>
        <v>Intel HD Graphics 515</v>
      </c>
      <c r="K618" s="2" t="str">
        <f ca="1">IFERROR(__xludf.DUMMYFUNCTION("""COMPUTED_VALUE"""),"Windows 10")</f>
        <v>Windows 10</v>
      </c>
      <c r="L618" s="2" t="str">
        <f ca="1">IFERROR(__xludf.DUMMYFUNCTION("""COMPUTED_VALUE"""),"1.2kg")</f>
        <v>1.2kg</v>
      </c>
      <c r="M618" s="2">
        <f ca="1">IFERROR(__xludf.DUMMYFUNCTION("""COMPUTED_VALUE"""),729)</f>
        <v>729</v>
      </c>
    </row>
    <row r="619" spans="1:13">
      <c r="A619" s="2">
        <f ca="1">IFERROR(__xludf.DUMMYFUNCTION("""COMPUTED_VALUE"""),1311)</f>
        <v>1311</v>
      </c>
      <c r="B619" s="2" t="str">
        <f ca="1">IFERROR(__xludf.DUMMYFUNCTION("""COMPUTED_VALUE"""),"Lenovo")</f>
        <v>Lenovo</v>
      </c>
      <c r="C619" s="2" t="str">
        <f ca="1">IFERROR(__xludf.DUMMYFUNCTION("""COMPUTED_VALUE"""),"IdeaPad Y700-15ISK")</f>
        <v>IdeaPad Y700-15ISK</v>
      </c>
      <c r="D619" s="2" t="str">
        <f ca="1">IFERROR(__xludf.DUMMYFUNCTION("""COMPUTED_VALUE"""),"Notebook")</f>
        <v>Notebook</v>
      </c>
      <c r="E619" s="2">
        <f ca="1">IFERROR(__xludf.DUMMYFUNCTION("""COMPUTED_VALUE"""),15.6)</f>
        <v>15.6</v>
      </c>
      <c r="F619" s="2" t="str">
        <f ca="1">IFERROR(__xludf.DUMMYFUNCTION("""COMPUTED_VALUE"""),"IPS Panel Full HD 1920x1080")</f>
        <v>IPS Panel Full HD 1920x1080</v>
      </c>
      <c r="G619" s="2" t="str">
        <f ca="1">IFERROR(__xludf.DUMMYFUNCTION("""COMPUTED_VALUE"""),"Intel Core i7 6700HQ 2.6GHz")</f>
        <v>Intel Core i7 6700HQ 2.6GHz</v>
      </c>
      <c r="H619" s="2" t="str">
        <f ca="1">IFERROR(__xludf.DUMMYFUNCTION("""COMPUTED_VALUE"""),"8GB")</f>
        <v>8GB</v>
      </c>
      <c r="I619" s="2" t="str">
        <f ca="1">IFERROR(__xludf.DUMMYFUNCTION("""COMPUTED_VALUE"""),"1TB HDD")</f>
        <v>1TB HDD</v>
      </c>
      <c r="J619" s="2" t="str">
        <f ca="1">IFERROR(__xludf.DUMMYFUNCTION("""COMPUTED_VALUE"""),"Nvidia GeForce GTX 960M")</f>
        <v>Nvidia GeForce GTX 960M</v>
      </c>
      <c r="K619" s="2" t="str">
        <f ca="1">IFERROR(__xludf.DUMMYFUNCTION("""COMPUTED_VALUE"""),"Windows 10")</f>
        <v>Windows 10</v>
      </c>
      <c r="L619" s="2" t="str">
        <f ca="1">IFERROR(__xludf.DUMMYFUNCTION("""COMPUTED_VALUE"""),"2.6kg")</f>
        <v>2.6kg</v>
      </c>
      <c r="M619" s="2">
        <f ca="1">IFERROR(__xludf.DUMMYFUNCTION("""COMPUTED_VALUE"""),899)</f>
        <v>899</v>
      </c>
    </row>
    <row r="620" spans="1:13">
      <c r="A620" s="2">
        <f ca="1">IFERROR(__xludf.DUMMYFUNCTION("""COMPUTED_VALUE"""),1313)</f>
        <v>1313</v>
      </c>
      <c r="B620" s="2" t="str">
        <f ca="1">IFERROR(__xludf.DUMMYFUNCTION("""COMPUTED_VALUE"""),"Dell")</f>
        <v>Dell</v>
      </c>
      <c r="C620" s="2" t="str">
        <f ca="1">IFERROR(__xludf.DUMMYFUNCTION("""COMPUTED_VALUE"""),"Inspiron 3567")</f>
        <v>Inspiron 3567</v>
      </c>
      <c r="D620" s="2" t="str">
        <f ca="1">IFERROR(__xludf.DUMMYFUNCTION("""COMPUTED_VALUE"""),"Notebook")</f>
        <v>Notebook</v>
      </c>
      <c r="E620" s="2">
        <f ca="1">IFERROR(__xludf.DUMMYFUNCTION("""COMPUTED_VALUE"""),15.6)</f>
        <v>15.6</v>
      </c>
      <c r="F620" s="2" t="str">
        <f ca="1">IFERROR(__xludf.DUMMYFUNCTION("""COMPUTED_VALUE"""),"1366x768")</f>
        <v>1366x768</v>
      </c>
      <c r="G620" s="2" t="str">
        <f ca="1">IFERROR(__xludf.DUMMYFUNCTION("""COMPUTED_VALUE"""),"Intel Core i7 7500U 2.7GHz")</f>
        <v>Intel Core i7 7500U 2.7GHz</v>
      </c>
      <c r="H620" s="2" t="str">
        <f ca="1">IFERROR(__xludf.DUMMYFUNCTION("""COMPUTED_VALUE"""),"8GB")</f>
        <v>8GB</v>
      </c>
      <c r="I620" s="2" t="str">
        <f ca="1">IFERROR(__xludf.DUMMYFUNCTION("""COMPUTED_VALUE"""),"1TB HDD")</f>
        <v>1TB HDD</v>
      </c>
      <c r="J620" s="2" t="str">
        <f ca="1">IFERROR(__xludf.DUMMYFUNCTION("""COMPUTED_VALUE"""),"AMD Radeon R5 M430")</f>
        <v>AMD Radeon R5 M430</v>
      </c>
      <c r="K620" s="2" t="str">
        <f ca="1">IFERROR(__xludf.DUMMYFUNCTION("""COMPUTED_VALUE"""),"Linux")</f>
        <v>Linux</v>
      </c>
      <c r="L620" s="2" t="str">
        <f ca="1">IFERROR(__xludf.DUMMYFUNCTION("""COMPUTED_VALUE"""),"2.3kg")</f>
        <v>2.3kg</v>
      </c>
      <c r="M620" s="2">
        <f ca="1">IFERROR(__xludf.DUMMYFUNCTION("""COMPUTED_VALUE"""),805.99)</f>
        <v>805.99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51"/>
  <sheetViews>
    <sheetView workbookViewId="0"/>
  </sheetViews>
  <sheetFormatPr defaultColWidth="11.25" defaultRowHeight="15" customHeight="1"/>
  <sheetData>
    <row r="1" spans="1:13">
      <c r="A1" s="2" t="str">
        <f ca="1">IFERROR(__xludf.DUMMYFUNCTION("query(laptop_price!A1:M1304, ""select * where E&gt;17 and K='Windows 10' order by M"")"),"laptop_ID")</f>
        <v>laptop_ID</v>
      </c>
      <c r="B1" s="2" t="str">
        <f ca="1">IFERROR(__xludf.DUMMYFUNCTION("""COMPUTED_VALUE"""),"Company")</f>
        <v>Company</v>
      </c>
      <c r="C1" s="2" t="str">
        <f ca="1">IFERROR(__xludf.DUMMYFUNCTION("""COMPUTED_VALUE"""),"Product")</f>
        <v>Product</v>
      </c>
      <c r="D1" s="2" t="str">
        <f ca="1">IFERROR(__xludf.DUMMYFUNCTION("""COMPUTED_VALUE"""),"TypeName")</f>
        <v>TypeName</v>
      </c>
      <c r="E1" s="2" t="str">
        <f ca="1">IFERROR(__xludf.DUMMYFUNCTION("""COMPUTED_VALUE"""),"Inches")</f>
        <v>Inches</v>
      </c>
      <c r="F1" s="2" t="str">
        <f ca="1">IFERROR(__xludf.DUMMYFUNCTION("""COMPUTED_VALUE"""),"ScreenResolution")</f>
        <v>ScreenResolution</v>
      </c>
      <c r="G1" s="2" t="str">
        <f ca="1">IFERROR(__xludf.DUMMYFUNCTION("""COMPUTED_VALUE"""),"Cpu")</f>
        <v>Cpu</v>
      </c>
      <c r="H1" s="2" t="str">
        <f ca="1">IFERROR(__xludf.DUMMYFUNCTION("""COMPUTED_VALUE"""),"Ram")</f>
        <v>Ram</v>
      </c>
      <c r="I1" s="2" t="str">
        <f ca="1">IFERROR(__xludf.DUMMYFUNCTION("""COMPUTED_VALUE"""),"Memory")</f>
        <v>Memory</v>
      </c>
      <c r="J1" s="2" t="str">
        <f ca="1">IFERROR(__xludf.DUMMYFUNCTION("""COMPUTED_VALUE"""),"Gpu")</f>
        <v>Gpu</v>
      </c>
      <c r="K1" s="2" t="str">
        <f ca="1">IFERROR(__xludf.DUMMYFUNCTION("""COMPUTED_VALUE"""),"OpSys")</f>
        <v>OpSys</v>
      </c>
      <c r="L1" s="2" t="str">
        <f ca="1">IFERROR(__xludf.DUMMYFUNCTION("""COMPUTED_VALUE"""),"Weight")</f>
        <v>Weight</v>
      </c>
      <c r="M1" s="2" t="str">
        <f ca="1">IFERROR(__xludf.DUMMYFUNCTION("""COMPUTED_VALUE"""),"Price_euros")</f>
        <v>Price_euros</v>
      </c>
    </row>
    <row r="2" spans="1:13">
      <c r="A2" s="2">
        <f ca="1">IFERROR(__xludf.DUMMYFUNCTION("""COMPUTED_VALUE"""),900)</f>
        <v>900</v>
      </c>
      <c r="B2" s="2" t="str">
        <f ca="1">IFERROR(__xludf.DUMMYFUNCTION("""COMPUTED_VALUE"""),"Lenovo")</f>
        <v>Lenovo</v>
      </c>
      <c r="C2" s="2" t="str">
        <f ca="1">IFERROR(__xludf.DUMMYFUNCTION("""COMPUTED_VALUE"""),"IdeaPad 110-17ACL")</f>
        <v>IdeaPad 110-17ACL</v>
      </c>
      <c r="D2" s="2" t="str">
        <f ca="1">IFERROR(__xludf.DUMMYFUNCTION("""COMPUTED_VALUE"""),"Notebook")</f>
        <v>Notebook</v>
      </c>
      <c r="E2" s="2">
        <f ca="1">IFERROR(__xludf.DUMMYFUNCTION("""COMPUTED_VALUE"""),17.3)</f>
        <v>17.3</v>
      </c>
      <c r="F2" s="2" t="str">
        <f ca="1">IFERROR(__xludf.DUMMYFUNCTION("""COMPUTED_VALUE"""),"1600x900")</f>
        <v>1600x900</v>
      </c>
      <c r="G2" s="2" t="str">
        <f ca="1">IFERROR(__xludf.DUMMYFUNCTION("""COMPUTED_VALUE"""),"AMD A4-Series 7210 2.2GHz")</f>
        <v>AMD A4-Series 7210 2.2GHz</v>
      </c>
      <c r="H2" s="2" t="str">
        <f ca="1">IFERROR(__xludf.DUMMYFUNCTION("""COMPUTED_VALUE"""),"4GB")</f>
        <v>4GB</v>
      </c>
      <c r="I2" s="2" t="str">
        <f ca="1">IFERROR(__xludf.DUMMYFUNCTION("""COMPUTED_VALUE"""),"500GB HDD")</f>
        <v>500GB HDD</v>
      </c>
      <c r="J2" s="2" t="str">
        <f ca="1">IFERROR(__xludf.DUMMYFUNCTION("""COMPUTED_VALUE"""),"AMD Radeon R3")</f>
        <v>AMD Radeon R3</v>
      </c>
      <c r="K2" s="2" t="str">
        <f ca="1">IFERROR(__xludf.DUMMYFUNCTION("""COMPUTED_VALUE"""),"Windows 10")</f>
        <v>Windows 10</v>
      </c>
      <c r="L2" s="2" t="str">
        <f ca="1">IFERROR(__xludf.DUMMYFUNCTION("""COMPUTED_VALUE"""),"2.8kg")</f>
        <v>2.8kg</v>
      </c>
      <c r="M2" s="2">
        <f ca="1">IFERROR(__xludf.DUMMYFUNCTION("""COMPUTED_VALUE"""),379)</f>
        <v>379</v>
      </c>
    </row>
    <row r="3" spans="1:13">
      <c r="A3" s="2">
        <f ca="1">IFERROR(__xludf.DUMMYFUNCTION("""COMPUTED_VALUE"""),33)</f>
        <v>33</v>
      </c>
      <c r="B3" s="2" t="str">
        <f ca="1">IFERROR(__xludf.DUMMYFUNCTION("""COMPUTED_VALUE"""),"HP")</f>
        <v>HP</v>
      </c>
      <c r="C3" s="2" t="str">
        <f ca="1">IFERROR(__xludf.DUMMYFUNCTION("""COMPUTED_VALUE"""),"17-ak001nv (A6-9220/4GB/500GB/Radeon")</f>
        <v>17-ak001nv (A6-9220/4GB/500GB/Radeon</v>
      </c>
      <c r="D3" s="2" t="str">
        <f ca="1">IFERROR(__xludf.DUMMYFUNCTION("""COMPUTED_VALUE"""),"Notebook")</f>
        <v>Notebook</v>
      </c>
      <c r="E3" s="2">
        <f ca="1">IFERROR(__xludf.DUMMYFUNCTION("""COMPUTED_VALUE"""),17.3)</f>
        <v>17.3</v>
      </c>
      <c r="F3" s="2" t="str">
        <f ca="1">IFERROR(__xludf.DUMMYFUNCTION("""COMPUTED_VALUE"""),"Full HD 1920x1080")</f>
        <v>Full HD 1920x1080</v>
      </c>
      <c r="G3" s="2" t="str">
        <f ca="1">IFERROR(__xludf.DUMMYFUNCTION("""COMPUTED_VALUE"""),"AMD A6-Series 9220 2.5GHz")</f>
        <v>AMD A6-Series 9220 2.5GHz</v>
      </c>
      <c r="H3" s="2" t="str">
        <f ca="1">IFERROR(__xludf.DUMMYFUNCTION("""COMPUTED_VALUE"""),"4GB")</f>
        <v>4GB</v>
      </c>
      <c r="I3" s="2" t="str">
        <f ca="1">IFERROR(__xludf.DUMMYFUNCTION("""COMPUTED_VALUE"""),"500GB HDD")</f>
        <v>500GB HDD</v>
      </c>
      <c r="J3" s="2" t="str">
        <f ca="1">IFERROR(__xludf.DUMMYFUNCTION("""COMPUTED_VALUE"""),"AMD Radeon 530")</f>
        <v>AMD Radeon 530</v>
      </c>
      <c r="K3" s="2" t="str">
        <f ca="1">IFERROR(__xludf.DUMMYFUNCTION("""COMPUTED_VALUE"""),"Windows 10")</f>
        <v>Windows 10</v>
      </c>
      <c r="L3" s="2" t="str">
        <f ca="1">IFERROR(__xludf.DUMMYFUNCTION("""COMPUTED_VALUE"""),"2.71kg")</f>
        <v>2.71kg</v>
      </c>
      <c r="M3" s="2">
        <f ca="1">IFERROR(__xludf.DUMMYFUNCTION("""COMPUTED_VALUE"""),439)</f>
        <v>439</v>
      </c>
    </row>
    <row r="4" spans="1:13">
      <c r="A4" s="2">
        <f ca="1">IFERROR(__xludf.DUMMYFUNCTION("""COMPUTED_VALUE"""),50)</f>
        <v>50</v>
      </c>
      <c r="B4" s="2" t="str">
        <f ca="1">IFERROR(__xludf.DUMMYFUNCTION("""COMPUTED_VALUE"""),"Asus")</f>
        <v>Asus</v>
      </c>
      <c r="C4" s="2" t="str">
        <f ca="1">IFERROR(__xludf.DUMMYFUNCTION("""COMPUTED_VALUE"""),"X751NV-TY001T (N4200/4GB/1TB/GeForce")</f>
        <v>X751NV-TY001T (N4200/4GB/1TB/GeForce</v>
      </c>
      <c r="D4" s="2" t="str">
        <f ca="1">IFERROR(__xludf.DUMMYFUNCTION("""COMPUTED_VALUE"""),"Notebook")</f>
        <v>Notebook</v>
      </c>
      <c r="E4" s="2">
        <f ca="1">IFERROR(__xludf.DUMMYFUNCTION("""COMPUTED_VALUE"""),17.3)</f>
        <v>17.3</v>
      </c>
      <c r="F4" s="2" t="str">
        <f ca="1">IFERROR(__xludf.DUMMYFUNCTION("""COMPUTED_VALUE"""),"1366x768")</f>
        <v>1366x768</v>
      </c>
      <c r="G4" s="2" t="str">
        <f ca="1">IFERROR(__xludf.DUMMYFUNCTION("""COMPUTED_VALUE"""),"Intel Pentium Quad Core N4200 1.1GHz")</f>
        <v>Intel Pentium Quad Core N4200 1.1GHz</v>
      </c>
      <c r="H4" s="2" t="str">
        <f ca="1">IFERROR(__xludf.DUMMYFUNCTION("""COMPUTED_VALUE"""),"4GB")</f>
        <v>4GB</v>
      </c>
      <c r="I4" s="2" t="str">
        <f ca="1">IFERROR(__xludf.DUMMYFUNCTION("""COMPUTED_VALUE"""),"1TB HDD")</f>
        <v>1TB HDD</v>
      </c>
      <c r="J4" s="2" t="str">
        <f ca="1">IFERROR(__xludf.DUMMYFUNCTION("""COMPUTED_VALUE"""),"Nvidia GeForce 920MX")</f>
        <v>Nvidia GeForce 920MX</v>
      </c>
      <c r="K4" s="2" t="str">
        <f ca="1">IFERROR(__xludf.DUMMYFUNCTION("""COMPUTED_VALUE"""),"Windows 10")</f>
        <v>Windows 10</v>
      </c>
      <c r="L4" s="2" t="str">
        <f ca="1">IFERROR(__xludf.DUMMYFUNCTION("""COMPUTED_VALUE"""),"2.8kg")</f>
        <v>2.8kg</v>
      </c>
      <c r="M4" s="2">
        <f ca="1">IFERROR(__xludf.DUMMYFUNCTION("""COMPUTED_VALUE"""),466)</f>
        <v>466</v>
      </c>
    </row>
    <row r="5" spans="1:13">
      <c r="A5" s="2">
        <f ca="1">IFERROR(__xludf.DUMMYFUNCTION("""COMPUTED_VALUE"""),775)</f>
        <v>775</v>
      </c>
      <c r="B5" s="2" t="str">
        <f ca="1">IFERROR(__xludf.DUMMYFUNCTION("""COMPUTED_VALUE"""),"Asus")</f>
        <v>Asus</v>
      </c>
      <c r="C5" s="2" t="str">
        <f ca="1">IFERROR(__xludf.DUMMYFUNCTION("""COMPUTED_VALUE"""),"X751NV-TY001 (N4200/4GB/1TB/GeForce")</f>
        <v>X751NV-TY001 (N4200/4GB/1TB/GeForce</v>
      </c>
      <c r="D5" s="2" t="str">
        <f ca="1">IFERROR(__xludf.DUMMYFUNCTION("""COMPUTED_VALUE"""),"Notebook")</f>
        <v>Notebook</v>
      </c>
      <c r="E5" s="2">
        <f ca="1">IFERROR(__xludf.DUMMYFUNCTION("""COMPUTED_VALUE"""),17.3)</f>
        <v>17.3</v>
      </c>
      <c r="F5" s="2" t="str">
        <f ca="1">IFERROR(__xludf.DUMMYFUNCTION("""COMPUTED_VALUE"""),"1366x768")</f>
        <v>1366x768</v>
      </c>
      <c r="G5" s="2" t="str">
        <f ca="1">IFERROR(__xludf.DUMMYFUNCTION("""COMPUTED_VALUE"""),"Intel Pentium Quad Core N4200 1.1GHz")</f>
        <v>Intel Pentium Quad Core N4200 1.1GHz</v>
      </c>
      <c r="H5" s="2" t="str">
        <f ca="1">IFERROR(__xludf.DUMMYFUNCTION("""COMPUTED_VALUE"""),"4GB")</f>
        <v>4GB</v>
      </c>
      <c r="I5" s="2" t="str">
        <f ca="1">IFERROR(__xludf.DUMMYFUNCTION("""COMPUTED_VALUE"""),"1TB HDD")</f>
        <v>1TB HDD</v>
      </c>
      <c r="J5" s="2" t="str">
        <f ca="1">IFERROR(__xludf.DUMMYFUNCTION("""COMPUTED_VALUE"""),"Nvidia GeForce 920MX")</f>
        <v>Nvidia GeForce 920MX</v>
      </c>
      <c r="K5" s="2" t="str">
        <f ca="1">IFERROR(__xludf.DUMMYFUNCTION("""COMPUTED_VALUE"""),"Windows 10")</f>
        <v>Windows 10</v>
      </c>
      <c r="L5" s="2" t="str">
        <f ca="1">IFERROR(__xludf.DUMMYFUNCTION("""COMPUTED_VALUE"""),"2.8kg")</f>
        <v>2.8kg</v>
      </c>
      <c r="M5" s="2">
        <f ca="1">IFERROR(__xludf.DUMMYFUNCTION("""COMPUTED_VALUE"""),470.34)</f>
        <v>470.34</v>
      </c>
    </row>
    <row r="6" spans="1:13">
      <c r="A6" s="2">
        <f ca="1">IFERROR(__xludf.DUMMYFUNCTION("""COMPUTED_VALUE"""),283)</f>
        <v>283</v>
      </c>
      <c r="B6" s="2" t="str">
        <f ca="1">IFERROR(__xludf.DUMMYFUNCTION("""COMPUTED_VALUE"""),"Lenovo")</f>
        <v>Lenovo</v>
      </c>
      <c r="C6" s="2" t="str">
        <f ca="1">IFERROR(__xludf.DUMMYFUNCTION("""COMPUTED_VALUE"""),"IdeaPad 320-17ISK")</f>
        <v>IdeaPad 320-17ISK</v>
      </c>
      <c r="D6" s="2" t="str">
        <f ca="1">IFERROR(__xludf.DUMMYFUNCTION("""COMPUTED_VALUE"""),"Notebook")</f>
        <v>Notebook</v>
      </c>
      <c r="E6" s="2">
        <f ca="1">IFERROR(__xludf.DUMMYFUNCTION("""COMPUTED_VALUE"""),17.3)</f>
        <v>17.3</v>
      </c>
      <c r="F6" s="2" t="str">
        <f ca="1">IFERROR(__xludf.DUMMYFUNCTION("""COMPUTED_VALUE"""),"1600x900")</f>
        <v>1600x900</v>
      </c>
      <c r="G6" s="2" t="str">
        <f ca="1">IFERROR(__xludf.DUMMYFUNCTION("""COMPUTED_VALUE"""),"Intel Core i3 6006U 2GHz")</f>
        <v>Intel Core i3 6006U 2GHz</v>
      </c>
      <c r="H6" s="2" t="str">
        <f ca="1">IFERROR(__xludf.DUMMYFUNCTION("""COMPUTED_VALUE"""),"4GB")</f>
        <v>4GB</v>
      </c>
      <c r="I6" s="2" t="str">
        <f ca="1">IFERROR(__xludf.DUMMYFUNCTION("""COMPUTED_VALUE"""),"1TB HDD")</f>
        <v>1TB HDD</v>
      </c>
      <c r="J6" s="2" t="str">
        <f ca="1">IFERROR(__xludf.DUMMYFUNCTION("""COMPUTED_VALUE"""),"Intel HD Graphics 520")</f>
        <v>Intel HD Graphics 520</v>
      </c>
      <c r="K6" s="2" t="str">
        <f ca="1">IFERROR(__xludf.DUMMYFUNCTION("""COMPUTED_VALUE"""),"Windows 10")</f>
        <v>Windows 10</v>
      </c>
      <c r="L6" s="2" t="str">
        <f ca="1">IFERROR(__xludf.DUMMYFUNCTION("""COMPUTED_VALUE"""),"2.8kg")</f>
        <v>2.8kg</v>
      </c>
      <c r="M6" s="2">
        <f ca="1">IFERROR(__xludf.DUMMYFUNCTION("""COMPUTED_VALUE"""),489)</f>
        <v>489</v>
      </c>
    </row>
    <row r="7" spans="1:13">
      <c r="A7" s="2">
        <f ca="1">IFERROR(__xludf.DUMMYFUNCTION("""COMPUTED_VALUE"""),297)</f>
        <v>297</v>
      </c>
      <c r="B7" s="2" t="str">
        <f ca="1">IFERROR(__xludf.DUMMYFUNCTION("""COMPUTED_VALUE"""),"HP")</f>
        <v>HP</v>
      </c>
      <c r="C7" s="2" t="str">
        <f ca="1">IFERROR(__xludf.DUMMYFUNCTION("""COMPUTED_VALUE"""),"17-BS037cl (i3-6006U/8GB/1TB/W10)")</f>
        <v>17-BS037cl (i3-6006U/8GB/1TB/W10)</v>
      </c>
      <c r="D7" s="2" t="str">
        <f ca="1">IFERROR(__xludf.DUMMYFUNCTION("""COMPUTED_VALUE"""),"Notebook")</f>
        <v>Notebook</v>
      </c>
      <c r="E7" s="2">
        <f ca="1">IFERROR(__xludf.DUMMYFUNCTION("""COMPUTED_VALUE"""),17.3)</f>
        <v>17.3</v>
      </c>
      <c r="F7" s="2" t="str">
        <f ca="1">IFERROR(__xludf.DUMMYFUNCTION("""COMPUTED_VALUE"""),"1600x900")</f>
        <v>1600x900</v>
      </c>
      <c r="G7" s="2" t="str">
        <f ca="1">IFERROR(__xludf.DUMMYFUNCTION("""COMPUTED_VALUE"""),"Intel Core i3 6006U 2GHz")</f>
        <v>Intel Core i3 6006U 2GHz</v>
      </c>
      <c r="H7" s="2" t="str">
        <f ca="1">IFERROR(__xludf.DUMMYFUNCTION("""COMPUTED_VALUE"""),"8GB")</f>
        <v>8GB</v>
      </c>
      <c r="I7" s="2" t="str">
        <f ca="1">IFERROR(__xludf.DUMMYFUNCTION("""COMPUTED_VALUE"""),"1TB HDD")</f>
        <v>1TB HDD</v>
      </c>
      <c r="J7" s="2" t="str">
        <f ca="1">IFERROR(__xludf.DUMMYFUNCTION("""COMPUTED_VALUE"""),"Intel HD Graphics 520")</f>
        <v>Intel HD Graphics 520</v>
      </c>
      <c r="K7" s="2" t="str">
        <f ca="1">IFERROR(__xludf.DUMMYFUNCTION("""COMPUTED_VALUE"""),"Windows 10")</f>
        <v>Windows 10</v>
      </c>
      <c r="L7" s="2" t="str">
        <f ca="1">IFERROR(__xludf.DUMMYFUNCTION("""COMPUTED_VALUE"""),"2.54kg")</f>
        <v>2.54kg</v>
      </c>
      <c r="M7" s="2">
        <f ca="1">IFERROR(__xludf.DUMMYFUNCTION("""COMPUTED_VALUE"""),489)</f>
        <v>489</v>
      </c>
    </row>
    <row r="8" spans="1:13">
      <c r="A8" s="2">
        <f ca="1">IFERROR(__xludf.DUMMYFUNCTION("""COMPUTED_VALUE"""),379)</f>
        <v>379</v>
      </c>
      <c r="B8" s="2" t="str">
        <f ca="1">IFERROR(__xludf.DUMMYFUNCTION("""COMPUTED_VALUE"""),"Lenovo")</f>
        <v>Lenovo</v>
      </c>
      <c r="C8" s="2" t="str">
        <f ca="1">IFERROR(__xludf.DUMMYFUNCTION("""COMPUTED_VALUE"""),"IdeaPad 110-17ACL")</f>
        <v>IdeaPad 110-17ACL</v>
      </c>
      <c r="D8" s="2" t="str">
        <f ca="1">IFERROR(__xludf.DUMMYFUNCTION("""COMPUTED_VALUE"""),"Notebook")</f>
        <v>Notebook</v>
      </c>
      <c r="E8" s="2">
        <f ca="1">IFERROR(__xludf.DUMMYFUNCTION("""COMPUTED_VALUE"""),17.3)</f>
        <v>17.3</v>
      </c>
      <c r="F8" s="2" t="str">
        <f ca="1">IFERROR(__xludf.DUMMYFUNCTION("""COMPUTED_VALUE"""),"1600x900")</f>
        <v>1600x900</v>
      </c>
      <c r="G8" s="2" t="str">
        <f ca="1">IFERROR(__xludf.DUMMYFUNCTION("""COMPUTED_VALUE"""),"AMD A8-Series 7410 2.2GHz")</f>
        <v>AMD A8-Series 7410 2.2GHz</v>
      </c>
      <c r="H8" s="2" t="str">
        <f ca="1">IFERROR(__xludf.DUMMYFUNCTION("""COMPUTED_VALUE"""),"4GB")</f>
        <v>4GB</v>
      </c>
      <c r="I8" s="2" t="str">
        <f ca="1">IFERROR(__xludf.DUMMYFUNCTION("""COMPUTED_VALUE"""),"128GB SSD")</f>
        <v>128GB SSD</v>
      </c>
      <c r="J8" s="2" t="str">
        <f ca="1">IFERROR(__xludf.DUMMYFUNCTION("""COMPUTED_VALUE"""),"AMD Radeon R5")</f>
        <v>AMD Radeon R5</v>
      </c>
      <c r="K8" s="2" t="str">
        <f ca="1">IFERROR(__xludf.DUMMYFUNCTION("""COMPUTED_VALUE"""),"Windows 10")</f>
        <v>Windows 10</v>
      </c>
      <c r="L8" s="2" t="str">
        <f ca="1">IFERROR(__xludf.DUMMYFUNCTION("""COMPUTED_VALUE"""),"2.6kg")</f>
        <v>2.6kg</v>
      </c>
      <c r="M8" s="2">
        <f ca="1">IFERROR(__xludf.DUMMYFUNCTION("""COMPUTED_VALUE"""),489)</f>
        <v>489</v>
      </c>
    </row>
    <row r="9" spans="1:13">
      <c r="A9" s="2">
        <f ca="1">IFERROR(__xludf.DUMMYFUNCTION("""COMPUTED_VALUE"""),447)</f>
        <v>447</v>
      </c>
      <c r="B9" s="2" t="str">
        <f ca="1">IFERROR(__xludf.DUMMYFUNCTION("""COMPUTED_VALUE"""),"Lenovo")</f>
        <v>Lenovo</v>
      </c>
      <c r="C9" s="2" t="str">
        <f ca="1">IFERROR(__xludf.DUMMYFUNCTION("""COMPUTED_VALUE"""),"IdeaPad 320-15AST")</f>
        <v>IdeaPad 320-15AST</v>
      </c>
      <c r="D9" s="2" t="str">
        <f ca="1">IFERROR(__xludf.DUMMYFUNCTION("""COMPUTED_VALUE"""),"Notebook")</f>
        <v>Notebook</v>
      </c>
      <c r="E9" s="2">
        <f ca="1">IFERROR(__xludf.DUMMYFUNCTION("""COMPUTED_VALUE"""),17.3)</f>
        <v>17.3</v>
      </c>
      <c r="F9" s="2" t="str">
        <f ca="1">IFERROR(__xludf.DUMMYFUNCTION("""COMPUTED_VALUE"""),"1600x900")</f>
        <v>1600x900</v>
      </c>
      <c r="G9" s="2" t="str">
        <f ca="1">IFERROR(__xludf.DUMMYFUNCTION("""COMPUTED_VALUE"""),"AMD A6-Series 9220 2.5GHz")</f>
        <v>AMD A6-Series 9220 2.5GHz</v>
      </c>
      <c r="H9" s="2" t="str">
        <f ca="1">IFERROR(__xludf.DUMMYFUNCTION("""COMPUTED_VALUE"""),"8GB")</f>
        <v>8GB</v>
      </c>
      <c r="I9" s="2" t="str">
        <f ca="1">IFERROR(__xludf.DUMMYFUNCTION("""COMPUTED_VALUE"""),"1TB HDD")</f>
        <v>1TB HDD</v>
      </c>
      <c r="J9" s="2" t="str">
        <f ca="1">IFERROR(__xludf.DUMMYFUNCTION("""COMPUTED_VALUE"""),"AMD Radeon R4")</f>
        <v>AMD Radeon R4</v>
      </c>
      <c r="K9" s="2" t="str">
        <f ca="1">IFERROR(__xludf.DUMMYFUNCTION("""COMPUTED_VALUE"""),"Windows 10")</f>
        <v>Windows 10</v>
      </c>
      <c r="L9" s="2" t="str">
        <f ca="1">IFERROR(__xludf.DUMMYFUNCTION("""COMPUTED_VALUE"""),"2.8kg")</f>
        <v>2.8kg</v>
      </c>
      <c r="M9" s="2">
        <f ca="1">IFERROR(__xludf.DUMMYFUNCTION("""COMPUTED_VALUE"""),519)</f>
        <v>519</v>
      </c>
    </row>
    <row r="10" spans="1:13">
      <c r="A10" s="2">
        <f ca="1">IFERROR(__xludf.DUMMYFUNCTION("""COMPUTED_VALUE"""),955)</f>
        <v>955</v>
      </c>
      <c r="B10" s="2" t="str">
        <f ca="1">IFERROR(__xludf.DUMMYFUNCTION("""COMPUTED_VALUE"""),"Asus")</f>
        <v>Asus</v>
      </c>
      <c r="C10" s="2" t="str">
        <f ca="1">IFERROR(__xludf.DUMMYFUNCTION("""COMPUTED_VALUE"""),"X751SV-TY001T (N3710/4GB/1TB/GeForce")</f>
        <v>X751SV-TY001T (N3710/4GB/1TB/GeForce</v>
      </c>
      <c r="D10" s="2" t="str">
        <f ca="1">IFERROR(__xludf.DUMMYFUNCTION("""COMPUTED_VALUE"""),"Notebook")</f>
        <v>Notebook</v>
      </c>
      <c r="E10" s="2">
        <f ca="1">IFERROR(__xludf.DUMMYFUNCTION("""COMPUTED_VALUE"""),17.3)</f>
        <v>17.3</v>
      </c>
      <c r="F10" s="2" t="str">
        <f ca="1">IFERROR(__xludf.DUMMYFUNCTION("""COMPUTED_VALUE"""),"1600x900")</f>
        <v>1600x900</v>
      </c>
      <c r="G10" s="2" t="str">
        <f ca="1">IFERROR(__xludf.DUMMYFUNCTION("""COMPUTED_VALUE"""),"Intel Pentium Quad Core N3710 1.6GHz")</f>
        <v>Intel Pentium Quad Core N3710 1.6GHz</v>
      </c>
      <c r="H10" s="2" t="str">
        <f ca="1">IFERROR(__xludf.DUMMYFUNCTION("""COMPUTED_VALUE"""),"4GB")</f>
        <v>4GB</v>
      </c>
      <c r="I10" s="2" t="str">
        <f ca="1">IFERROR(__xludf.DUMMYFUNCTION("""COMPUTED_VALUE"""),"1TB HDD")</f>
        <v>1TB HDD</v>
      </c>
      <c r="J10" s="2" t="str">
        <f ca="1">IFERROR(__xludf.DUMMYFUNCTION("""COMPUTED_VALUE"""),"Nvidia GeForce 920MX")</f>
        <v>Nvidia GeForce 920MX</v>
      </c>
      <c r="K10" s="2" t="str">
        <f ca="1">IFERROR(__xludf.DUMMYFUNCTION("""COMPUTED_VALUE"""),"Windows 10")</f>
        <v>Windows 10</v>
      </c>
      <c r="L10" s="2" t="str">
        <f ca="1">IFERROR(__xludf.DUMMYFUNCTION("""COMPUTED_VALUE"""),"2.8kg")</f>
        <v>2.8kg</v>
      </c>
      <c r="M10" s="2">
        <f ca="1">IFERROR(__xludf.DUMMYFUNCTION("""COMPUTED_VALUE"""),530)</f>
        <v>530</v>
      </c>
    </row>
    <row r="11" spans="1:13">
      <c r="A11" s="2">
        <f ca="1">IFERROR(__xludf.DUMMYFUNCTION("""COMPUTED_VALUE"""),560)</f>
        <v>560</v>
      </c>
      <c r="B11" s="2" t="str">
        <f ca="1">IFERROR(__xludf.DUMMYFUNCTION("""COMPUTED_VALUE"""),"HP")</f>
        <v>HP</v>
      </c>
      <c r="C11" s="2" t="str">
        <f ca="1">IFERROR(__xludf.DUMMYFUNCTION("""COMPUTED_VALUE"""),"17-X047na (i3-6006U/8GB/1TB/W10)")</f>
        <v>17-X047na (i3-6006U/8GB/1TB/W10)</v>
      </c>
      <c r="D11" s="2" t="str">
        <f ca="1">IFERROR(__xludf.DUMMYFUNCTION("""COMPUTED_VALUE"""),"Notebook")</f>
        <v>Notebook</v>
      </c>
      <c r="E11" s="2">
        <f ca="1">IFERROR(__xludf.DUMMYFUNCTION("""COMPUTED_VALUE"""),17.3)</f>
        <v>17.3</v>
      </c>
      <c r="F11" s="2" t="str">
        <f ca="1">IFERROR(__xludf.DUMMYFUNCTION("""COMPUTED_VALUE"""),"1600x900")</f>
        <v>1600x900</v>
      </c>
      <c r="G11" s="2" t="str">
        <f ca="1">IFERROR(__xludf.DUMMYFUNCTION("""COMPUTED_VALUE"""),"Intel Core i3 6006U 2GHz")</f>
        <v>Intel Core i3 6006U 2GHz</v>
      </c>
      <c r="H11" s="2" t="str">
        <f ca="1">IFERROR(__xludf.DUMMYFUNCTION("""COMPUTED_VALUE"""),"8GB")</f>
        <v>8GB</v>
      </c>
      <c r="I11" s="2" t="str">
        <f ca="1">IFERROR(__xludf.DUMMYFUNCTION("""COMPUTED_VALUE"""),"1TB HDD")</f>
        <v>1TB HDD</v>
      </c>
      <c r="J11" s="2" t="str">
        <f ca="1">IFERROR(__xludf.DUMMYFUNCTION("""COMPUTED_VALUE"""),"Intel HD Graphics 520")</f>
        <v>Intel HD Graphics 520</v>
      </c>
      <c r="K11" s="2" t="str">
        <f ca="1">IFERROR(__xludf.DUMMYFUNCTION("""COMPUTED_VALUE"""),"Windows 10")</f>
        <v>Windows 10</v>
      </c>
      <c r="L11" s="2" t="str">
        <f ca="1">IFERROR(__xludf.DUMMYFUNCTION("""COMPUTED_VALUE"""),"2.65kg")</f>
        <v>2.65kg</v>
      </c>
      <c r="M11" s="2">
        <f ca="1">IFERROR(__xludf.DUMMYFUNCTION("""COMPUTED_VALUE"""),544.15)</f>
        <v>544.15</v>
      </c>
    </row>
    <row r="12" spans="1:13">
      <c r="A12" s="2">
        <f ca="1">IFERROR(__xludf.DUMMYFUNCTION("""COMPUTED_VALUE"""),121)</f>
        <v>121</v>
      </c>
      <c r="B12" s="2" t="str">
        <f ca="1">IFERROR(__xludf.DUMMYFUNCTION("""COMPUTED_VALUE"""),"Asus")</f>
        <v>Asus</v>
      </c>
      <c r="C12" s="2" t="str">
        <f ca="1">IFERROR(__xludf.DUMMYFUNCTION("""COMPUTED_VALUE"""),"X705UV-BX074T (i3-6006U/4GB/1TB/GeForce")</f>
        <v>X705UV-BX074T (i3-6006U/4GB/1TB/GeForce</v>
      </c>
      <c r="D12" s="2" t="str">
        <f ca="1">IFERROR(__xludf.DUMMYFUNCTION("""COMPUTED_VALUE"""),"Notebook")</f>
        <v>Notebook</v>
      </c>
      <c r="E12" s="2">
        <f ca="1">IFERROR(__xludf.DUMMYFUNCTION("""COMPUTED_VALUE"""),17.3)</f>
        <v>17.3</v>
      </c>
      <c r="F12" s="2" t="str">
        <f ca="1">IFERROR(__xludf.DUMMYFUNCTION("""COMPUTED_VALUE"""),"Full HD 1920x1080")</f>
        <v>Full HD 1920x1080</v>
      </c>
      <c r="G12" s="2" t="str">
        <f ca="1">IFERROR(__xludf.DUMMYFUNCTION("""COMPUTED_VALUE"""),"Intel Core i3 6006U 2GHz")</f>
        <v>Intel Core i3 6006U 2GHz</v>
      </c>
      <c r="H12" s="2" t="str">
        <f ca="1">IFERROR(__xludf.DUMMYFUNCTION("""COMPUTED_VALUE"""),"4GB")</f>
        <v>4GB</v>
      </c>
      <c r="I12" s="2" t="str">
        <f ca="1">IFERROR(__xludf.DUMMYFUNCTION("""COMPUTED_VALUE"""),"1TB HDD")</f>
        <v>1TB HDD</v>
      </c>
      <c r="J12" s="2" t="str">
        <f ca="1">IFERROR(__xludf.DUMMYFUNCTION("""COMPUTED_VALUE"""),"Nvidia GeForce 920MX")</f>
        <v>Nvidia GeForce 920MX</v>
      </c>
      <c r="K12" s="2" t="str">
        <f ca="1">IFERROR(__xludf.DUMMYFUNCTION("""COMPUTED_VALUE"""),"Windows 10")</f>
        <v>Windows 10</v>
      </c>
      <c r="L12" s="2" t="str">
        <f ca="1">IFERROR(__xludf.DUMMYFUNCTION("""COMPUTED_VALUE"""),"2kg")</f>
        <v>2kg</v>
      </c>
      <c r="M12" s="2">
        <f ca="1">IFERROR(__xludf.DUMMYFUNCTION("""COMPUTED_VALUE"""),564)</f>
        <v>564</v>
      </c>
    </row>
    <row r="13" spans="1:13">
      <c r="A13" s="2">
        <f ca="1">IFERROR(__xludf.DUMMYFUNCTION("""COMPUTED_VALUE"""),696)</f>
        <v>696</v>
      </c>
      <c r="B13" s="2" t="str">
        <f ca="1">IFERROR(__xludf.DUMMYFUNCTION("""COMPUTED_VALUE"""),"HP")</f>
        <v>HP</v>
      </c>
      <c r="C13" s="2" t="str">
        <f ca="1">IFERROR(__xludf.DUMMYFUNCTION("""COMPUTED_VALUE"""),"17-Y002nv (A10-9600P/6GB/2TB/Radeon")</f>
        <v>17-Y002nv (A10-9600P/6GB/2TB/Radeon</v>
      </c>
      <c r="D13" s="2" t="str">
        <f ca="1">IFERROR(__xludf.DUMMYFUNCTION("""COMPUTED_VALUE"""),"Notebook")</f>
        <v>Notebook</v>
      </c>
      <c r="E13" s="2">
        <f ca="1">IFERROR(__xludf.DUMMYFUNCTION("""COMPUTED_VALUE"""),17.3)</f>
        <v>17.3</v>
      </c>
      <c r="F13" s="2" t="str">
        <f ca="1">IFERROR(__xludf.DUMMYFUNCTION("""COMPUTED_VALUE"""),"IPS Panel Full HD 1920x1080")</f>
        <v>IPS Panel Full HD 1920x1080</v>
      </c>
      <c r="G13" s="2" t="str">
        <f ca="1">IFERROR(__xludf.DUMMYFUNCTION("""COMPUTED_VALUE"""),"AMD A10-Series 9600P 2.4GHz")</f>
        <v>AMD A10-Series 9600P 2.4GHz</v>
      </c>
      <c r="H13" s="2" t="str">
        <f ca="1">IFERROR(__xludf.DUMMYFUNCTION("""COMPUTED_VALUE"""),"6GB")</f>
        <v>6GB</v>
      </c>
      <c r="I13" s="2" t="str">
        <f ca="1">IFERROR(__xludf.DUMMYFUNCTION("""COMPUTED_VALUE"""),"2TB HDD")</f>
        <v>2TB HDD</v>
      </c>
      <c r="J13" s="2" t="str">
        <f ca="1">IFERROR(__xludf.DUMMYFUNCTION("""COMPUTED_VALUE"""),"AMD Radeon R7 M440")</f>
        <v>AMD Radeon R7 M440</v>
      </c>
      <c r="K13" s="2" t="str">
        <f ca="1">IFERROR(__xludf.DUMMYFUNCTION("""COMPUTED_VALUE"""),"Windows 10")</f>
        <v>Windows 10</v>
      </c>
      <c r="L13" s="2" t="str">
        <f ca="1">IFERROR(__xludf.DUMMYFUNCTION("""COMPUTED_VALUE"""),"2.65kg")</f>
        <v>2.65kg</v>
      </c>
      <c r="M13" s="2">
        <f ca="1">IFERROR(__xludf.DUMMYFUNCTION("""COMPUTED_VALUE"""),569)</f>
        <v>569</v>
      </c>
    </row>
    <row r="14" spans="1:13">
      <c r="A14" s="2">
        <f ca="1">IFERROR(__xludf.DUMMYFUNCTION("""COMPUTED_VALUE"""),326)</f>
        <v>326</v>
      </c>
      <c r="B14" s="2" t="str">
        <f ca="1">IFERROR(__xludf.DUMMYFUNCTION("""COMPUTED_VALUE"""),"Lenovo")</f>
        <v>Lenovo</v>
      </c>
      <c r="C14" s="2" t="str">
        <f ca="1">IFERROR(__xludf.DUMMYFUNCTION("""COMPUTED_VALUE"""),"IdeaPad 320-17IKB")</f>
        <v>IdeaPad 320-17IKB</v>
      </c>
      <c r="D14" s="2" t="str">
        <f ca="1">IFERROR(__xludf.DUMMYFUNCTION("""COMPUTED_VALUE"""),"Notebook")</f>
        <v>Notebook</v>
      </c>
      <c r="E14" s="2">
        <f ca="1">IFERROR(__xludf.DUMMYFUNCTION("""COMPUTED_VALUE"""),17.3)</f>
        <v>17.3</v>
      </c>
      <c r="F14" s="2" t="str">
        <f ca="1">IFERROR(__xludf.DUMMYFUNCTION("""COMPUTED_VALUE"""),"1600x900")</f>
        <v>1600x900</v>
      </c>
      <c r="G14" s="2" t="str">
        <f ca="1">IFERROR(__xludf.DUMMYFUNCTION("""COMPUTED_VALUE"""),"Intel Core i5 7200U 2.5GHz")</f>
        <v>Intel Core i5 7200U 2.5GHz</v>
      </c>
      <c r="H14" s="2" t="str">
        <f ca="1">IFERROR(__xludf.DUMMYFUNCTION("""COMPUTED_VALUE"""),"4GB")</f>
        <v>4GB</v>
      </c>
      <c r="I14" s="2" t="str">
        <f ca="1">IFERROR(__xludf.DUMMYFUNCTION("""COMPUTED_VALUE"""),"1TB HDD")</f>
        <v>1TB HDD</v>
      </c>
      <c r="J14" s="2" t="str">
        <f ca="1">IFERROR(__xludf.DUMMYFUNCTION("""COMPUTED_VALUE"""),"Nvidia GeForce 920MX")</f>
        <v>Nvidia GeForce 920MX</v>
      </c>
      <c r="K14" s="2" t="str">
        <f ca="1">IFERROR(__xludf.DUMMYFUNCTION("""COMPUTED_VALUE"""),"Windows 10")</f>
        <v>Windows 10</v>
      </c>
      <c r="L14" s="2" t="str">
        <f ca="1">IFERROR(__xludf.DUMMYFUNCTION("""COMPUTED_VALUE"""),"2.79kg")</f>
        <v>2.79kg</v>
      </c>
      <c r="M14" s="2">
        <f ca="1">IFERROR(__xludf.DUMMYFUNCTION("""COMPUTED_VALUE"""),589)</f>
        <v>589</v>
      </c>
    </row>
    <row r="15" spans="1:13">
      <c r="A15" s="2">
        <f ca="1">IFERROR(__xludf.DUMMYFUNCTION("""COMPUTED_VALUE"""),1234)</f>
        <v>1234</v>
      </c>
      <c r="B15" s="2" t="str">
        <f ca="1">IFERROR(__xludf.DUMMYFUNCTION("""COMPUTED_VALUE"""),"Acer")</f>
        <v>Acer</v>
      </c>
      <c r="C15" s="2" t="str">
        <f ca="1">IFERROR(__xludf.DUMMYFUNCTION("""COMPUTED_VALUE"""),"E5 774G")</f>
        <v>E5 774G</v>
      </c>
      <c r="D15" s="2" t="str">
        <f ca="1">IFERROR(__xludf.DUMMYFUNCTION("""COMPUTED_VALUE"""),"Notebook")</f>
        <v>Notebook</v>
      </c>
      <c r="E15" s="2">
        <f ca="1">IFERROR(__xludf.DUMMYFUNCTION("""COMPUTED_VALUE"""),17.3)</f>
        <v>17.3</v>
      </c>
      <c r="F15" s="2" t="str">
        <f ca="1">IFERROR(__xludf.DUMMYFUNCTION("""COMPUTED_VALUE"""),"1600x900")</f>
        <v>1600x900</v>
      </c>
      <c r="G15" s="2" t="str">
        <f ca="1">IFERROR(__xludf.DUMMYFUNCTION("""COMPUTED_VALUE"""),"Intel Core i3 6006U 2GHz")</f>
        <v>Intel Core i3 6006U 2GHz</v>
      </c>
      <c r="H15" s="2" t="str">
        <f ca="1">IFERROR(__xludf.DUMMYFUNCTION("""COMPUTED_VALUE"""),"4GB")</f>
        <v>4GB</v>
      </c>
      <c r="I15" s="2" t="str">
        <f ca="1">IFERROR(__xludf.DUMMYFUNCTION("""COMPUTED_VALUE"""),"1TB HDD")</f>
        <v>1TB HDD</v>
      </c>
      <c r="J15" s="2" t="str">
        <f ca="1">IFERROR(__xludf.DUMMYFUNCTION("""COMPUTED_VALUE"""),"Nvidia GeForce 940MX")</f>
        <v>Nvidia GeForce 940MX</v>
      </c>
      <c r="K15" s="2" t="str">
        <f ca="1">IFERROR(__xludf.DUMMYFUNCTION("""COMPUTED_VALUE"""),"Windows 10")</f>
        <v>Windows 10</v>
      </c>
      <c r="L15" s="2" t="str">
        <f ca="1">IFERROR(__xludf.DUMMYFUNCTION("""COMPUTED_VALUE"""),"3.3kg")</f>
        <v>3.3kg</v>
      </c>
      <c r="M15" s="2">
        <f ca="1">IFERROR(__xludf.DUMMYFUNCTION("""COMPUTED_VALUE"""),598)</f>
        <v>598</v>
      </c>
    </row>
    <row r="16" spans="1:13">
      <c r="A16" s="2">
        <f ca="1">IFERROR(__xludf.DUMMYFUNCTION("""COMPUTED_VALUE"""),1226)</f>
        <v>1226</v>
      </c>
      <c r="B16" s="2" t="str">
        <f ca="1">IFERROR(__xludf.DUMMYFUNCTION("""COMPUTED_VALUE"""),"Acer")</f>
        <v>Acer</v>
      </c>
      <c r="C16" s="2" t="str">
        <f ca="1">IFERROR(__xludf.DUMMYFUNCTION("""COMPUTED_VALUE"""),"Aspire E5-774G")</f>
        <v>Aspire E5-774G</v>
      </c>
      <c r="D16" s="2" t="str">
        <f ca="1">IFERROR(__xludf.DUMMYFUNCTION("""COMPUTED_VALUE"""),"Notebook")</f>
        <v>Notebook</v>
      </c>
      <c r="E16" s="2">
        <f ca="1">IFERROR(__xludf.DUMMYFUNCTION("""COMPUTED_VALUE"""),17.3)</f>
        <v>17.3</v>
      </c>
      <c r="F16" s="2" t="str">
        <f ca="1">IFERROR(__xludf.DUMMYFUNCTION("""COMPUTED_VALUE"""),"1600x900")</f>
        <v>1600x900</v>
      </c>
      <c r="G16" s="2" t="str">
        <f ca="1">IFERROR(__xludf.DUMMYFUNCTION("""COMPUTED_VALUE"""),"Intel Core i3 6006U 2.0GHz")</f>
        <v>Intel Core i3 6006U 2.0GHz</v>
      </c>
      <c r="H16" s="2" t="str">
        <f ca="1">IFERROR(__xludf.DUMMYFUNCTION("""COMPUTED_VALUE"""),"8GB")</f>
        <v>8GB</v>
      </c>
      <c r="I16" s="2" t="str">
        <f ca="1">IFERROR(__xludf.DUMMYFUNCTION("""COMPUTED_VALUE"""),"1TB HDD")</f>
        <v>1TB HDD</v>
      </c>
      <c r="J16" s="2" t="str">
        <f ca="1">IFERROR(__xludf.DUMMYFUNCTION("""COMPUTED_VALUE"""),"Nvidia GeForce 940MX")</f>
        <v>Nvidia GeForce 940MX</v>
      </c>
      <c r="K16" s="2" t="str">
        <f ca="1">IFERROR(__xludf.DUMMYFUNCTION("""COMPUTED_VALUE"""),"Windows 10")</f>
        <v>Windows 10</v>
      </c>
      <c r="L16" s="2" t="str">
        <f ca="1">IFERROR(__xludf.DUMMYFUNCTION("""COMPUTED_VALUE"""),"3.3kg")</f>
        <v>3.3kg</v>
      </c>
      <c r="M16" s="2">
        <f ca="1">IFERROR(__xludf.DUMMYFUNCTION("""COMPUTED_VALUE"""),629)</f>
        <v>629</v>
      </c>
    </row>
    <row r="17" spans="1:13">
      <c r="A17" s="2">
        <f ca="1">IFERROR(__xludf.DUMMYFUNCTION("""COMPUTED_VALUE"""),466)</f>
        <v>466</v>
      </c>
      <c r="B17" s="2" t="str">
        <f ca="1">IFERROR(__xludf.DUMMYFUNCTION("""COMPUTED_VALUE"""),"HP")</f>
        <v>HP</v>
      </c>
      <c r="C17" s="2" t="str">
        <f ca="1">IFERROR(__xludf.DUMMYFUNCTION("""COMPUTED_VALUE"""),"17-BS092ND (i3-6006U/8GB/256GB/W10)")</f>
        <v>17-BS092ND (i3-6006U/8GB/256GB/W10)</v>
      </c>
      <c r="D17" s="2" t="str">
        <f ca="1">IFERROR(__xludf.DUMMYFUNCTION("""COMPUTED_VALUE"""),"Notebook")</f>
        <v>Notebook</v>
      </c>
      <c r="E17" s="2">
        <f ca="1">IFERROR(__xludf.DUMMYFUNCTION("""COMPUTED_VALUE"""),17.3)</f>
        <v>17.3</v>
      </c>
      <c r="F17" s="2" t="str">
        <f ca="1">IFERROR(__xludf.DUMMYFUNCTION("""COMPUTED_VALUE"""),"1600x900")</f>
        <v>1600x900</v>
      </c>
      <c r="G17" s="2" t="str">
        <f ca="1">IFERROR(__xludf.DUMMYFUNCTION("""COMPUTED_VALUE"""),"Intel Core i3 6006U 2GHz")</f>
        <v>Intel Core i3 6006U 2GHz</v>
      </c>
      <c r="H17" s="2" t="str">
        <f ca="1">IFERROR(__xludf.DUMMYFUNCTION("""COMPUTED_VALUE"""),"8GB")</f>
        <v>8GB</v>
      </c>
      <c r="I17" s="2" t="str">
        <f ca="1">IFERROR(__xludf.DUMMYFUNCTION("""COMPUTED_VALUE"""),"256GB SSD")</f>
        <v>256GB SSD</v>
      </c>
      <c r="J17" s="2" t="str">
        <f ca="1">IFERROR(__xludf.DUMMYFUNCTION("""COMPUTED_VALUE"""),"Intel HD Graphics 520")</f>
        <v>Intel HD Graphics 520</v>
      </c>
      <c r="K17" s="2" t="str">
        <f ca="1">IFERROR(__xludf.DUMMYFUNCTION("""COMPUTED_VALUE"""),"Windows 10")</f>
        <v>Windows 10</v>
      </c>
      <c r="L17" s="2" t="str">
        <f ca="1">IFERROR(__xludf.DUMMYFUNCTION("""COMPUTED_VALUE"""),"2.5kg")</f>
        <v>2.5kg</v>
      </c>
      <c r="M17" s="2">
        <f ca="1">IFERROR(__xludf.DUMMYFUNCTION("""COMPUTED_VALUE"""),639.9)</f>
        <v>639.9</v>
      </c>
    </row>
    <row r="18" spans="1:13">
      <c r="A18" s="2">
        <f ca="1">IFERROR(__xludf.DUMMYFUNCTION("""COMPUTED_VALUE"""),307)</f>
        <v>307</v>
      </c>
      <c r="B18" s="2" t="str">
        <f ca="1">IFERROR(__xludf.DUMMYFUNCTION("""COMPUTED_VALUE"""),"Lenovo")</f>
        <v>Lenovo</v>
      </c>
      <c r="C18" s="2" t="str">
        <f ca="1">IFERROR(__xludf.DUMMYFUNCTION("""COMPUTED_VALUE"""),"IdeaPad 320-17IKB")</f>
        <v>IdeaPad 320-17IKB</v>
      </c>
      <c r="D18" s="2" t="str">
        <f ca="1">IFERROR(__xludf.DUMMYFUNCTION("""COMPUTED_VALUE"""),"Notebook")</f>
        <v>Notebook</v>
      </c>
      <c r="E18" s="2">
        <f ca="1">IFERROR(__xludf.DUMMYFUNCTION("""COMPUTED_VALUE"""),17.3)</f>
        <v>17.3</v>
      </c>
      <c r="F18" s="2" t="str">
        <f ca="1">IFERROR(__xludf.DUMMYFUNCTION("""COMPUTED_VALUE"""),"1600x900")</f>
        <v>1600x900</v>
      </c>
      <c r="G18" s="2" t="str">
        <f ca="1">IFERROR(__xludf.DUMMYFUNCTION("""COMPUTED_VALUE"""),"Intel Core i5 7200U 2.5GHz")</f>
        <v>Intel Core i5 7200U 2.5GHz</v>
      </c>
      <c r="H18" s="2" t="str">
        <f ca="1">IFERROR(__xludf.DUMMYFUNCTION("""COMPUTED_VALUE"""),"6GB")</f>
        <v>6GB</v>
      </c>
      <c r="I18" s="2" t="str">
        <f ca="1">IFERROR(__xludf.DUMMYFUNCTION("""COMPUTED_VALUE"""),"1TB HDD")</f>
        <v>1TB HDD</v>
      </c>
      <c r="J18" s="2" t="str">
        <f ca="1">IFERROR(__xludf.DUMMYFUNCTION("""COMPUTED_VALUE"""),"Nvidia GeForce GTX 940M")</f>
        <v>Nvidia GeForce GTX 940M</v>
      </c>
      <c r="K18" s="2" t="str">
        <f ca="1">IFERROR(__xludf.DUMMYFUNCTION("""COMPUTED_VALUE"""),"Windows 10")</f>
        <v>Windows 10</v>
      </c>
      <c r="L18" s="2" t="str">
        <f ca="1">IFERROR(__xludf.DUMMYFUNCTION("""COMPUTED_VALUE"""),"2.8kg")</f>
        <v>2.8kg</v>
      </c>
      <c r="M18" s="2">
        <f ca="1">IFERROR(__xludf.DUMMYFUNCTION("""COMPUTED_VALUE"""),649)</f>
        <v>649</v>
      </c>
    </row>
    <row r="19" spans="1:13">
      <c r="A19" s="2">
        <f ca="1">IFERROR(__xludf.DUMMYFUNCTION("""COMPUTED_VALUE"""),143)</f>
        <v>143</v>
      </c>
      <c r="B19" s="2" t="str">
        <f ca="1">IFERROR(__xludf.DUMMYFUNCTION("""COMPUTED_VALUE"""),"Acer")</f>
        <v>Acer</v>
      </c>
      <c r="C19" s="2" t="str">
        <f ca="1">IFERROR(__xludf.DUMMYFUNCTION("""COMPUTED_VALUE"""),"Aspire 5")</f>
        <v>Aspire 5</v>
      </c>
      <c r="D19" s="2" t="str">
        <f ca="1">IFERROR(__xludf.DUMMYFUNCTION("""COMPUTED_VALUE"""),"Notebook")</f>
        <v>Notebook</v>
      </c>
      <c r="E19" s="2">
        <f ca="1">IFERROR(__xludf.DUMMYFUNCTION("""COMPUTED_VALUE"""),17.3)</f>
        <v>17.3</v>
      </c>
      <c r="F19" s="2" t="str">
        <f ca="1">IFERROR(__xludf.DUMMYFUNCTION("""COMPUTED_VALUE"""),"IPS Panel Full HD 1920x1080")</f>
        <v>IPS Panel Full HD 1920x1080</v>
      </c>
      <c r="G19" s="2" t="str">
        <f ca="1">IFERROR(__xludf.DUMMYFUNCTION("""COMPUTED_VALUE"""),"Intel Core i3 7130U 2.7GHz")</f>
        <v>Intel Core i3 7130U 2.7GHz</v>
      </c>
      <c r="H19" s="2" t="str">
        <f ca="1">IFERROR(__xludf.DUMMYFUNCTION("""COMPUTED_VALUE"""),"4GB")</f>
        <v>4GB</v>
      </c>
      <c r="I19" s="2" t="str">
        <f ca="1">IFERROR(__xludf.DUMMYFUNCTION("""COMPUTED_VALUE"""),"1TB HDD")</f>
        <v>1TB HDD</v>
      </c>
      <c r="J19" s="2" t="str">
        <f ca="1">IFERROR(__xludf.DUMMYFUNCTION("""COMPUTED_VALUE"""),"Nvidia GeForce MX130")</f>
        <v>Nvidia GeForce MX130</v>
      </c>
      <c r="K19" s="2" t="str">
        <f ca="1">IFERROR(__xludf.DUMMYFUNCTION("""COMPUTED_VALUE"""),"Windows 10")</f>
        <v>Windows 10</v>
      </c>
      <c r="L19" s="2" t="str">
        <f ca="1">IFERROR(__xludf.DUMMYFUNCTION("""COMPUTED_VALUE"""),"3kg")</f>
        <v>3kg</v>
      </c>
      <c r="M19" s="2">
        <f ca="1">IFERROR(__xludf.DUMMYFUNCTION("""COMPUTED_VALUE"""),655)</f>
        <v>655</v>
      </c>
    </row>
    <row r="20" spans="1:13">
      <c r="A20" s="2">
        <f ca="1">IFERROR(__xludf.DUMMYFUNCTION("""COMPUTED_VALUE"""),717)</f>
        <v>717</v>
      </c>
      <c r="B20" s="2" t="str">
        <f ca="1">IFERROR(__xludf.DUMMYFUNCTION("""COMPUTED_VALUE"""),"HP")</f>
        <v>HP</v>
      </c>
      <c r="C20" s="2" t="str">
        <f ca="1">IFERROR(__xludf.DUMMYFUNCTION("""COMPUTED_VALUE"""),"17-ak002nv (A10-9620P/6GB/2TB/Radeon")</f>
        <v>17-ak002nv (A10-9620P/6GB/2TB/Radeon</v>
      </c>
      <c r="D20" s="2" t="str">
        <f ca="1">IFERROR(__xludf.DUMMYFUNCTION("""COMPUTED_VALUE"""),"Notebook")</f>
        <v>Notebook</v>
      </c>
      <c r="E20" s="2">
        <f ca="1">IFERROR(__xludf.DUMMYFUNCTION("""COMPUTED_VALUE"""),17.3)</f>
        <v>17.3</v>
      </c>
      <c r="F20" s="2" t="str">
        <f ca="1">IFERROR(__xludf.DUMMYFUNCTION("""COMPUTED_VALUE"""),"IPS Panel Full HD 1920x1080")</f>
        <v>IPS Panel Full HD 1920x1080</v>
      </c>
      <c r="G20" s="2" t="str">
        <f ca="1">IFERROR(__xludf.DUMMYFUNCTION("""COMPUTED_VALUE"""),"AMD A10-Series 9620P 2.5GHz")</f>
        <v>AMD A10-Series 9620P 2.5GHz</v>
      </c>
      <c r="H20" s="2" t="str">
        <f ca="1">IFERROR(__xludf.DUMMYFUNCTION("""COMPUTED_VALUE"""),"6GB")</f>
        <v>6GB</v>
      </c>
      <c r="I20" s="2" t="str">
        <f ca="1">IFERROR(__xludf.DUMMYFUNCTION("""COMPUTED_VALUE"""),"2TB HDD")</f>
        <v>2TB HDD</v>
      </c>
      <c r="J20" s="2" t="str">
        <f ca="1">IFERROR(__xludf.DUMMYFUNCTION("""COMPUTED_VALUE"""),"AMD Radeon 530")</f>
        <v>AMD Radeon 530</v>
      </c>
      <c r="K20" s="2" t="str">
        <f ca="1">IFERROR(__xludf.DUMMYFUNCTION("""COMPUTED_VALUE"""),"Windows 10")</f>
        <v>Windows 10</v>
      </c>
      <c r="L20" s="2" t="str">
        <f ca="1">IFERROR(__xludf.DUMMYFUNCTION("""COMPUTED_VALUE"""),"2.71kg")</f>
        <v>2.71kg</v>
      </c>
      <c r="M20" s="2">
        <f ca="1">IFERROR(__xludf.DUMMYFUNCTION("""COMPUTED_VALUE"""),655.01)</f>
        <v>655.01</v>
      </c>
    </row>
    <row r="21" spans="1:13">
      <c r="A21" s="2">
        <f ca="1">IFERROR(__xludf.DUMMYFUNCTION("""COMPUTED_VALUE"""),962)</f>
        <v>962</v>
      </c>
      <c r="B21" s="2" t="str">
        <f ca="1">IFERROR(__xludf.DUMMYFUNCTION("""COMPUTED_VALUE"""),"Dell")</f>
        <v>Dell</v>
      </c>
      <c r="C21" s="2" t="str">
        <f ca="1">IFERROR(__xludf.DUMMYFUNCTION("""COMPUTED_VALUE"""),"Insprion 5767")</f>
        <v>Insprion 5767</v>
      </c>
      <c r="D21" s="2" t="str">
        <f ca="1">IFERROR(__xludf.DUMMYFUNCTION("""COMPUTED_VALUE"""),"Notebook")</f>
        <v>Notebook</v>
      </c>
      <c r="E21" s="2">
        <f ca="1">IFERROR(__xludf.DUMMYFUNCTION("""COMPUTED_VALUE"""),17.3)</f>
        <v>17.3</v>
      </c>
      <c r="F21" s="2" t="str">
        <f ca="1">IFERROR(__xludf.DUMMYFUNCTION("""COMPUTED_VALUE"""),"1600x900")</f>
        <v>1600x900</v>
      </c>
      <c r="G21" s="2" t="str">
        <f ca="1">IFERROR(__xludf.DUMMYFUNCTION("""COMPUTED_VALUE"""),"Intel Core i3 6006U 2.0GHz")</f>
        <v>Intel Core i3 6006U 2.0GHz</v>
      </c>
      <c r="H21" s="2" t="str">
        <f ca="1">IFERROR(__xludf.DUMMYFUNCTION("""COMPUTED_VALUE"""),"4GB")</f>
        <v>4GB</v>
      </c>
      <c r="I21" s="2" t="str">
        <f ca="1">IFERROR(__xludf.DUMMYFUNCTION("""COMPUTED_VALUE"""),"1TB HDD")</f>
        <v>1TB HDD</v>
      </c>
      <c r="J21" s="2" t="str">
        <f ca="1">IFERROR(__xludf.DUMMYFUNCTION("""COMPUTED_VALUE"""),"AMD Radeon R7 M445")</f>
        <v>AMD Radeon R7 M445</v>
      </c>
      <c r="K21" s="2" t="str">
        <f ca="1">IFERROR(__xludf.DUMMYFUNCTION("""COMPUTED_VALUE"""),"Windows 10")</f>
        <v>Windows 10</v>
      </c>
      <c r="L21" s="2" t="str">
        <f ca="1">IFERROR(__xludf.DUMMYFUNCTION("""COMPUTED_VALUE"""),"2.36kg")</f>
        <v>2.36kg</v>
      </c>
      <c r="M21" s="2">
        <f ca="1">IFERROR(__xludf.DUMMYFUNCTION("""COMPUTED_VALUE"""),659)</f>
        <v>659</v>
      </c>
    </row>
    <row r="22" spans="1:13">
      <c r="A22" s="2">
        <f ca="1">IFERROR(__xludf.DUMMYFUNCTION("""COMPUTED_VALUE"""),1090)</f>
        <v>1090</v>
      </c>
      <c r="B22" s="2" t="str">
        <f ca="1">IFERROR(__xludf.DUMMYFUNCTION("""COMPUTED_VALUE"""),"Lenovo")</f>
        <v>Lenovo</v>
      </c>
      <c r="C22" s="2" t="str">
        <f ca="1">IFERROR(__xludf.DUMMYFUNCTION("""COMPUTED_VALUE"""),"IdeaPad 300-17ISK")</f>
        <v>IdeaPad 300-17ISK</v>
      </c>
      <c r="D22" s="2" t="str">
        <f ca="1">IFERROR(__xludf.DUMMYFUNCTION("""COMPUTED_VALUE"""),"Notebook")</f>
        <v>Notebook</v>
      </c>
      <c r="E22" s="2">
        <f ca="1">IFERROR(__xludf.DUMMYFUNCTION("""COMPUTED_VALUE"""),17.3)</f>
        <v>17.3</v>
      </c>
      <c r="F22" s="2" t="str">
        <f ca="1">IFERROR(__xludf.DUMMYFUNCTION("""COMPUTED_VALUE"""),"1600x900")</f>
        <v>1600x900</v>
      </c>
      <c r="G22" s="2" t="str">
        <f ca="1">IFERROR(__xludf.DUMMYFUNCTION("""COMPUTED_VALUE"""),"Intel Core i5 6200U 2.3GHz")</f>
        <v>Intel Core i5 6200U 2.3GHz</v>
      </c>
      <c r="H22" s="2" t="str">
        <f ca="1">IFERROR(__xludf.DUMMYFUNCTION("""COMPUTED_VALUE"""),"8GB")</f>
        <v>8GB</v>
      </c>
      <c r="I22" s="2" t="str">
        <f ca="1">IFERROR(__xludf.DUMMYFUNCTION("""COMPUTED_VALUE"""),"1.0TB HDD")</f>
        <v>1.0TB HDD</v>
      </c>
      <c r="J22" s="2" t="str">
        <f ca="1">IFERROR(__xludf.DUMMYFUNCTION("""COMPUTED_VALUE"""),"AMD Radeon R5 M330")</f>
        <v>AMD Radeon R5 M330</v>
      </c>
      <c r="K22" s="2" t="str">
        <f ca="1">IFERROR(__xludf.DUMMYFUNCTION("""COMPUTED_VALUE"""),"Windows 10")</f>
        <v>Windows 10</v>
      </c>
      <c r="L22" s="2" t="str">
        <f ca="1">IFERROR(__xludf.DUMMYFUNCTION("""COMPUTED_VALUE"""),"3.0kg")</f>
        <v>3.0kg</v>
      </c>
      <c r="M22" s="2">
        <f ca="1">IFERROR(__xludf.DUMMYFUNCTION("""COMPUTED_VALUE"""),659)</f>
        <v>659</v>
      </c>
    </row>
    <row r="23" spans="1:13">
      <c r="A23" s="2">
        <f ca="1">IFERROR(__xludf.DUMMYFUNCTION("""COMPUTED_VALUE"""),175)</f>
        <v>175</v>
      </c>
      <c r="B23" s="2" t="str">
        <f ca="1">IFERROR(__xludf.DUMMYFUNCTION("""COMPUTED_VALUE"""),"HP")</f>
        <v>HP</v>
      </c>
      <c r="C23" s="2" t="str">
        <f ca="1">IFERROR(__xludf.DUMMYFUNCTION("""COMPUTED_VALUE"""),"17-bs001nv (i5-7200U/6GB/2TB/Radeon")</f>
        <v>17-bs001nv (i5-7200U/6GB/2TB/Radeon</v>
      </c>
      <c r="D23" s="2" t="str">
        <f ca="1">IFERROR(__xludf.DUMMYFUNCTION("""COMPUTED_VALUE"""),"Notebook")</f>
        <v>Notebook</v>
      </c>
      <c r="E23" s="2">
        <f ca="1">IFERROR(__xludf.DUMMYFUNCTION("""COMPUTED_VALUE"""),17.3)</f>
        <v>17.3</v>
      </c>
      <c r="F23" s="2" t="str">
        <f ca="1">IFERROR(__xludf.DUMMYFUNCTION("""COMPUTED_VALUE"""),"IPS Panel Full HD 1920x1080")</f>
        <v>IPS Panel Full HD 1920x1080</v>
      </c>
      <c r="G23" s="2" t="str">
        <f ca="1">IFERROR(__xludf.DUMMYFUNCTION("""COMPUTED_VALUE"""),"Intel Core i5 7200U 2.5GHz")</f>
        <v>Intel Core i5 7200U 2.5GHz</v>
      </c>
      <c r="H23" s="2" t="str">
        <f ca="1">IFERROR(__xludf.DUMMYFUNCTION("""COMPUTED_VALUE"""),"6GB")</f>
        <v>6GB</v>
      </c>
      <c r="I23" s="2" t="str">
        <f ca="1">IFERROR(__xludf.DUMMYFUNCTION("""COMPUTED_VALUE"""),"2TB HDD")</f>
        <v>2TB HDD</v>
      </c>
      <c r="J23" s="2" t="str">
        <f ca="1">IFERROR(__xludf.DUMMYFUNCTION("""COMPUTED_VALUE"""),"AMD Radeon 520")</f>
        <v>AMD Radeon 520</v>
      </c>
      <c r="K23" s="2" t="str">
        <f ca="1">IFERROR(__xludf.DUMMYFUNCTION("""COMPUTED_VALUE"""),"Windows 10")</f>
        <v>Windows 10</v>
      </c>
      <c r="L23" s="2" t="str">
        <f ca="1">IFERROR(__xludf.DUMMYFUNCTION("""COMPUTED_VALUE"""),"2.71kg")</f>
        <v>2.71kg</v>
      </c>
      <c r="M23" s="2">
        <f ca="1">IFERROR(__xludf.DUMMYFUNCTION("""COMPUTED_VALUE"""),699)</f>
        <v>699</v>
      </c>
    </row>
    <row r="24" spans="1:13">
      <c r="A24" s="2">
        <f ca="1">IFERROR(__xludf.DUMMYFUNCTION("""COMPUTED_VALUE"""),691)</f>
        <v>691</v>
      </c>
      <c r="B24" s="2" t="str">
        <f ca="1">IFERROR(__xludf.DUMMYFUNCTION("""COMPUTED_VALUE"""),"HP")</f>
        <v>HP</v>
      </c>
      <c r="C24" s="2" t="str">
        <f ca="1">IFERROR(__xludf.DUMMYFUNCTION("""COMPUTED_VALUE"""),"17-bs000nv I3")</f>
        <v>17-bs000nv I3</v>
      </c>
      <c r="D24" s="2" t="str">
        <f ca="1">IFERROR(__xludf.DUMMYFUNCTION("""COMPUTED_VALUE"""),"Notebook")</f>
        <v>Notebook</v>
      </c>
      <c r="E24" s="2">
        <f ca="1">IFERROR(__xludf.DUMMYFUNCTION("""COMPUTED_VALUE"""),17.3)</f>
        <v>17.3</v>
      </c>
      <c r="F24" s="2" t="str">
        <f ca="1">IFERROR(__xludf.DUMMYFUNCTION("""COMPUTED_VALUE"""),"IPS Panel Full HD 1920x1080")</f>
        <v>IPS Panel Full HD 1920x1080</v>
      </c>
      <c r="G24" s="2" t="str">
        <f ca="1">IFERROR(__xludf.DUMMYFUNCTION("""COMPUTED_VALUE"""),"Intel Core i3 6006U 2GHz")</f>
        <v>Intel Core i3 6006U 2GHz</v>
      </c>
      <c r="H24" s="2" t="str">
        <f ca="1">IFERROR(__xludf.DUMMYFUNCTION("""COMPUTED_VALUE"""),"4GB")</f>
        <v>4GB</v>
      </c>
      <c r="I24" s="2" t="str">
        <f ca="1">IFERROR(__xludf.DUMMYFUNCTION("""COMPUTED_VALUE"""),"256GB SSD")</f>
        <v>256GB SSD</v>
      </c>
      <c r="J24" s="2" t="str">
        <f ca="1">IFERROR(__xludf.DUMMYFUNCTION("""COMPUTED_VALUE"""),"AMD Radeon R5 520")</f>
        <v>AMD Radeon R5 520</v>
      </c>
      <c r="K24" s="2" t="str">
        <f ca="1">IFERROR(__xludf.DUMMYFUNCTION("""COMPUTED_VALUE"""),"Windows 10")</f>
        <v>Windows 10</v>
      </c>
      <c r="L24" s="2" t="str">
        <f ca="1">IFERROR(__xludf.DUMMYFUNCTION("""COMPUTED_VALUE"""),"2.5kg")</f>
        <v>2.5kg</v>
      </c>
      <c r="M24" s="2">
        <f ca="1">IFERROR(__xludf.DUMMYFUNCTION("""COMPUTED_VALUE"""),699)</f>
        <v>699</v>
      </c>
    </row>
    <row r="25" spans="1:13">
      <c r="A25" s="2">
        <f ca="1">IFERROR(__xludf.DUMMYFUNCTION("""COMPUTED_VALUE"""),259)</f>
        <v>259</v>
      </c>
      <c r="B25" s="2" t="str">
        <f ca="1">IFERROR(__xludf.DUMMYFUNCTION("""COMPUTED_VALUE"""),"Acer")</f>
        <v>Acer</v>
      </c>
      <c r="C25" s="2" t="str">
        <f ca="1">IFERROR(__xludf.DUMMYFUNCTION("""COMPUTED_VALUE"""),"Aspire 5")</f>
        <v>Aspire 5</v>
      </c>
      <c r="D25" s="2" t="str">
        <f ca="1">IFERROR(__xludf.DUMMYFUNCTION("""COMPUTED_VALUE"""),"Notebook")</f>
        <v>Notebook</v>
      </c>
      <c r="E25" s="2">
        <f ca="1">IFERROR(__xludf.DUMMYFUNCTION("""COMPUTED_VALUE"""),17.3)</f>
        <v>17.3</v>
      </c>
      <c r="F25" s="2" t="str">
        <f ca="1">IFERROR(__xludf.DUMMYFUNCTION("""COMPUTED_VALUE"""),"IPS Panel Full HD 1920x1080")</f>
        <v>IPS Panel Full HD 1920x1080</v>
      </c>
      <c r="G25" s="2" t="str">
        <f ca="1">IFERROR(__xludf.DUMMYFUNCTION("""COMPUTED_VALUE"""),"Intel Core i3 7130U 2.7GHz")</f>
        <v>Intel Core i3 7130U 2.7GHz</v>
      </c>
      <c r="H25" s="2" t="str">
        <f ca="1">IFERROR(__xludf.DUMMYFUNCTION("""COMPUTED_VALUE"""),"4GB")</f>
        <v>4GB</v>
      </c>
      <c r="I25" s="2" t="str">
        <f ca="1">IFERROR(__xludf.DUMMYFUNCTION("""COMPUTED_VALUE"""),"256GB SSD")</f>
        <v>256GB SSD</v>
      </c>
      <c r="J25" s="2" t="str">
        <f ca="1">IFERROR(__xludf.DUMMYFUNCTION("""COMPUTED_VALUE"""),"Nvidia GeForce MX130")</f>
        <v>Nvidia GeForce MX130</v>
      </c>
      <c r="K25" s="2" t="str">
        <f ca="1">IFERROR(__xludf.DUMMYFUNCTION("""COMPUTED_VALUE"""),"Windows 10")</f>
        <v>Windows 10</v>
      </c>
      <c r="L25" s="2" t="str">
        <f ca="1">IFERROR(__xludf.DUMMYFUNCTION("""COMPUTED_VALUE"""),"3kg")</f>
        <v>3kg</v>
      </c>
      <c r="M25" s="2">
        <f ca="1">IFERROR(__xludf.DUMMYFUNCTION("""COMPUTED_VALUE"""),702)</f>
        <v>702</v>
      </c>
    </row>
    <row r="26" spans="1:13">
      <c r="A26" s="2">
        <f ca="1">IFERROR(__xludf.DUMMYFUNCTION("""COMPUTED_VALUE"""),368)</f>
        <v>368</v>
      </c>
      <c r="B26" s="2" t="str">
        <f ca="1">IFERROR(__xludf.DUMMYFUNCTION("""COMPUTED_VALUE"""),"Lenovo")</f>
        <v>Lenovo</v>
      </c>
      <c r="C26" s="2" t="str">
        <f ca="1">IFERROR(__xludf.DUMMYFUNCTION("""COMPUTED_VALUE"""),"IdeaPad 320-17IKB")</f>
        <v>IdeaPad 320-17IKB</v>
      </c>
      <c r="D26" s="2" t="str">
        <f ca="1">IFERROR(__xludf.DUMMYFUNCTION("""COMPUTED_VALUE"""),"Notebook")</f>
        <v>Notebook</v>
      </c>
      <c r="E26" s="2">
        <f ca="1">IFERROR(__xludf.DUMMYFUNCTION("""COMPUTED_VALUE"""),17.3)</f>
        <v>17.3</v>
      </c>
      <c r="F26" s="2" t="str">
        <f ca="1">IFERROR(__xludf.DUMMYFUNCTION("""COMPUTED_VALUE"""),"1600x900")</f>
        <v>1600x900</v>
      </c>
      <c r="G26" s="2" t="str">
        <f ca="1">IFERROR(__xludf.DUMMYFUNCTION("""COMPUTED_VALUE"""),"Intel Core i5 7200U 2.5GHz")</f>
        <v>Intel Core i5 7200U 2.5GHz</v>
      </c>
      <c r="H26" s="2" t="str">
        <f ca="1">IFERROR(__xludf.DUMMYFUNCTION("""COMPUTED_VALUE"""),"6GB")</f>
        <v>6GB</v>
      </c>
      <c r="I26" s="2" t="str">
        <f ca="1">IFERROR(__xludf.DUMMYFUNCTION("""COMPUTED_VALUE"""),"128GB SSD +  1TB HDD")</f>
        <v>128GB SSD +  1TB HDD</v>
      </c>
      <c r="J26" s="2" t="str">
        <f ca="1">IFERROR(__xludf.DUMMYFUNCTION("""COMPUTED_VALUE"""),"Nvidia GeForce GTX 940MX")</f>
        <v>Nvidia GeForce GTX 940MX</v>
      </c>
      <c r="K26" s="2" t="str">
        <f ca="1">IFERROR(__xludf.DUMMYFUNCTION("""COMPUTED_VALUE"""),"Windows 10")</f>
        <v>Windows 10</v>
      </c>
      <c r="L26" s="2" t="str">
        <f ca="1">IFERROR(__xludf.DUMMYFUNCTION("""COMPUTED_VALUE"""),"2.8kg")</f>
        <v>2.8kg</v>
      </c>
      <c r="M26" s="2">
        <f ca="1">IFERROR(__xludf.DUMMYFUNCTION("""COMPUTED_VALUE"""),719)</f>
        <v>719</v>
      </c>
    </row>
    <row r="27" spans="1:13">
      <c r="A27" s="2">
        <f ca="1">IFERROR(__xludf.DUMMYFUNCTION("""COMPUTED_VALUE"""),165)</f>
        <v>165</v>
      </c>
      <c r="B27" s="2" t="str">
        <f ca="1">IFERROR(__xludf.DUMMYFUNCTION("""COMPUTED_VALUE"""),"Acer")</f>
        <v>Acer</v>
      </c>
      <c r="C27" s="2" t="str">
        <f ca="1">IFERROR(__xludf.DUMMYFUNCTION("""COMPUTED_VALUE"""),"Aspire A517-51G")</f>
        <v>Aspire A517-51G</v>
      </c>
      <c r="D27" s="2" t="str">
        <f ca="1">IFERROR(__xludf.DUMMYFUNCTION("""COMPUTED_VALUE"""),"Notebook")</f>
        <v>Notebook</v>
      </c>
      <c r="E27" s="2">
        <f ca="1">IFERROR(__xludf.DUMMYFUNCTION("""COMPUTED_VALUE"""),17.3)</f>
        <v>17.3</v>
      </c>
      <c r="F27" s="2" t="str">
        <f ca="1">IFERROR(__xludf.DUMMYFUNCTION("""COMPUTED_VALUE"""),"IPS Panel Full HD 1920x1080")</f>
        <v>IPS Panel Full HD 1920x1080</v>
      </c>
      <c r="G27" s="2" t="str">
        <f ca="1">IFERROR(__xludf.DUMMYFUNCTION("""COMPUTED_VALUE"""),"Intel Core i5 8250U 1.6GHz")</f>
        <v>Intel Core i5 8250U 1.6GHz</v>
      </c>
      <c r="H27" s="2" t="str">
        <f ca="1">IFERROR(__xludf.DUMMYFUNCTION("""COMPUTED_VALUE"""),"4GB")</f>
        <v>4GB</v>
      </c>
      <c r="I27" s="2" t="str">
        <f ca="1">IFERROR(__xludf.DUMMYFUNCTION("""COMPUTED_VALUE"""),"256GB SSD")</f>
        <v>256GB SSD</v>
      </c>
      <c r="J27" s="2" t="str">
        <f ca="1">IFERROR(__xludf.DUMMYFUNCTION("""COMPUTED_VALUE"""),"Nvidia GeForce MX150")</f>
        <v>Nvidia GeForce MX150</v>
      </c>
      <c r="K27" s="2" t="str">
        <f ca="1">IFERROR(__xludf.DUMMYFUNCTION("""COMPUTED_VALUE"""),"Windows 10")</f>
        <v>Windows 10</v>
      </c>
      <c r="L27" s="2" t="str">
        <f ca="1">IFERROR(__xludf.DUMMYFUNCTION("""COMPUTED_VALUE"""),"3kg")</f>
        <v>3kg</v>
      </c>
      <c r="M27" s="2">
        <f ca="1">IFERROR(__xludf.DUMMYFUNCTION("""COMPUTED_VALUE"""),805)</f>
        <v>805</v>
      </c>
    </row>
    <row r="28" spans="1:13">
      <c r="A28" s="2">
        <f ca="1">IFERROR(__xludf.DUMMYFUNCTION("""COMPUTED_VALUE"""),172)</f>
        <v>172</v>
      </c>
      <c r="B28" s="2" t="str">
        <f ca="1">IFERROR(__xludf.DUMMYFUNCTION("""COMPUTED_VALUE"""),"Acer")</f>
        <v>Acer</v>
      </c>
      <c r="C28" s="2" t="str">
        <f ca="1">IFERROR(__xludf.DUMMYFUNCTION("""COMPUTED_VALUE"""),"Aspire A517-51G")</f>
        <v>Aspire A517-51G</v>
      </c>
      <c r="D28" s="2" t="str">
        <f ca="1">IFERROR(__xludf.DUMMYFUNCTION("""COMPUTED_VALUE"""),"Notebook")</f>
        <v>Notebook</v>
      </c>
      <c r="E28" s="2">
        <f ca="1">IFERROR(__xludf.DUMMYFUNCTION("""COMPUTED_VALUE"""),17.3)</f>
        <v>17.3</v>
      </c>
      <c r="F28" s="2" t="str">
        <f ca="1">IFERROR(__xludf.DUMMYFUNCTION("""COMPUTED_VALUE"""),"IPS Panel Full HD 1920x1080")</f>
        <v>IPS Panel Full HD 1920x1080</v>
      </c>
      <c r="G28" s="2" t="str">
        <f ca="1">IFERROR(__xludf.DUMMYFUNCTION("""COMPUTED_VALUE"""),"Intel Core i5 8250U 1.6GHz")</f>
        <v>Intel Core i5 8250U 1.6GHz</v>
      </c>
      <c r="H28" s="2" t="str">
        <f ca="1">IFERROR(__xludf.DUMMYFUNCTION("""COMPUTED_VALUE"""),"8GB")</f>
        <v>8GB</v>
      </c>
      <c r="I28" s="2" t="str">
        <f ca="1">IFERROR(__xludf.DUMMYFUNCTION("""COMPUTED_VALUE"""),"256GB SSD")</f>
        <v>256GB SSD</v>
      </c>
      <c r="J28" s="2" t="str">
        <f ca="1">IFERROR(__xludf.DUMMYFUNCTION("""COMPUTED_VALUE"""),"Nvidia GeForce MX150")</f>
        <v>Nvidia GeForce MX150</v>
      </c>
      <c r="K28" s="2" t="str">
        <f ca="1">IFERROR(__xludf.DUMMYFUNCTION("""COMPUTED_VALUE"""),"Windows 10")</f>
        <v>Windows 10</v>
      </c>
      <c r="L28" s="2" t="str">
        <f ca="1">IFERROR(__xludf.DUMMYFUNCTION("""COMPUTED_VALUE"""),"3kg")</f>
        <v>3kg</v>
      </c>
      <c r="M28" s="2">
        <f ca="1">IFERROR(__xludf.DUMMYFUNCTION("""COMPUTED_VALUE"""),854)</f>
        <v>854</v>
      </c>
    </row>
    <row r="29" spans="1:13">
      <c r="A29" s="2">
        <f ca="1">IFERROR(__xludf.DUMMYFUNCTION("""COMPUTED_VALUE"""),285)</f>
        <v>285</v>
      </c>
      <c r="B29" s="2" t="str">
        <f ca="1">IFERROR(__xludf.DUMMYFUNCTION("""COMPUTED_VALUE"""),"Lenovo")</f>
        <v>Lenovo</v>
      </c>
      <c r="C29" s="2" t="str">
        <f ca="1">IFERROR(__xludf.DUMMYFUNCTION("""COMPUTED_VALUE"""),"IdeaPad 320-17IKB")</f>
        <v>IdeaPad 320-17IKB</v>
      </c>
      <c r="D29" s="2" t="str">
        <f ca="1">IFERROR(__xludf.DUMMYFUNCTION("""COMPUTED_VALUE"""),"Notebook")</f>
        <v>Notebook</v>
      </c>
      <c r="E29" s="2">
        <f ca="1">IFERROR(__xludf.DUMMYFUNCTION("""COMPUTED_VALUE"""),17.3)</f>
        <v>17.3</v>
      </c>
      <c r="F29" s="2" t="str">
        <f ca="1">IFERROR(__xludf.DUMMYFUNCTION("""COMPUTED_VALUE"""),"1600x900")</f>
        <v>1600x900</v>
      </c>
      <c r="G29" s="2" t="str">
        <f ca="1">IFERROR(__xludf.DUMMYFUNCTION("""COMPUTED_VALUE"""),"Intel Core i7 7500U 2.7GHz")</f>
        <v>Intel Core i7 7500U 2.7GHz</v>
      </c>
      <c r="H29" s="2" t="str">
        <f ca="1">IFERROR(__xludf.DUMMYFUNCTION("""COMPUTED_VALUE"""),"6GB")</f>
        <v>6GB</v>
      </c>
      <c r="I29" s="2" t="str">
        <f ca="1">IFERROR(__xludf.DUMMYFUNCTION("""COMPUTED_VALUE"""),"128GB SSD +  1TB HDD")</f>
        <v>128GB SSD +  1TB HDD</v>
      </c>
      <c r="J29" s="2" t="str">
        <f ca="1">IFERROR(__xludf.DUMMYFUNCTION("""COMPUTED_VALUE"""),"Nvidia GeForce 940MX")</f>
        <v>Nvidia GeForce 940MX</v>
      </c>
      <c r="K29" s="2" t="str">
        <f ca="1">IFERROR(__xludf.DUMMYFUNCTION("""COMPUTED_VALUE"""),"Windows 10")</f>
        <v>Windows 10</v>
      </c>
      <c r="L29" s="2" t="str">
        <f ca="1">IFERROR(__xludf.DUMMYFUNCTION("""COMPUTED_VALUE"""),"2.8kg")</f>
        <v>2.8kg</v>
      </c>
      <c r="M29" s="2">
        <f ca="1">IFERROR(__xludf.DUMMYFUNCTION("""COMPUTED_VALUE"""),859)</f>
        <v>859</v>
      </c>
    </row>
    <row r="30" spans="1:13">
      <c r="A30" s="2">
        <f ca="1">IFERROR(__xludf.DUMMYFUNCTION("""COMPUTED_VALUE"""),233)</f>
        <v>233</v>
      </c>
      <c r="B30" s="2" t="str">
        <f ca="1">IFERROR(__xludf.DUMMYFUNCTION("""COMPUTED_VALUE"""),"Asus")</f>
        <v>Asus</v>
      </c>
      <c r="C30" s="2" t="str">
        <f ca="1">IFERROR(__xludf.DUMMYFUNCTION("""COMPUTED_VALUE"""),"K756UX-T4340T (i5-7200U/8GB/500GB")</f>
        <v>K756UX-T4340T (i5-7200U/8GB/500GB</v>
      </c>
      <c r="D30" s="2" t="str">
        <f ca="1">IFERROR(__xludf.DUMMYFUNCTION("""COMPUTED_VALUE"""),"Notebook")</f>
        <v>Notebook</v>
      </c>
      <c r="E30" s="2">
        <f ca="1">IFERROR(__xludf.DUMMYFUNCTION("""COMPUTED_VALUE"""),17.3)</f>
        <v>17.3</v>
      </c>
      <c r="F30" s="2" t="str">
        <f ca="1">IFERROR(__xludf.DUMMYFUNCTION("""COMPUTED_VALUE"""),"Full HD 1920x1080")</f>
        <v>Full HD 1920x1080</v>
      </c>
      <c r="G30" s="2" t="str">
        <f ca="1">IFERROR(__xludf.DUMMYFUNCTION("""COMPUTED_VALUE"""),"Intel Core i5 7200U 2.5GHz")</f>
        <v>Intel Core i5 7200U 2.5GHz</v>
      </c>
      <c r="H30" s="2" t="str">
        <f ca="1">IFERROR(__xludf.DUMMYFUNCTION("""COMPUTED_VALUE"""),"8GB")</f>
        <v>8GB</v>
      </c>
      <c r="I30" s="2" t="str">
        <f ca="1">IFERROR(__xludf.DUMMYFUNCTION("""COMPUTED_VALUE"""),"256GB SSD +  500GB HDD")</f>
        <v>256GB SSD +  500GB HDD</v>
      </c>
      <c r="J30" s="2" t="str">
        <f ca="1">IFERROR(__xludf.DUMMYFUNCTION("""COMPUTED_VALUE"""),"Nvidia GeForce GTX 950M")</f>
        <v>Nvidia GeForce GTX 950M</v>
      </c>
      <c r="K30" s="2" t="str">
        <f ca="1">IFERROR(__xludf.DUMMYFUNCTION("""COMPUTED_VALUE"""),"Windows 10")</f>
        <v>Windows 10</v>
      </c>
      <c r="L30" s="2" t="str">
        <f ca="1">IFERROR(__xludf.DUMMYFUNCTION("""COMPUTED_VALUE"""),"2.69kg")</f>
        <v>2.69kg</v>
      </c>
      <c r="M30" s="2">
        <f ca="1">IFERROR(__xludf.DUMMYFUNCTION("""COMPUTED_VALUE"""),891)</f>
        <v>891</v>
      </c>
    </row>
    <row r="31" spans="1:13">
      <c r="A31" s="2">
        <f ca="1">IFERROR(__xludf.DUMMYFUNCTION("""COMPUTED_VALUE"""),30)</f>
        <v>30</v>
      </c>
      <c r="B31" s="2" t="str">
        <f ca="1">IFERROR(__xludf.DUMMYFUNCTION("""COMPUTED_VALUE"""),"HP")</f>
        <v>HP</v>
      </c>
      <c r="C31" s="2" t="str">
        <f ca="1">IFERROR(__xludf.DUMMYFUNCTION("""COMPUTED_VALUE"""),"ProBook 470")</f>
        <v>ProBook 470</v>
      </c>
      <c r="D31" s="2" t="str">
        <f ca="1">IFERROR(__xludf.DUMMYFUNCTION("""COMPUTED_VALUE"""),"Notebook")</f>
        <v>Notebook</v>
      </c>
      <c r="E31" s="2">
        <f ca="1">IFERROR(__xludf.DUMMYFUNCTION("""COMPUTED_VALUE"""),17.3)</f>
        <v>17.3</v>
      </c>
      <c r="F31" s="2" t="str">
        <f ca="1">IFERROR(__xludf.DUMMYFUNCTION("""COMPUTED_VALUE"""),"Full HD 1920x1080")</f>
        <v>Full HD 1920x1080</v>
      </c>
      <c r="G31" s="2" t="str">
        <f ca="1">IFERROR(__xludf.DUMMYFUNCTION("""COMPUTED_VALUE"""),"Intel Core i5 8250U 1.6GHz")</f>
        <v>Intel Core i5 8250U 1.6GHz</v>
      </c>
      <c r="H31" s="2" t="str">
        <f ca="1">IFERROR(__xludf.DUMMYFUNCTION("""COMPUTED_VALUE"""),"8GB")</f>
        <v>8GB</v>
      </c>
      <c r="I31" s="2" t="str">
        <f ca="1">IFERROR(__xludf.DUMMYFUNCTION("""COMPUTED_VALUE"""),"1TB HDD")</f>
        <v>1TB HDD</v>
      </c>
      <c r="J31" s="2" t="str">
        <f ca="1">IFERROR(__xludf.DUMMYFUNCTION("""COMPUTED_VALUE"""),"Nvidia GeForce 930MX")</f>
        <v>Nvidia GeForce 930MX</v>
      </c>
      <c r="K31" s="2" t="str">
        <f ca="1">IFERROR(__xludf.DUMMYFUNCTION("""COMPUTED_VALUE"""),"Windows 10")</f>
        <v>Windows 10</v>
      </c>
      <c r="L31" s="2" t="str">
        <f ca="1">IFERROR(__xludf.DUMMYFUNCTION("""COMPUTED_VALUE"""),"2.5kg")</f>
        <v>2.5kg</v>
      </c>
      <c r="M31" s="2">
        <f ca="1">IFERROR(__xludf.DUMMYFUNCTION("""COMPUTED_VALUE"""),896)</f>
        <v>896</v>
      </c>
    </row>
    <row r="32" spans="1:13">
      <c r="A32" s="2">
        <f ca="1">IFERROR(__xludf.DUMMYFUNCTION("""COMPUTED_VALUE"""),852)</f>
        <v>852</v>
      </c>
      <c r="B32" s="2" t="str">
        <f ca="1">IFERROR(__xludf.DUMMYFUNCTION("""COMPUTED_VALUE"""),"HP")</f>
        <v>HP</v>
      </c>
      <c r="C32" s="2" t="str">
        <f ca="1">IFERROR(__xludf.DUMMYFUNCTION("""COMPUTED_VALUE"""),"ProBook 470")</f>
        <v>ProBook 470</v>
      </c>
      <c r="D32" s="2" t="str">
        <f ca="1">IFERROR(__xludf.DUMMYFUNCTION("""COMPUTED_VALUE"""),"Notebook")</f>
        <v>Notebook</v>
      </c>
      <c r="E32" s="2">
        <f ca="1">IFERROR(__xludf.DUMMYFUNCTION("""COMPUTED_VALUE"""),17.3)</f>
        <v>17.3</v>
      </c>
      <c r="F32" s="2" t="str">
        <f ca="1">IFERROR(__xludf.DUMMYFUNCTION("""COMPUTED_VALUE"""),"1600x900")</f>
        <v>1600x900</v>
      </c>
      <c r="G32" s="2" t="str">
        <f ca="1">IFERROR(__xludf.DUMMYFUNCTION("""COMPUTED_VALUE"""),"Intel Core i5 7200U 2.5GHz")</f>
        <v>Intel Core i5 7200U 2.5GHz</v>
      </c>
      <c r="H32" s="2" t="str">
        <f ca="1">IFERROR(__xludf.DUMMYFUNCTION("""COMPUTED_VALUE"""),"8GB")</f>
        <v>8GB</v>
      </c>
      <c r="I32" s="2" t="str">
        <f ca="1">IFERROR(__xludf.DUMMYFUNCTION("""COMPUTED_VALUE"""),"1TB HDD")</f>
        <v>1TB HDD</v>
      </c>
      <c r="J32" s="2" t="str">
        <f ca="1">IFERROR(__xludf.DUMMYFUNCTION("""COMPUTED_VALUE"""),"Nvidia GeForce 930MX")</f>
        <v>Nvidia GeForce 930MX</v>
      </c>
      <c r="K32" s="2" t="str">
        <f ca="1">IFERROR(__xludf.DUMMYFUNCTION("""COMPUTED_VALUE"""),"Windows 10")</f>
        <v>Windows 10</v>
      </c>
      <c r="L32" s="2" t="str">
        <f ca="1">IFERROR(__xludf.DUMMYFUNCTION("""COMPUTED_VALUE"""),"2.63kg")</f>
        <v>2.63kg</v>
      </c>
      <c r="M32" s="2">
        <f ca="1">IFERROR(__xludf.DUMMYFUNCTION("""COMPUTED_VALUE"""),910)</f>
        <v>910</v>
      </c>
    </row>
    <row r="33" spans="1:13">
      <c r="A33" s="2">
        <f ca="1">IFERROR(__xludf.DUMMYFUNCTION("""COMPUTED_VALUE"""),199)</f>
        <v>199</v>
      </c>
      <c r="B33" s="2" t="str">
        <f ca="1">IFERROR(__xludf.DUMMYFUNCTION("""COMPUTED_VALUE"""),"HP")</f>
        <v>HP</v>
      </c>
      <c r="C33" s="2" t="str">
        <f ca="1">IFERROR(__xludf.DUMMYFUNCTION("""COMPUTED_VALUE"""),"ProBook 470")</f>
        <v>ProBook 470</v>
      </c>
      <c r="D33" s="2" t="str">
        <f ca="1">IFERROR(__xludf.DUMMYFUNCTION("""COMPUTED_VALUE"""),"Notebook")</f>
        <v>Notebook</v>
      </c>
      <c r="E33" s="2">
        <f ca="1">IFERROR(__xludf.DUMMYFUNCTION("""COMPUTED_VALUE"""),17.3)</f>
        <v>17.3</v>
      </c>
      <c r="F33" s="2" t="str">
        <f ca="1">IFERROR(__xludf.DUMMYFUNCTION("""COMPUTED_VALUE"""),"IPS Panel Full HD 1920x1080")</f>
        <v>IPS Panel Full HD 1920x1080</v>
      </c>
      <c r="G33" s="2" t="str">
        <f ca="1">IFERROR(__xludf.DUMMYFUNCTION("""COMPUTED_VALUE"""),"Intel Core i5 8250U 1.6GHz")</f>
        <v>Intel Core i5 8250U 1.6GHz</v>
      </c>
      <c r="H33" s="2" t="str">
        <f ca="1">IFERROR(__xludf.DUMMYFUNCTION("""COMPUTED_VALUE"""),"8GB")</f>
        <v>8GB</v>
      </c>
      <c r="I33" s="2" t="str">
        <f ca="1">IFERROR(__xludf.DUMMYFUNCTION("""COMPUTED_VALUE"""),"1TB HDD")</f>
        <v>1TB HDD</v>
      </c>
      <c r="J33" s="2" t="str">
        <f ca="1">IFERROR(__xludf.DUMMYFUNCTION("""COMPUTED_VALUE"""),"Nvidia GeForce 930MX")</f>
        <v>Nvidia GeForce 930MX</v>
      </c>
      <c r="K33" s="2" t="str">
        <f ca="1">IFERROR(__xludf.DUMMYFUNCTION("""COMPUTED_VALUE"""),"Windows 10")</f>
        <v>Windows 10</v>
      </c>
      <c r="L33" s="2" t="str">
        <f ca="1">IFERROR(__xludf.DUMMYFUNCTION("""COMPUTED_VALUE"""),"2.5kg")</f>
        <v>2.5kg</v>
      </c>
      <c r="M33" s="2">
        <f ca="1">IFERROR(__xludf.DUMMYFUNCTION("""COMPUTED_VALUE"""),914)</f>
        <v>914</v>
      </c>
    </row>
    <row r="34" spans="1:13">
      <c r="A34" s="2">
        <f ca="1">IFERROR(__xludf.DUMMYFUNCTION("""COMPUTED_VALUE"""),178)</f>
        <v>178</v>
      </c>
      <c r="B34" s="2" t="str">
        <f ca="1">IFERROR(__xludf.DUMMYFUNCTION("""COMPUTED_VALUE"""),"HP")</f>
        <v>HP</v>
      </c>
      <c r="C34" s="2" t="str">
        <f ca="1">IFERROR(__xludf.DUMMYFUNCTION("""COMPUTED_VALUE"""),"ProBook 470")</f>
        <v>ProBook 470</v>
      </c>
      <c r="D34" s="2" t="str">
        <f ca="1">IFERROR(__xludf.DUMMYFUNCTION("""COMPUTED_VALUE"""),"Notebook")</f>
        <v>Notebook</v>
      </c>
      <c r="E34" s="2">
        <f ca="1">IFERROR(__xludf.DUMMYFUNCTION("""COMPUTED_VALUE"""),17.3)</f>
        <v>17.3</v>
      </c>
      <c r="F34" s="2" t="str">
        <f ca="1">IFERROR(__xludf.DUMMYFUNCTION("""COMPUTED_VALUE"""),"Full HD 1920x1080")</f>
        <v>Full HD 1920x1080</v>
      </c>
      <c r="G34" s="2" t="str">
        <f ca="1">IFERROR(__xludf.DUMMYFUNCTION("""COMPUTED_VALUE"""),"Intel Core i5 8250U 1.6GHz")</f>
        <v>Intel Core i5 8250U 1.6GHz</v>
      </c>
      <c r="H34" s="2" t="str">
        <f ca="1">IFERROR(__xludf.DUMMYFUNCTION("""COMPUTED_VALUE"""),"8GB")</f>
        <v>8GB</v>
      </c>
      <c r="I34" s="2" t="str">
        <f ca="1">IFERROR(__xludf.DUMMYFUNCTION("""COMPUTED_VALUE"""),"256GB SSD")</f>
        <v>256GB SSD</v>
      </c>
      <c r="J34" s="2" t="str">
        <f ca="1">IFERROR(__xludf.DUMMYFUNCTION("""COMPUTED_VALUE"""),"Nvidia GeForce 930MX")</f>
        <v>Nvidia GeForce 930MX</v>
      </c>
      <c r="K34" s="2" t="str">
        <f ca="1">IFERROR(__xludf.DUMMYFUNCTION("""COMPUTED_VALUE"""),"Windows 10")</f>
        <v>Windows 10</v>
      </c>
      <c r="L34" s="2" t="str">
        <f ca="1">IFERROR(__xludf.DUMMYFUNCTION("""COMPUTED_VALUE"""),"2.5kg")</f>
        <v>2.5kg</v>
      </c>
      <c r="M34" s="2">
        <f ca="1">IFERROR(__xludf.DUMMYFUNCTION("""COMPUTED_VALUE"""),923)</f>
        <v>923</v>
      </c>
    </row>
    <row r="35" spans="1:13">
      <c r="A35" s="2">
        <f ca="1">IFERROR(__xludf.DUMMYFUNCTION("""COMPUTED_VALUE"""),132)</f>
        <v>132</v>
      </c>
      <c r="B35" s="2" t="str">
        <f ca="1">IFERROR(__xludf.DUMMYFUNCTION("""COMPUTED_VALUE"""),"HP")</f>
        <v>HP</v>
      </c>
      <c r="C35" s="2" t="str">
        <f ca="1">IFERROR(__xludf.DUMMYFUNCTION("""COMPUTED_VALUE"""),"ProBook 470")</f>
        <v>ProBook 470</v>
      </c>
      <c r="D35" s="2" t="str">
        <f ca="1">IFERROR(__xludf.DUMMYFUNCTION("""COMPUTED_VALUE"""),"Notebook")</f>
        <v>Notebook</v>
      </c>
      <c r="E35" s="2">
        <f ca="1">IFERROR(__xludf.DUMMYFUNCTION("""COMPUTED_VALUE"""),17.3)</f>
        <v>17.3</v>
      </c>
      <c r="F35" s="2" t="str">
        <f ca="1">IFERROR(__xludf.DUMMYFUNCTION("""COMPUTED_VALUE"""),"Full HD 1920x1080")</f>
        <v>Full HD 1920x1080</v>
      </c>
      <c r="G35" s="2" t="str">
        <f ca="1">IFERROR(__xludf.DUMMYFUNCTION("""COMPUTED_VALUE"""),"Intel Core i5 8250U 1.6GHz")</f>
        <v>Intel Core i5 8250U 1.6GHz</v>
      </c>
      <c r="H35" s="2" t="str">
        <f ca="1">IFERROR(__xludf.DUMMYFUNCTION("""COMPUTED_VALUE"""),"8GB")</f>
        <v>8GB</v>
      </c>
      <c r="I35" s="2" t="str">
        <f ca="1">IFERROR(__xludf.DUMMYFUNCTION("""COMPUTED_VALUE"""),"256GB SSD")</f>
        <v>256GB SSD</v>
      </c>
      <c r="J35" s="2" t="str">
        <f ca="1">IFERROR(__xludf.DUMMYFUNCTION("""COMPUTED_VALUE"""),"Intel UHD Graphics 620")</f>
        <v>Intel UHD Graphics 620</v>
      </c>
      <c r="K35" s="2" t="str">
        <f ca="1">IFERROR(__xludf.DUMMYFUNCTION("""COMPUTED_VALUE"""),"Windows 10")</f>
        <v>Windows 10</v>
      </c>
      <c r="L35" s="2" t="str">
        <f ca="1">IFERROR(__xludf.DUMMYFUNCTION("""COMPUTED_VALUE"""),"2.5kg")</f>
        <v>2.5kg</v>
      </c>
      <c r="M35" s="2">
        <f ca="1">IFERROR(__xludf.DUMMYFUNCTION("""COMPUTED_VALUE"""),928)</f>
        <v>928</v>
      </c>
    </row>
    <row r="36" spans="1:13">
      <c r="A36" s="2">
        <f ca="1">IFERROR(__xludf.DUMMYFUNCTION("""COMPUTED_VALUE"""),140)</f>
        <v>140</v>
      </c>
      <c r="B36" s="2" t="str">
        <f ca="1">IFERROR(__xludf.DUMMYFUNCTION("""COMPUTED_VALUE"""),"Asus")</f>
        <v>Asus</v>
      </c>
      <c r="C36" s="2" t="str">
        <f ca="1">IFERROR(__xludf.DUMMYFUNCTION("""COMPUTED_VALUE"""),"FX753VD-GC086T (i5-7300HQ/8GB/1TB")</f>
        <v>FX753VD-GC086T (i5-7300HQ/8GB/1TB</v>
      </c>
      <c r="D36" s="2" t="str">
        <f ca="1">IFERROR(__xludf.DUMMYFUNCTION("""COMPUTED_VALUE"""),"Gaming")</f>
        <v>Gaming</v>
      </c>
      <c r="E36" s="2">
        <f ca="1">IFERROR(__xludf.DUMMYFUNCTION("""COMPUTED_VALUE"""),17.3)</f>
        <v>17.3</v>
      </c>
      <c r="F36" s="2" t="str">
        <f ca="1">IFERROR(__xludf.DUMMYFUNCTION("""COMPUTED_VALUE"""),"Full HD 1920x1080")</f>
        <v>Full HD 1920x1080</v>
      </c>
      <c r="G36" s="2" t="str">
        <f ca="1">IFERROR(__xludf.DUMMYFUNCTION("""COMPUTED_VALUE"""),"Intel Core i5 7300HQ 2.5GHz")</f>
        <v>Intel Core i5 7300HQ 2.5GHz</v>
      </c>
      <c r="H36" s="2" t="str">
        <f ca="1">IFERROR(__xludf.DUMMYFUNCTION("""COMPUTED_VALUE"""),"8GB")</f>
        <v>8GB</v>
      </c>
      <c r="I36" s="2" t="str">
        <f ca="1">IFERROR(__xludf.DUMMYFUNCTION("""COMPUTED_VALUE"""),"128GB SSD +  1TB HDD")</f>
        <v>128GB SSD +  1TB HDD</v>
      </c>
      <c r="J36" s="2" t="str">
        <f ca="1">IFERROR(__xludf.DUMMYFUNCTION("""COMPUTED_VALUE"""),"Nvidia GeForce GTX 1050")</f>
        <v>Nvidia GeForce GTX 1050</v>
      </c>
      <c r="K36" s="2" t="str">
        <f ca="1">IFERROR(__xludf.DUMMYFUNCTION("""COMPUTED_VALUE"""),"Windows 10")</f>
        <v>Windows 10</v>
      </c>
      <c r="L36" s="2" t="str">
        <f ca="1">IFERROR(__xludf.DUMMYFUNCTION("""COMPUTED_VALUE"""),"3kg")</f>
        <v>3kg</v>
      </c>
      <c r="M36" s="2">
        <f ca="1">IFERROR(__xludf.DUMMYFUNCTION("""COMPUTED_VALUE"""),938)</f>
        <v>938</v>
      </c>
    </row>
    <row r="37" spans="1:13">
      <c r="A37" s="2">
        <f ca="1">IFERROR(__xludf.DUMMYFUNCTION("""COMPUTED_VALUE"""),564)</f>
        <v>564</v>
      </c>
      <c r="B37" s="2" t="str">
        <f ca="1">IFERROR(__xludf.DUMMYFUNCTION("""COMPUTED_VALUE"""),"Lenovo")</f>
        <v>Lenovo</v>
      </c>
      <c r="C37" s="2" t="str">
        <f ca="1">IFERROR(__xludf.DUMMYFUNCTION("""COMPUTED_VALUE"""),"IdeaPad 320-17IKB")</f>
        <v>IdeaPad 320-17IKB</v>
      </c>
      <c r="D37" s="2" t="str">
        <f ca="1">IFERROR(__xludf.DUMMYFUNCTION("""COMPUTED_VALUE"""),"Notebook")</f>
        <v>Notebook</v>
      </c>
      <c r="E37" s="2">
        <f ca="1">IFERROR(__xludf.DUMMYFUNCTION("""COMPUTED_VALUE"""),17.3)</f>
        <v>17.3</v>
      </c>
      <c r="F37" s="2" t="str">
        <f ca="1">IFERROR(__xludf.DUMMYFUNCTION("""COMPUTED_VALUE"""),"1600x900")</f>
        <v>1600x900</v>
      </c>
      <c r="G37" s="2" t="str">
        <f ca="1">IFERROR(__xludf.DUMMYFUNCTION("""COMPUTED_VALUE"""),"Intel Core i7 7500U 2.7GHz")</f>
        <v>Intel Core i7 7500U 2.7GHz</v>
      </c>
      <c r="H37" s="2" t="str">
        <f ca="1">IFERROR(__xludf.DUMMYFUNCTION("""COMPUTED_VALUE"""),"6GB")</f>
        <v>6GB</v>
      </c>
      <c r="I37" s="2" t="str">
        <f ca="1">IFERROR(__xludf.DUMMYFUNCTION("""COMPUTED_VALUE"""),"128GB SSD +  1TB HDD")</f>
        <v>128GB SSD +  1TB HDD</v>
      </c>
      <c r="J37" s="2" t="str">
        <f ca="1">IFERROR(__xludf.DUMMYFUNCTION("""COMPUTED_VALUE"""),"Nvidia GeForce 940MX")</f>
        <v>Nvidia GeForce 940MX</v>
      </c>
      <c r="K37" s="2" t="str">
        <f ca="1">IFERROR(__xludf.DUMMYFUNCTION("""COMPUTED_VALUE"""),"Windows 10")</f>
        <v>Windows 10</v>
      </c>
      <c r="L37" s="2" t="str">
        <f ca="1">IFERROR(__xludf.DUMMYFUNCTION("""COMPUTED_VALUE"""),"2.8kg")</f>
        <v>2.8kg</v>
      </c>
      <c r="M37" s="2">
        <f ca="1">IFERROR(__xludf.DUMMYFUNCTION("""COMPUTED_VALUE"""),949)</f>
        <v>949</v>
      </c>
    </row>
    <row r="38" spans="1:13">
      <c r="A38" s="2">
        <f ca="1">IFERROR(__xludf.DUMMYFUNCTION("""COMPUTED_VALUE"""),81)</f>
        <v>81</v>
      </c>
      <c r="B38" s="2" t="str">
        <f ca="1">IFERROR(__xludf.DUMMYFUNCTION("""COMPUTED_VALUE"""),"HP")</f>
        <v>HP</v>
      </c>
      <c r="C38" s="2" t="str">
        <f ca="1">IFERROR(__xludf.DUMMYFUNCTION("""COMPUTED_VALUE"""),"ProBook 470")</f>
        <v>ProBook 470</v>
      </c>
      <c r="D38" s="2" t="str">
        <f ca="1">IFERROR(__xludf.DUMMYFUNCTION("""COMPUTED_VALUE"""),"Notebook")</f>
        <v>Notebook</v>
      </c>
      <c r="E38" s="2">
        <f ca="1">IFERROR(__xludf.DUMMYFUNCTION("""COMPUTED_VALUE"""),17.3)</f>
        <v>17.3</v>
      </c>
      <c r="F38" s="2" t="str">
        <f ca="1">IFERROR(__xludf.DUMMYFUNCTION("""COMPUTED_VALUE"""),"Full HD 1920x1080")</f>
        <v>Full HD 1920x1080</v>
      </c>
      <c r="G38" s="2" t="str">
        <f ca="1">IFERROR(__xludf.DUMMYFUNCTION("""COMPUTED_VALUE"""),"Intel Core i5 8250U 1.6GHz")</f>
        <v>Intel Core i5 8250U 1.6GHz</v>
      </c>
      <c r="H38" s="2" t="str">
        <f ca="1">IFERROR(__xludf.DUMMYFUNCTION("""COMPUTED_VALUE"""),"8GB")</f>
        <v>8GB</v>
      </c>
      <c r="I38" s="2" t="str">
        <f ca="1">IFERROR(__xludf.DUMMYFUNCTION("""COMPUTED_VALUE"""),"128GB SSD +  1TB HDD")</f>
        <v>128GB SSD +  1TB HDD</v>
      </c>
      <c r="J38" s="2" t="str">
        <f ca="1">IFERROR(__xludf.DUMMYFUNCTION("""COMPUTED_VALUE"""),"Nvidia GeForce 930MX")</f>
        <v>Nvidia GeForce 930MX</v>
      </c>
      <c r="K38" s="2" t="str">
        <f ca="1">IFERROR(__xludf.DUMMYFUNCTION("""COMPUTED_VALUE"""),"Windows 10")</f>
        <v>Windows 10</v>
      </c>
      <c r="L38" s="2" t="str">
        <f ca="1">IFERROR(__xludf.DUMMYFUNCTION("""COMPUTED_VALUE"""),"2.5kg")</f>
        <v>2.5kg</v>
      </c>
      <c r="M38" s="2">
        <f ca="1">IFERROR(__xludf.DUMMYFUNCTION("""COMPUTED_VALUE"""),977)</f>
        <v>977</v>
      </c>
    </row>
    <row r="39" spans="1:13">
      <c r="A39" s="2">
        <f ca="1">IFERROR(__xludf.DUMMYFUNCTION("""COMPUTED_VALUE"""),38)</f>
        <v>38</v>
      </c>
      <c r="B39" s="2" t="str">
        <f ca="1">IFERROR(__xludf.DUMMYFUNCTION("""COMPUTED_VALUE"""),"Dell")</f>
        <v>Dell</v>
      </c>
      <c r="C39" s="2" t="str">
        <f ca="1">IFERROR(__xludf.DUMMYFUNCTION("""COMPUTED_VALUE"""),"Inspiron 5770")</f>
        <v>Inspiron 5770</v>
      </c>
      <c r="D39" s="2" t="str">
        <f ca="1">IFERROR(__xludf.DUMMYFUNCTION("""COMPUTED_VALUE"""),"Notebook")</f>
        <v>Notebook</v>
      </c>
      <c r="E39" s="2">
        <f ca="1">IFERROR(__xludf.DUMMYFUNCTION("""COMPUTED_VALUE"""),17.3)</f>
        <v>17.3</v>
      </c>
      <c r="F39" s="2" t="str">
        <f ca="1">IFERROR(__xludf.DUMMYFUNCTION("""COMPUTED_VALUE"""),"IPS Panel Full HD 1920x1080")</f>
        <v>IPS Panel Full HD 1920x1080</v>
      </c>
      <c r="G39" s="2" t="str">
        <f ca="1">IFERROR(__xludf.DUMMYFUNCTION("""COMPUTED_VALUE"""),"Intel Core i5 8250U 1.6GHz")</f>
        <v>Intel Core i5 8250U 1.6GHz</v>
      </c>
      <c r="H39" s="2" t="str">
        <f ca="1">IFERROR(__xludf.DUMMYFUNCTION("""COMPUTED_VALUE"""),"8GB")</f>
        <v>8GB</v>
      </c>
      <c r="I39" s="2" t="str">
        <f ca="1">IFERROR(__xludf.DUMMYFUNCTION("""COMPUTED_VALUE"""),"128GB SSD +  1TB HDD")</f>
        <v>128GB SSD +  1TB HDD</v>
      </c>
      <c r="J39" s="2" t="str">
        <f ca="1">IFERROR(__xludf.DUMMYFUNCTION("""COMPUTED_VALUE"""),"AMD Radeon 530")</f>
        <v>AMD Radeon 530</v>
      </c>
      <c r="K39" s="2" t="str">
        <f ca="1">IFERROR(__xludf.DUMMYFUNCTION("""COMPUTED_VALUE"""),"Windows 10")</f>
        <v>Windows 10</v>
      </c>
      <c r="L39" s="2" t="str">
        <f ca="1">IFERROR(__xludf.DUMMYFUNCTION("""COMPUTED_VALUE"""),"2.8kg")</f>
        <v>2.8kg</v>
      </c>
      <c r="M39" s="2">
        <f ca="1">IFERROR(__xludf.DUMMYFUNCTION("""COMPUTED_VALUE"""),979)</f>
        <v>979</v>
      </c>
    </row>
    <row r="40" spans="1:13">
      <c r="A40" s="2">
        <f ca="1">IFERROR(__xludf.DUMMYFUNCTION("""COMPUTED_VALUE"""),45)</f>
        <v>45</v>
      </c>
      <c r="B40" s="2" t="str">
        <f ca="1">IFERROR(__xludf.DUMMYFUNCTION("""COMPUTED_VALUE"""),"Dell")</f>
        <v>Dell</v>
      </c>
      <c r="C40" s="2" t="str">
        <f ca="1">IFERROR(__xludf.DUMMYFUNCTION("""COMPUTED_VALUE"""),"Inspiron 7773")</f>
        <v>Inspiron 7773</v>
      </c>
      <c r="D40" s="2" t="str">
        <f ca="1">IFERROR(__xludf.DUMMYFUNCTION("""COMPUTED_VALUE"""),"2 in 1 Convertible")</f>
        <v>2 in 1 Convertible</v>
      </c>
      <c r="E40" s="2">
        <f ca="1">IFERROR(__xludf.DUMMYFUNCTION("""COMPUTED_VALUE"""),17.3)</f>
        <v>17.3</v>
      </c>
      <c r="F40" s="2" t="str">
        <f ca="1">IFERROR(__xludf.DUMMYFUNCTION("""COMPUTED_VALUE"""),"Full HD / Touchscreen 1920x1080")</f>
        <v>Full HD / Touchscreen 1920x1080</v>
      </c>
      <c r="G40" s="2" t="str">
        <f ca="1">IFERROR(__xludf.DUMMYFUNCTION("""COMPUTED_VALUE"""),"Intel Core i5 8250U 1.6GHz")</f>
        <v>Intel Core i5 8250U 1.6GHz</v>
      </c>
      <c r="H40" s="2" t="str">
        <f ca="1">IFERROR(__xludf.DUMMYFUNCTION("""COMPUTED_VALUE"""),"12GB")</f>
        <v>12GB</v>
      </c>
      <c r="I40" s="2" t="str">
        <f ca="1">IFERROR(__xludf.DUMMYFUNCTION("""COMPUTED_VALUE"""),"1TB HDD")</f>
        <v>1TB HDD</v>
      </c>
      <c r="J40" s="2" t="str">
        <f ca="1">IFERROR(__xludf.DUMMYFUNCTION("""COMPUTED_VALUE"""),"Nvidia GeForce 150MX")</f>
        <v>Nvidia GeForce 150MX</v>
      </c>
      <c r="K40" s="2" t="str">
        <f ca="1">IFERROR(__xludf.DUMMYFUNCTION("""COMPUTED_VALUE"""),"Windows 10")</f>
        <v>Windows 10</v>
      </c>
      <c r="L40" s="2" t="str">
        <f ca="1">IFERROR(__xludf.DUMMYFUNCTION("""COMPUTED_VALUE"""),"2.77kg")</f>
        <v>2.77kg</v>
      </c>
      <c r="M40" s="2">
        <f ca="1">IFERROR(__xludf.DUMMYFUNCTION("""COMPUTED_VALUE"""),999)</f>
        <v>999</v>
      </c>
    </row>
    <row r="41" spans="1:13">
      <c r="A41" s="2">
        <f ca="1">IFERROR(__xludf.DUMMYFUNCTION("""COMPUTED_VALUE"""),273)</f>
        <v>273</v>
      </c>
      <c r="B41" s="2" t="str">
        <f ca="1">IFERROR(__xludf.DUMMYFUNCTION("""COMPUTED_VALUE"""),"HP")</f>
        <v>HP</v>
      </c>
      <c r="C41" s="2" t="str">
        <f ca="1">IFERROR(__xludf.DUMMYFUNCTION("""COMPUTED_VALUE"""),"Probook 470")</f>
        <v>Probook 470</v>
      </c>
      <c r="D41" s="2" t="str">
        <f ca="1">IFERROR(__xludf.DUMMYFUNCTION("""COMPUTED_VALUE"""),"Notebook")</f>
        <v>Notebook</v>
      </c>
      <c r="E41" s="2">
        <f ca="1">IFERROR(__xludf.DUMMYFUNCTION("""COMPUTED_VALUE"""),17.3)</f>
        <v>17.3</v>
      </c>
      <c r="F41" s="2" t="str">
        <f ca="1">IFERROR(__xludf.DUMMYFUNCTION("""COMPUTED_VALUE"""),"Full HD 1920x1080")</f>
        <v>Full HD 1920x1080</v>
      </c>
      <c r="G41" s="2" t="str">
        <f ca="1">IFERROR(__xludf.DUMMYFUNCTION("""COMPUTED_VALUE"""),"Intel Core i7 8550U 1.8GHz")</f>
        <v>Intel Core i7 8550U 1.8GHz</v>
      </c>
      <c r="H41" s="2" t="str">
        <f ca="1">IFERROR(__xludf.DUMMYFUNCTION("""COMPUTED_VALUE"""),"8GB")</f>
        <v>8GB</v>
      </c>
      <c r="I41" s="2" t="str">
        <f ca="1">IFERROR(__xludf.DUMMYFUNCTION("""COMPUTED_VALUE"""),"1TB HDD")</f>
        <v>1TB HDD</v>
      </c>
      <c r="J41" s="2" t="str">
        <f ca="1">IFERROR(__xludf.DUMMYFUNCTION("""COMPUTED_VALUE"""),"Nvidia GeForce 930MX ")</f>
        <v xml:space="preserve">Nvidia GeForce 930MX </v>
      </c>
      <c r="K41" s="2" t="str">
        <f ca="1">IFERROR(__xludf.DUMMYFUNCTION("""COMPUTED_VALUE"""),"Windows 10")</f>
        <v>Windows 10</v>
      </c>
      <c r="L41" s="2" t="str">
        <f ca="1">IFERROR(__xludf.DUMMYFUNCTION("""COMPUTED_VALUE"""),"2.5kg")</f>
        <v>2.5kg</v>
      </c>
      <c r="M41" s="2">
        <f ca="1">IFERROR(__xludf.DUMMYFUNCTION("""COMPUTED_VALUE"""),1018)</f>
        <v>1018</v>
      </c>
    </row>
    <row r="42" spans="1:13">
      <c r="A42" s="2">
        <f ca="1">IFERROR(__xludf.DUMMYFUNCTION("""COMPUTED_VALUE"""),396)</f>
        <v>396</v>
      </c>
      <c r="B42" s="2" t="str">
        <f ca="1">IFERROR(__xludf.DUMMYFUNCTION("""COMPUTED_VALUE"""),"Asus")</f>
        <v>Asus</v>
      </c>
      <c r="C42" s="2" t="str">
        <f ca="1">IFERROR(__xludf.DUMMYFUNCTION("""COMPUTED_VALUE"""),"Rog GL753VD-GC042T")</f>
        <v>Rog GL753VD-GC042T</v>
      </c>
      <c r="D42" s="2" t="str">
        <f ca="1">IFERROR(__xludf.DUMMYFUNCTION("""COMPUTED_VALUE"""),"Gaming")</f>
        <v>Gaming</v>
      </c>
      <c r="E42" s="2">
        <f ca="1">IFERROR(__xludf.DUMMYFUNCTION("""COMPUTED_VALUE"""),17.3)</f>
        <v>17.3</v>
      </c>
      <c r="F42" s="2" t="str">
        <f ca="1">IFERROR(__xludf.DUMMYFUNCTION("""COMPUTED_VALUE"""),"Full HD 1920x1080")</f>
        <v>Full HD 1920x1080</v>
      </c>
      <c r="G42" s="2" t="str">
        <f ca="1">IFERROR(__xludf.DUMMYFUNCTION("""COMPUTED_VALUE"""),"Intel Core i7 7700HQ 2.8GHz")</f>
        <v>Intel Core i7 7700HQ 2.8GHz</v>
      </c>
      <c r="H42" s="2" t="str">
        <f ca="1">IFERROR(__xludf.DUMMYFUNCTION("""COMPUTED_VALUE"""),"8GB")</f>
        <v>8GB</v>
      </c>
      <c r="I42" s="2" t="str">
        <f ca="1">IFERROR(__xludf.DUMMYFUNCTION("""COMPUTED_VALUE"""),"1TB HDD")</f>
        <v>1TB HDD</v>
      </c>
      <c r="J42" s="2" t="str">
        <f ca="1">IFERROR(__xludf.DUMMYFUNCTION("""COMPUTED_VALUE"""),"Nvidia GeForce GTX 1050")</f>
        <v>Nvidia GeForce GTX 1050</v>
      </c>
      <c r="K42" s="2" t="str">
        <f ca="1">IFERROR(__xludf.DUMMYFUNCTION("""COMPUTED_VALUE"""),"Windows 10")</f>
        <v>Windows 10</v>
      </c>
      <c r="L42" s="2" t="str">
        <f ca="1">IFERROR(__xludf.DUMMYFUNCTION("""COMPUTED_VALUE"""),"3kg")</f>
        <v>3kg</v>
      </c>
      <c r="M42" s="2">
        <f ca="1">IFERROR(__xludf.DUMMYFUNCTION("""COMPUTED_VALUE"""),1039)</f>
        <v>1039</v>
      </c>
    </row>
    <row r="43" spans="1:13">
      <c r="A43" s="2">
        <f ca="1">IFERROR(__xludf.DUMMYFUNCTION("""COMPUTED_VALUE"""),203)</f>
        <v>203</v>
      </c>
      <c r="B43" s="2" t="str">
        <f ca="1">IFERROR(__xludf.DUMMYFUNCTION("""COMPUTED_VALUE"""),"HP")</f>
        <v>HP</v>
      </c>
      <c r="C43" s="2" t="str">
        <f ca="1">IFERROR(__xludf.DUMMYFUNCTION("""COMPUTED_VALUE"""),"Probook 470")</f>
        <v>Probook 470</v>
      </c>
      <c r="D43" s="2" t="str">
        <f ca="1">IFERROR(__xludf.DUMMYFUNCTION("""COMPUTED_VALUE"""),"Notebook")</f>
        <v>Notebook</v>
      </c>
      <c r="E43" s="2">
        <f ca="1">IFERROR(__xludf.DUMMYFUNCTION("""COMPUTED_VALUE"""),17.3)</f>
        <v>17.3</v>
      </c>
      <c r="F43" s="2" t="str">
        <f ca="1">IFERROR(__xludf.DUMMYFUNCTION("""COMPUTED_VALUE"""),"Full HD 1920x1080")</f>
        <v>Full HD 1920x1080</v>
      </c>
      <c r="G43" s="2" t="str">
        <f ca="1">IFERROR(__xludf.DUMMYFUNCTION("""COMPUTED_VALUE"""),"Intel Core i7 8550U 1.8GHz")</f>
        <v>Intel Core i7 8550U 1.8GHz</v>
      </c>
      <c r="H43" s="2" t="str">
        <f ca="1">IFERROR(__xludf.DUMMYFUNCTION("""COMPUTED_VALUE"""),"8GB")</f>
        <v>8GB</v>
      </c>
      <c r="I43" s="2" t="str">
        <f ca="1">IFERROR(__xludf.DUMMYFUNCTION("""COMPUTED_VALUE"""),"256GB SSD")</f>
        <v>256GB SSD</v>
      </c>
      <c r="J43" s="2" t="str">
        <f ca="1">IFERROR(__xludf.DUMMYFUNCTION("""COMPUTED_VALUE"""),"Nvidia GeForce 930MX ")</f>
        <v xml:space="preserve">Nvidia GeForce 930MX </v>
      </c>
      <c r="K43" s="2" t="str">
        <f ca="1">IFERROR(__xludf.DUMMYFUNCTION("""COMPUTED_VALUE"""),"Windows 10")</f>
        <v>Windows 10</v>
      </c>
      <c r="L43" s="2" t="str">
        <f ca="1">IFERROR(__xludf.DUMMYFUNCTION("""COMPUTED_VALUE"""),"2.5kg")</f>
        <v>2.5kg</v>
      </c>
      <c r="M43" s="2">
        <f ca="1">IFERROR(__xludf.DUMMYFUNCTION("""COMPUTED_VALUE"""),1045)</f>
        <v>1045</v>
      </c>
    </row>
    <row r="44" spans="1:13">
      <c r="A44" s="2">
        <f ca="1">IFERROR(__xludf.DUMMYFUNCTION("""COMPUTED_VALUE"""),262)</f>
        <v>262</v>
      </c>
      <c r="B44" s="2" t="str">
        <f ca="1">IFERROR(__xludf.DUMMYFUNCTION("""COMPUTED_VALUE"""),"HP")</f>
        <v>HP</v>
      </c>
      <c r="C44" s="2" t="str">
        <f ca="1">IFERROR(__xludf.DUMMYFUNCTION("""COMPUTED_VALUE"""),"Envy 17-U275cl")</f>
        <v>Envy 17-U275cl</v>
      </c>
      <c r="D44" s="2" t="str">
        <f ca="1">IFERROR(__xludf.DUMMYFUNCTION("""COMPUTED_VALUE"""),"Notebook")</f>
        <v>Notebook</v>
      </c>
      <c r="E44" s="2">
        <f ca="1">IFERROR(__xludf.DUMMYFUNCTION("""COMPUTED_VALUE"""),17.3)</f>
        <v>17.3</v>
      </c>
      <c r="F44" s="2" t="str">
        <f ca="1">IFERROR(__xludf.DUMMYFUNCTION("""COMPUTED_VALUE"""),"IPS Panel Full HD 1920x1080")</f>
        <v>IPS Panel Full HD 1920x1080</v>
      </c>
      <c r="G44" s="2" t="str">
        <f ca="1">IFERROR(__xludf.DUMMYFUNCTION("""COMPUTED_VALUE"""),"Intel Core i7 8550U 1.8GHz")</f>
        <v>Intel Core i7 8550U 1.8GHz</v>
      </c>
      <c r="H44" s="2" t="str">
        <f ca="1">IFERROR(__xludf.DUMMYFUNCTION("""COMPUTED_VALUE"""),"16GB")</f>
        <v>16GB</v>
      </c>
      <c r="I44" s="2" t="str">
        <f ca="1">IFERROR(__xludf.DUMMYFUNCTION("""COMPUTED_VALUE"""),"1TB HDD")</f>
        <v>1TB HDD</v>
      </c>
      <c r="J44" s="2" t="str">
        <f ca="1">IFERROR(__xludf.DUMMYFUNCTION("""COMPUTED_VALUE"""),"Nvidia GeForce MX150")</f>
        <v>Nvidia GeForce MX150</v>
      </c>
      <c r="K44" s="2" t="str">
        <f ca="1">IFERROR(__xludf.DUMMYFUNCTION("""COMPUTED_VALUE"""),"Windows 10")</f>
        <v>Windows 10</v>
      </c>
      <c r="L44" s="2" t="str">
        <f ca="1">IFERROR(__xludf.DUMMYFUNCTION("""COMPUTED_VALUE"""),"2.9kg")</f>
        <v>2.9kg</v>
      </c>
      <c r="M44" s="2">
        <f ca="1">IFERROR(__xludf.DUMMYFUNCTION("""COMPUTED_VALUE"""),1059)</f>
        <v>1059</v>
      </c>
    </row>
    <row r="45" spans="1:13">
      <c r="A45" s="2">
        <f ca="1">IFERROR(__xludf.DUMMYFUNCTION("""COMPUTED_VALUE"""),1043)</f>
        <v>1043</v>
      </c>
      <c r="B45" s="2" t="str">
        <f ca="1">IFERROR(__xludf.DUMMYFUNCTION("""COMPUTED_VALUE"""),"HP")</f>
        <v>HP</v>
      </c>
      <c r="C45" s="2" t="str">
        <f ca="1">IFERROR(__xludf.DUMMYFUNCTION("""COMPUTED_VALUE"""),"Probook 470")</f>
        <v>Probook 470</v>
      </c>
      <c r="D45" s="2" t="str">
        <f ca="1">IFERROR(__xludf.DUMMYFUNCTION("""COMPUTED_VALUE"""),"Notebook")</f>
        <v>Notebook</v>
      </c>
      <c r="E45" s="2">
        <f ca="1">IFERROR(__xludf.DUMMYFUNCTION("""COMPUTED_VALUE"""),17.3)</f>
        <v>17.3</v>
      </c>
      <c r="F45" s="2" t="str">
        <f ca="1">IFERROR(__xludf.DUMMYFUNCTION("""COMPUTED_VALUE"""),"Full HD 1920x1080")</f>
        <v>Full HD 1920x1080</v>
      </c>
      <c r="G45" s="2" t="str">
        <f ca="1">IFERROR(__xludf.DUMMYFUNCTION("""COMPUTED_VALUE"""),"Intel Core i5 7200U 2.5GHz")</f>
        <v>Intel Core i5 7200U 2.5GHz</v>
      </c>
      <c r="H45" s="2" t="str">
        <f ca="1">IFERROR(__xludf.DUMMYFUNCTION("""COMPUTED_VALUE"""),"8GB")</f>
        <v>8GB</v>
      </c>
      <c r="I45" s="2" t="str">
        <f ca="1">IFERROR(__xludf.DUMMYFUNCTION("""COMPUTED_VALUE"""),"256GB SSD")</f>
        <v>256GB SSD</v>
      </c>
      <c r="J45" s="2" t="str">
        <f ca="1">IFERROR(__xludf.DUMMYFUNCTION("""COMPUTED_VALUE"""),"Nvidia GeForce 930MX")</f>
        <v>Nvidia GeForce 930MX</v>
      </c>
      <c r="K45" s="2" t="str">
        <f ca="1">IFERROR(__xludf.DUMMYFUNCTION("""COMPUTED_VALUE"""),"Windows 10")</f>
        <v>Windows 10</v>
      </c>
      <c r="L45" s="2" t="str">
        <f ca="1">IFERROR(__xludf.DUMMYFUNCTION("""COMPUTED_VALUE"""),"2.63kg")</f>
        <v>2.63kg</v>
      </c>
      <c r="M45" s="2">
        <f ca="1">IFERROR(__xludf.DUMMYFUNCTION("""COMPUTED_VALUE"""),1080)</f>
        <v>1080</v>
      </c>
    </row>
    <row r="46" spans="1:13">
      <c r="A46" s="2">
        <f ca="1">IFERROR(__xludf.DUMMYFUNCTION("""COMPUTED_VALUE"""),193)</f>
        <v>193</v>
      </c>
      <c r="B46" s="2" t="str">
        <f ca="1">IFERROR(__xludf.DUMMYFUNCTION("""COMPUTED_VALUE"""),"Dell")</f>
        <v>Dell</v>
      </c>
      <c r="C46" s="2" t="str">
        <f ca="1">IFERROR(__xludf.DUMMYFUNCTION("""COMPUTED_VALUE"""),"Inspiron 5770")</f>
        <v>Inspiron 5770</v>
      </c>
      <c r="D46" s="2" t="str">
        <f ca="1">IFERROR(__xludf.DUMMYFUNCTION("""COMPUTED_VALUE"""),"Notebook")</f>
        <v>Notebook</v>
      </c>
      <c r="E46" s="2">
        <f ca="1">IFERROR(__xludf.DUMMYFUNCTION("""COMPUTED_VALUE"""),17.3)</f>
        <v>17.3</v>
      </c>
      <c r="F46" s="2" t="str">
        <f ca="1">IFERROR(__xludf.DUMMYFUNCTION("""COMPUTED_VALUE"""),"Full HD 1920x1080")</f>
        <v>Full HD 1920x1080</v>
      </c>
      <c r="G46" s="2" t="str">
        <f ca="1">IFERROR(__xludf.DUMMYFUNCTION("""COMPUTED_VALUE"""),"Intel Core i7 8550U 1.8GHz")</f>
        <v>Intel Core i7 8550U 1.8GHz</v>
      </c>
      <c r="H46" s="2" t="str">
        <f ca="1">IFERROR(__xludf.DUMMYFUNCTION("""COMPUTED_VALUE"""),"8GB")</f>
        <v>8GB</v>
      </c>
      <c r="I46" s="2" t="str">
        <f ca="1">IFERROR(__xludf.DUMMYFUNCTION("""COMPUTED_VALUE"""),"128GB SSD +  1TB HDD")</f>
        <v>128GB SSD +  1TB HDD</v>
      </c>
      <c r="J46" s="2" t="str">
        <f ca="1">IFERROR(__xludf.DUMMYFUNCTION("""COMPUTED_VALUE"""),"AMD Radeon 530")</f>
        <v>AMD Radeon 530</v>
      </c>
      <c r="K46" s="2" t="str">
        <f ca="1">IFERROR(__xludf.DUMMYFUNCTION("""COMPUTED_VALUE"""),"Windows 10")</f>
        <v>Windows 10</v>
      </c>
      <c r="L46" s="2" t="str">
        <f ca="1">IFERROR(__xludf.DUMMYFUNCTION("""COMPUTED_VALUE"""),"2.8kg")</f>
        <v>2.8kg</v>
      </c>
      <c r="M46" s="2">
        <f ca="1">IFERROR(__xludf.DUMMYFUNCTION("""COMPUTED_VALUE"""),1085)</f>
        <v>1085</v>
      </c>
    </row>
    <row r="47" spans="1:13">
      <c r="A47" s="2">
        <f ca="1">IFERROR(__xludf.DUMMYFUNCTION("""COMPUTED_VALUE"""),372)</f>
        <v>372</v>
      </c>
      <c r="B47" s="2" t="str">
        <f ca="1">IFERROR(__xludf.DUMMYFUNCTION("""COMPUTED_VALUE"""),"Dell")</f>
        <v>Dell</v>
      </c>
      <c r="C47" s="2" t="str">
        <f ca="1">IFERROR(__xludf.DUMMYFUNCTION("""COMPUTED_VALUE"""),"Inspiron 5770")</f>
        <v>Inspiron 5770</v>
      </c>
      <c r="D47" s="2" t="str">
        <f ca="1">IFERROR(__xludf.DUMMYFUNCTION("""COMPUTED_VALUE"""),"Notebook")</f>
        <v>Notebook</v>
      </c>
      <c r="E47" s="2">
        <f ca="1">IFERROR(__xludf.DUMMYFUNCTION("""COMPUTED_VALUE"""),17.3)</f>
        <v>17.3</v>
      </c>
      <c r="F47" s="2" t="str">
        <f ca="1">IFERROR(__xludf.DUMMYFUNCTION("""COMPUTED_VALUE"""),"Full HD 1920x1080")</f>
        <v>Full HD 1920x1080</v>
      </c>
      <c r="G47" s="2" t="str">
        <f ca="1">IFERROR(__xludf.DUMMYFUNCTION("""COMPUTED_VALUE"""),"Intel Core i5 8250U 1.6GHz")</f>
        <v>Intel Core i5 8250U 1.6GHz</v>
      </c>
      <c r="H47" s="2" t="str">
        <f ca="1">IFERROR(__xludf.DUMMYFUNCTION("""COMPUTED_VALUE"""),"8GB")</f>
        <v>8GB</v>
      </c>
      <c r="I47" s="2" t="str">
        <f ca="1">IFERROR(__xludf.DUMMYFUNCTION("""COMPUTED_VALUE"""),"128GB SSD +  1TB HDD")</f>
        <v>128GB SSD +  1TB HDD</v>
      </c>
      <c r="J47" s="2" t="str">
        <f ca="1">IFERROR(__xludf.DUMMYFUNCTION("""COMPUTED_VALUE"""),"AMD Radeon 530")</f>
        <v>AMD Radeon 530</v>
      </c>
      <c r="K47" s="2" t="str">
        <f ca="1">IFERROR(__xludf.DUMMYFUNCTION("""COMPUTED_VALUE"""),"Windows 10")</f>
        <v>Windows 10</v>
      </c>
      <c r="L47" s="2" t="str">
        <f ca="1">IFERROR(__xludf.DUMMYFUNCTION("""COMPUTED_VALUE"""),"2.8kg")</f>
        <v>2.8kg</v>
      </c>
      <c r="M47" s="2">
        <f ca="1">IFERROR(__xludf.DUMMYFUNCTION("""COMPUTED_VALUE"""),1085)</f>
        <v>1085</v>
      </c>
    </row>
    <row r="48" spans="1:13">
      <c r="A48" s="2">
        <f ca="1">IFERROR(__xludf.DUMMYFUNCTION("""COMPUTED_VALUE"""),75)</f>
        <v>75</v>
      </c>
      <c r="B48" s="2" t="str">
        <f ca="1">IFERROR(__xludf.DUMMYFUNCTION("""COMPUTED_VALUE"""),"MSI")</f>
        <v>MSI</v>
      </c>
      <c r="C48" s="2" t="str">
        <f ca="1">IFERROR(__xludf.DUMMYFUNCTION("""COMPUTED_VALUE"""),"GL72M 7RDX")</f>
        <v>GL72M 7RDX</v>
      </c>
      <c r="D48" s="2" t="str">
        <f ca="1">IFERROR(__xludf.DUMMYFUNCTION("""COMPUTED_VALUE"""),"Gaming")</f>
        <v>Gaming</v>
      </c>
      <c r="E48" s="2">
        <f ca="1">IFERROR(__xludf.DUMMYFUNCTION("""COMPUTED_VALUE"""),17.3)</f>
        <v>17.3</v>
      </c>
      <c r="F48" s="2" t="str">
        <f ca="1">IFERROR(__xludf.DUMMYFUNCTION("""COMPUTED_VALUE"""),"Full HD 1920x1080")</f>
        <v>Full HD 1920x1080</v>
      </c>
      <c r="G48" s="2" t="str">
        <f ca="1">IFERROR(__xludf.DUMMYFUNCTION("""COMPUTED_VALUE"""),"Intel Core i5 7300HQ 2.5GHz")</f>
        <v>Intel Core i5 7300HQ 2.5GHz</v>
      </c>
      <c r="H48" s="2" t="str">
        <f ca="1">IFERROR(__xludf.DUMMYFUNCTION("""COMPUTED_VALUE"""),"8GB")</f>
        <v>8GB</v>
      </c>
      <c r="I48" s="2" t="str">
        <f ca="1">IFERROR(__xludf.DUMMYFUNCTION("""COMPUTED_VALUE"""),"128GB SSD +  1TB HDD")</f>
        <v>128GB SSD +  1TB HDD</v>
      </c>
      <c r="J48" s="2" t="str">
        <f ca="1">IFERROR(__xludf.DUMMYFUNCTION("""COMPUTED_VALUE"""),"Nvidia GeForce GTX 1050")</f>
        <v>Nvidia GeForce GTX 1050</v>
      </c>
      <c r="K48" s="2" t="str">
        <f ca="1">IFERROR(__xludf.DUMMYFUNCTION("""COMPUTED_VALUE"""),"Windows 10")</f>
        <v>Windows 10</v>
      </c>
      <c r="L48" s="2" t="str">
        <f ca="1">IFERROR(__xludf.DUMMYFUNCTION("""COMPUTED_VALUE"""),"2.7kg")</f>
        <v>2.7kg</v>
      </c>
      <c r="M48" s="2">
        <f ca="1">IFERROR(__xludf.DUMMYFUNCTION("""COMPUTED_VALUE"""),1095)</f>
        <v>1095</v>
      </c>
    </row>
    <row r="49" spans="1:13">
      <c r="A49" s="2">
        <f ca="1">IFERROR(__xludf.DUMMYFUNCTION("""COMPUTED_VALUE"""),1144)</f>
        <v>1144</v>
      </c>
      <c r="B49" s="2" t="str">
        <f ca="1">IFERROR(__xludf.DUMMYFUNCTION("""COMPUTED_VALUE"""),"HP")</f>
        <v>HP</v>
      </c>
      <c r="C49" s="2" t="str">
        <f ca="1">IFERROR(__xludf.DUMMYFUNCTION("""COMPUTED_VALUE"""),"Omen -")</f>
        <v>Omen -</v>
      </c>
      <c r="D49" s="2" t="str">
        <f ca="1">IFERROR(__xludf.DUMMYFUNCTION("""COMPUTED_VALUE"""),"Gaming")</f>
        <v>Gaming</v>
      </c>
      <c r="E49" s="2">
        <f ca="1">IFERROR(__xludf.DUMMYFUNCTION("""COMPUTED_VALUE"""),17.3)</f>
        <v>17.3</v>
      </c>
      <c r="F49" s="2" t="str">
        <f ca="1">IFERROR(__xludf.DUMMYFUNCTION("""COMPUTED_VALUE"""),"IPS Panel Full HD 1920x1080")</f>
        <v>IPS Panel Full HD 1920x1080</v>
      </c>
      <c r="G49" s="2" t="str">
        <f ca="1">IFERROR(__xludf.DUMMYFUNCTION("""COMPUTED_VALUE"""),"Intel Core i5 6300HQ 2.3GHz")</f>
        <v>Intel Core i5 6300HQ 2.3GHz</v>
      </c>
      <c r="H49" s="2" t="str">
        <f ca="1">IFERROR(__xludf.DUMMYFUNCTION("""COMPUTED_VALUE"""),"8GB")</f>
        <v>8GB</v>
      </c>
      <c r="I49" s="2" t="str">
        <f ca="1">IFERROR(__xludf.DUMMYFUNCTION("""COMPUTED_VALUE"""),"128GB SSD +  1TB HDD")</f>
        <v>128GB SSD +  1TB HDD</v>
      </c>
      <c r="J49" s="2" t="str">
        <f ca="1">IFERROR(__xludf.DUMMYFUNCTION("""COMPUTED_VALUE"""),"Nvidia GeForce GTX 1060")</f>
        <v>Nvidia GeForce GTX 1060</v>
      </c>
      <c r="K49" s="2" t="str">
        <f ca="1">IFERROR(__xludf.DUMMYFUNCTION("""COMPUTED_VALUE"""),"Windows 10")</f>
        <v>Windows 10</v>
      </c>
      <c r="L49" s="2" t="str">
        <f ca="1">IFERROR(__xludf.DUMMYFUNCTION("""COMPUTED_VALUE"""),"3.35kg")</f>
        <v>3.35kg</v>
      </c>
      <c r="M49" s="2">
        <f ca="1">IFERROR(__xludf.DUMMYFUNCTION("""COMPUTED_VALUE"""),1129)</f>
        <v>1129</v>
      </c>
    </row>
    <row r="50" spans="1:13">
      <c r="A50" s="2">
        <f ca="1">IFERROR(__xludf.DUMMYFUNCTION("""COMPUTED_VALUE"""),265)</f>
        <v>265</v>
      </c>
      <c r="B50" s="2" t="str">
        <f ca="1">IFERROR(__xludf.DUMMYFUNCTION("""COMPUTED_VALUE"""),"Dell")</f>
        <v>Dell</v>
      </c>
      <c r="C50" s="2" t="str">
        <f ca="1">IFERROR(__xludf.DUMMYFUNCTION("""COMPUTED_VALUE"""),"Inspiron 5770")</f>
        <v>Inspiron 5770</v>
      </c>
      <c r="D50" s="2" t="str">
        <f ca="1">IFERROR(__xludf.DUMMYFUNCTION("""COMPUTED_VALUE"""),"Notebook")</f>
        <v>Notebook</v>
      </c>
      <c r="E50" s="2">
        <f ca="1">IFERROR(__xludf.DUMMYFUNCTION("""COMPUTED_VALUE"""),17.3)</f>
        <v>17.3</v>
      </c>
      <c r="F50" s="2" t="str">
        <f ca="1">IFERROR(__xludf.DUMMYFUNCTION("""COMPUTED_VALUE"""),"Full HD 1920x1080")</f>
        <v>Full HD 1920x1080</v>
      </c>
      <c r="G50" s="2" t="str">
        <f ca="1">IFERROR(__xludf.DUMMYFUNCTION("""COMPUTED_VALUE"""),"Intel Core i7 8550U 1.8GHz")</f>
        <v>Intel Core i7 8550U 1.8GHz</v>
      </c>
      <c r="H50" s="2" t="str">
        <f ca="1">IFERROR(__xludf.DUMMYFUNCTION("""COMPUTED_VALUE"""),"8GB")</f>
        <v>8GB</v>
      </c>
      <c r="I50" s="2" t="str">
        <f ca="1">IFERROR(__xludf.DUMMYFUNCTION("""COMPUTED_VALUE"""),"128GB SSD +  1TB HDD")</f>
        <v>128GB SSD +  1TB HDD</v>
      </c>
      <c r="J50" s="2" t="str">
        <f ca="1">IFERROR(__xludf.DUMMYFUNCTION("""COMPUTED_VALUE"""),"AMD Radeon 530")</f>
        <v>AMD Radeon 530</v>
      </c>
      <c r="K50" s="2" t="str">
        <f ca="1">IFERROR(__xludf.DUMMYFUNCTION("""COMPUTED_VALUE"""),"Windows 10")</f>
        <v>Windows 10</v>
      </c>
      <c r="L50" s="2" t="str">
        <f ca="1">IFERROR(__xludf.DUMMYFUNCTION("""COMPUTED_VALUE"""),"2.8kg")</f>
        <v>2.8kg</v>
      </c>
      <c r="M50" s="2">
        <f ca="1">IFERROR(__xludf.DUMMYFUNCTION("""COMPUTED_VALUE"""),1142)</f>
        <v>1142</v>
      </c>
    </row>
    <row r="51" spans="1:13">
      <c r="A51" s="2">
        <f ca="1">IFERROR(__xludf.DUMMYFUNCTION("""COMPUTED_VALUE"""),246)</f>
        <v>246</v>
      </c>
      <c r="B51" s="2" t="str">
        <f ca="1">IFERROR(__xludf.DUMMYFUNCTION("""COMPUTED_VALUE"""),"Asus")</f>
        <v>Asus</v>
      </c>
      <c r="C51" s="2" t="str">
        <f ca="1">IFERROR(__xludf.DUMMYFUNCTION("""COMPUTED_VALUE"""),"VivoBook Pro")</f>
        <v>VivoBook Pro</v>
      </c>
      <c r="D51" s="2" t="str">
        <f ca="1">IFERROR(__xludf.DUMMYFUNCTION("""COMPUTED_VALUE"""),"Notebook")</f>
        <v>Notebook</v>
      </c>
      <c r="E51" s="2">
        <f ca="1">IFERROR(__xludf.DUMMYFUNCTION("""COMPUTED_VALUE"""),17.3)</f>
        <v>17.3</v>
      </c>
      <c r="F51" s="2" t="str">
        <f ca="1">IFERROR(__xludf.DUMMYFUNCTION("""COMPUTED_VALUE"""),"Full HD 1920x1080")</f>
        <v>Full HD 1920x1080</v>
      </c>
      <c r="G51" s="2" t="str">
        <f ca="1">IFERROR(__xludf.DUMMYFUNCTION("""COMPUTED_VALUE"""),"Intel Core i7 8550U 1.8GHz")</f>
        <v>Intel Core i7 8550U 1.8GHz</v>
      </c>
      <c r="H51" s="2" t="str">
        <f ca="1">IFERROR(__xludf.DUMMYFUNCTION("""COMPUTED_VALUE"""),"8GB")</f>
        <v>8GB</v>
      </c>
      <c r="I51" s="2" t="str">
        <f ca="1">IFERROR(__xludf.DUMMYFUNCTION("""COMPUTED_VALUE"""),"128GB SSD +  1TB HDD")</f>
        <v>128GB SSD +  1TB HDD</v>
      </c>
      <c r="J51" s="2" t="str">
        <f ca="1">IFERROR(__xludf.DUMMYFUNCTION("""COMPUTED_VALUE"""),"Nvidia GeForce 150MX")</f>
        <v>Nvidia GeForce 150MX</v>
      </c>
      <c r="K51" s="2" t="str">
        <f ca="1">IFERROR(__xludf.DUMMYFUNCTION("""COMPUTED_VALUE"""),"Windows 10")</f>
        <v>Windows 10</v>
      </c>
      <c r="L51" s="2" t="str">
        <f ca="1">IFERROR(__xludf.DUMMYFUNCTION("""COMPUTED_VALUE"""),"2.1kg")</f>
        <v>2.1kg</v>
      </c>
      <c r="M51" s="2">
        <f ca="1">IFERROR(__xludf.DUMMYFUNCTION("""COMPUTED_VALUE"""),1145)</f>
        <v>1145</v>
      </c>
    </row>
    <row r="52" spans="1:13">
      <c r="A52" s="2">
        <f ca="1">IFERROR(__xludf.DUMMYFUNCTION("""COMPUTED_VALUE"""),622)</f>
        <v>622</v>
      </c>
      <c r="B52" s="2" t="str">
        <f ca="1">IFERROR(__xludf.DUMMYFUNCTION("""COMPUTED_VALUE"""),"Asus")</f>
        <v>Asus</v>
      </c>
      <c r="C52" s="2" t="str">
        <f ca="1">IFERROR(__xludf.DUMMYFUNCTION("""COMPUTED_VALUE"""),"FX753VD-GC007T (i7-7700HQ/8GB/1TB")</f>
        <v>FX753VD-GC007T (i7-7700HQ/8GB/1TB</v>
      </c>
      <c r="D52" s="2" t="str">
        <f ca="1">IFERROR(__xludf.DUMMYFUNCTION("""COMPUTED_VALUE"""),"Gaming")</f>
        <v>Gaming</v>
      </c>
      <c r="E52" s="2">
        <f ca="1">IFERROR(__xludf.DUMMYFUNCTION("""COMPUTED_VALUE"""),17.3)</f>
        <v>17.3</v>
      </c>
      <c r="F52" s="2" t="str">
        <f ca="1">IFERROR(__xludf.DUMMYFUNCTION("""COMPUTED_VALUE"""),"Full HD 1920x1080")</f>
        <v>Full HD 1920x1080</v>
      </c>
      <c r="G52" s="2" t="str">
        <f ca="1">IFERROR(__xludf.DUMMYFUNCTION("""COMPUTED_VALUE"""),"Intel Core i7 7700HQ 2.8GHz")</f>
        <v>Intel Core i7 7700HQ 2.8GHz</v>
      </c>
      <c r="H52" s="2" t="str">
        <f ca="1">IFERROR(__xludf.DUMMYFUNCTION("""COMPUTED_VALUE"""),"8GB")</f>
        <v>8GB</v>
      </c>
      <c r="I52" s="2" t="str">
        <f ca="1">IFERROR(__xludf.DUMMYFUNCTION("""COMPUTED_VALUE"""),"128GB SSD +  1TB HDD")</f>
        <v>128GB SSD +  1TB HDD</v>
      </c>
      <c r="J52" s="2" t="str">
        <f ca="1">IFERROR(__xludf.DUMMYFUNCTION("""COMPUTED_VALUE"""),"Nvidia GeForce GTX 1050")</f>
        <v>Nvidia GeForce GTX 1050</v>
      </c>
      <c r="K52" s="2" t="str">
        <f ca="1">IFERROR(__xludf.DUMMYFUNCTION("""COMPUTED_VALUE"""),"Windows 10")</f>
        <v>Windows 10</v>
      </c>
      <c r="L52" s="2" t="str">
        <f ca="1">IFERROR(__xludf.DUMMYFUNCTION("""COMPUTED_VALUE"""),"3kg")</f>
        <v>3kg</v>
      </c>
      <c r="M52" s="2">
        <f ca="1">IFERROR(__xludf.DUMMYFUNCTION("""COMPUTED_VALUE"""),1168)</f>
        <v>1168</v>
      </c>
    </row>
    <row r="53" spans="1:13">
      <c r="A53" s="2">
        <f ca="1">IFERROR(__xludf.DUMMYFUNCTION("""COMPUTED_VALUE"""),296)</f>
        <v>296</v>
      </c>
      <c r="B53" s="2" t="str">
        <f ca="1">IFERROR(__xludf.DUMMYFUNCTION("""COMPUTED_VALUE"""),"Asus")</f>
        <v>Asus</v>
      </c>
      <c r="C53" s="2" t="str">
        <f ca="1">IFERROR(__xludf.DUMMYFUNCTION("""COMPUTED_VALUE"""),"FX753VD-GC071T (i7-7700HQ/8GB/1TB/GeForce")</f>
        <v>FX753VD-GC071T (i7-7700HQ/8GB/1TB/GeForce</v>
      </c>
      <c r="D53" s="2" t="str">
        <f ca="1">IFERROR(__xludf.DUMMYFUNCTION("""COMPUTED_VALUE"""),"Gaming")</f>
        <v>Gaming</v>
      </c>
      <c r="E53" s="2">
        <f ca="1">IFERROR(__xludf.DUMMYFUNCTION("""COMPUTED_VALUE"""),17.3)</f>
        <v>17.3</v>
      </c>
      <c r="F53" s="2" t="str">
        <f ca="1">IFERROR(__xludf.DUMMYFUNCTION("""COMPUTED_VALUE"""),"Full HD 1920x1080")</f>
        <v>Full HD 1920x1080</v>
      </c>
      <c r="G53" s="2" t="str">
        <f ca="1">IFERROR(__xludf.DUMMYFUNCTION("""COMPUTED_VALUE"""),"Intel Core i7 7700HQ 2.8GHz")</f>
        <v>Intel Core i7 7700HQ 2.8GHz</v>
      </c>
      <c r="H53" s="2" t="str">
        <f ca="1">IFERROR(__xludf.DUMMYFUNCTION("""COMPUTED_VALUE"""),"8GB")</f>
        <v>8GB</v>
      </c>
      <c r="I53" s="2" t="str">
        <f ca="1">IFERROR(__xludf.DUMMYFUNCTION("""COMPUTED_VALUE"""),"1TB HDD")</f>
        <v>1TB HDD</v>
      </c>
      <c r="J53" s="2" t="str">
        <f ca="1">IFERROR(__xludf.DUMMYFUNCTION("""COMPUTED_VALUE"""),"Nvidia GeForce GTX 1050")</f>
        <v>Nvidia GeForce GTX 1050</v>
      </c>
      <c r="K53" s="2" t="str">
        <f ca="1">IFERROR(__xludf.DUMMYFUNCTION("""COMPUTED_VALUE"""),"Windows 10")</f>
        <v>Windows 10</v>
      </c>
      <c r="L53" s="2" t="str">
        <f ca="1">IFERROR(__xludf.DUMMYFUNCTION("""COMPUTED_VALUE"""),"3kg")</f>
        <v>3kg</v>
      </c>
      <c r="M53" s="2">
        <f ca="1">IFERROR(__xludf.DUMMYFUNCTION("""COMPUTED_VALUE"""),1187)</f>
        <v>1187</v>
      </c>
    </row>
    <row r="54" spans="1:13">
      <c r="A54" s="2">
        <f ca="1">IFERROR(__xludf.DUMMYFUNCTION("""COMPUTED_VALUE"""),386)</f>
        <v>386</v>
      </c>
      <c r="B54" s="2" t="str">
        <f ca="1">IFERROR(__xludf.DUMMYFUNCTION("""COMPUTED_VALUE"""),"HP")</f>
        <v>HP</v>
      </c>
      <c r="C54" s="2" t="str">
        <f ca="1">IFERROR(__xludf.DUMMYFUNCTION("""COMPUTED_VALUE"""),"Omen 17-w212nv")</f>
        <v>Omen 17-w212nv</v>
      </c>
      <c r="D54" s="2" t="str">
        <f ca="1">IFERROR(__xludf.DUMMYFUNCTION("""COMPUTED_VALUE"""),"Gaming")</f>
        <v>Gaming</v>
      </c>
      <c r="E54" s="2">
        <f ca="1">IFERROR(__xludf.DUMMYFUNCTION("""COMPUTED_VALUE"""),17.3)</f>
        <v>17.3</v>
      </c>
      <c r="F54" s="2" t="str">
        <f ca="1">IFERROR(__xludf.DUMMYFUNCTION("""COMPUTED_VALUE"""),"IPS Panel Full HD 1920x1080")</f>
        <v>IPS Panel Full HD 1920x1080</v>
      </c>
      <c r="G54" s="2" t="str">
        <f ca="1">IFERROR(__xludf.DUMMYFUNCTION("""COMPUTED_VALUE"""),"Intel Core i7 7700HQ 2.8GHz")</f>
        <v>Intel Core i7 7700HQ 2.8GHz</v>
      </c>
      <c r="H54" s="2" t="str">
        <f ca="1">IFERROR(__xludf.DUMMYFUNCTION("""COMPUTED_VALUE"""),"8GB")</f>
        <v>8GB</v>
      </c>
      <c r="I54" s="2" t="str">
        <f ca="1">IFERROR(__xludf.DUMMYFUNCTION("""COMPUTED_VALUE"""),"128GB SSD +  1TB HDD")</f>
        <v>128GB SSD +  1TB HDD</v>
      </c>
      <c r="J54" s="2" t="str">
        <f ca="1">IFERROR(__xludf.DUMMYFUNCTION("""COMPUTED_VALUE"""),"Nvidia GeForce GTX 1050")</f>
        <v>Nvidia GeForce GTX 1050</v>
      </c>
      <c r="K54" s="2" t="str">
        <f ca="1">IFERROR(__xludf.DUMMYFUNCTION("""COMPUTED_VALUE"""),"Windows 10")</f>
        <v>Windows 10</v>
      </c>
      <c r="L54" s="2" t="str">
        <f ca="1">IFERROR(__xludf.DUMMYFUNCTION("""COMPUTED_VALUE"""),"3.35kg")</f>
        <v>3.35kg</v>
      </c>
      <c r="M54" s="2">
        <f ca="1">IFERROR(__xludf.DUMMYFUNCTION("""COMPUTED_VALUE"""),1191)</f>
        <v>1191</v>
      </c>
    </row>
    <row r="55" spans="1:13">
      <c r="A55" s="2">
        <f ca="1">IFERROR(__xludf.DUMMYFUNCTION("""COMPUTED_VALUE"""),1046)</f>
        <v>1046</v>
      </c>
      <c r="B55" s="2" t="str">
        <f ca="1">IFERROR(__xludf.DUMMYFUNCTION("""COMPUTED_VALUE"""),"MSI")</f>
        <v>MSI</v>
      </c>
      <c r="C55" s="2" t="str">
        <f ca="1">IFERROR(__xludf.DUMMYFUNCTION("""COMPUTED_VALUE"""),"GL72M 7RDX")</f>
        <v>GL72M 7RDX</v>
      </c>
      <c r="D55" s="2" t="str">
        <f ca="1">IFERROR(__xludf.DUMMYFUNCTION("""COMPUTED_VALUE"""),"Gaming")</f>
        <v>Gaming</v>
      </c>
      <c r="E55" s="2">
        <f ca="1">IFERROR(__xludf.DUMMYFUNCTION("""COMPUTED_VALUE"""),17.3)</f>
        <v>17.3</v>
      </c>
      <c r="F55" s="2" t="str">
        <f ca="1">IFERROR(__xludf.DUMMYFUNCTION("""COMPUTED_VALUE"""),"Full HD 1920x1080")</f>
        <v>Full HD 1920x1080</v>
      </c>
      <c r="G55" s="2" t="str">
        <f ca="1">IFERROR(__xludf.DUMMYFUNCTION("""COMPUTED_VALUE"""),"Intel Core i7 7700HQ 2.8GHz")</f>
        <v>Intel Core i7 7700HQ 2.8GHz</v>
      </c>
      <c r="H55" s="2" t="str">
        <f ca="1">IFERROR(__xludf.DUMMYFUNCTION("""COMPUTED_VALUE"""),"8GB")</f>
        <v>8GB</v>
      </c>
      <c r="I55" s="2" t="str">
        <f ca="1">IFERROR(__xludf.DUMMYFUNCTION("""COMPUTED_VALUE"""),"128GB SSD +  1TB HDD")</f>
        <v>128GB SSD +  1TB HDD</v>
      </c>
      <c r="J55" s="2" t="str">
        <f ca="1">IFERROR(__xludf.DUMMYFUNCTION("""COMPUTED_VALUE"""),"Nvidia GeForce GTX 1050")</f>
        <v>Nvidia GeForce GTX 1050</v>
      </c>
      <c r="K55" s="2" t="str">
        <f ca="1">IFERROR(__xludf.DUMMYFUNCTION("""COMPUTED_VALUE"""),"Windows 10")</f>
        <v>Windows 10</v>
      </c>
      <c r="L55" s="2" t="str">
        <f ca="1">IFERROR(__xludf.DUMMYFUNCTION("""COMPUTED_VALUE"""),"2.7kg")</f>
        <v>2.7kg</v>
      </c>
      <c r="M55" s="2">
        <f ca="1">IFERROR(__xludf.DUMMYFUNCTION("""COMPUTED_VALUE"""),1191.8)</f>
        <v>1191.8</v>
      </c>
    </row>
    <row r="56" spans="1:13">
      <c r="A56" s="2">
        <f ca="1">IFERROR(__xludf.DUMMYFUNCTION("""COMPUTED_VALUE"""),336)</f>
        <v>336</v>
      </c>
      <c r="B56" s="2" t="str">
        <f ca="1">IFERROR(__xludf.DUMMYFUNCTION("""COMPUTED_VALUE"""),"MSI")</f>
        <v>MSI</v>
      </c>
      <c r="C56" s="2" t="str">
        <f ca="1">IFERROR(__xludf.DUMMYFUNCTION("""COMPUTED_VALUE"""),"GL72M 7REX")</f>
        <v>GL72M 7REX</v>
      </c>
      <c r="D56" s="2" t="str">
        <f ca="1">IFERROR(__xludf.DUMMYFUNCTION("""COMPUTED_VALUE"""),"Gaming")</f>
        <v>Gaming</v>
      </c>
      <c r="E56" s="2">
        <f ca="1">IFERROR(__xludf.DUMMYFUNCTION("""COMPUTED_VALUE"""),17.3)</f>
        <v>17.3</v>
      </c>
      <c r="F56" s="2" t="str">
        <f ca="1">IFERROR(__xludf.DUMMYFUNCTION("""COMPUTED_VALUE"""),"Full HD 1920x1080")</f>
        <v>Full HD 1920x1080</v>
      </c>
      <c r="G56" s="2" t="str">
        <f ca="1">IFERROR(__xludf.DUMMYFUNCTION("""COMPUTED_VALUE"""),"Intel Core i7 7700HQ 2.8GHz")</f>
        <v>Intel Core i7 7700HQ 2.8GHz</v>
      </c>
      <c r="H56" s="2" t="str">
        <f ca="1">IFERROR(__xludf.DUMMYFUNCTION("""COMPUTED_VALUE"""),"8GB")</f>
        <v>8GB</v>
      </c>
      <c r="I56" s="2" t="str">
        <f ca="1">IFERROR(__xludf.DUMMYFUNCTION("""COMPUTED_VALUE"""),"256GB SSD +  1TB HDD")</f>
        <v>256GB SSD +  1TB HDD</v>
      </c>
      <c r="J56" s="2" t="str">
        <f ca="1">IFERROR(__xludf.DUMMYFUNCTION("""COMPUTED_VALUE"""),"Nvidia GeForce GTX 1050 Ti")</f>
        <v>Nvidia GeForce GTX 1050 Ti</v>
      </c>
      <c r="K56" s="2" t="str">
        <f ca="1">IFERROR(__xludf.DUMMYFUNCTION("""COMPUTED_VALUE"""),"Windows 10")</f>
        <v>Windows 10</v>
      </c>
      <c r="L56" s="2" t="str">
        <f ca="1">IFERROR(__xludf.DUMMYFUNCTION("""COMPUTED_VALUE"""),"2.7kg")</f>
        <v>2.7kg</v>
      </c>
      <c r="M56" s="2">
        <f ca="1">IFERROR(__xludf.DUMMYFUNCTION("""COMPUTED_VALUE"""),1199)</f>
        <v>1199</v>
      </c>
    </row>
    <row r="57" spans="1:13">
      <c r="A57" s="2">
        <f ca="1">IFERROR(__xludf.DUMMYFUNCTION("""COMPUTED_VALUE"""),727)</f>
        <v>727</v>
      </c>
      <c r="B57" s="2" t="str">
        <f ca="1">IFERROR(__xludf.DUMMYFUNCTION("""COMPUTED_VALUE"""),"HP")</f>
        <v>HP</v>
      </c>
      <c r="C57" s="2" t="str">
        <f ca="1">IFERROR(__xludf.DUMMYFUNCTION("""COMPUTED_VALUE"""),"ProBook 470")</f>
        <v>ProBook 470</v>
      </c>
      <c r="D57" s="2" t="str">
        <f ca="1">IFERROR(__xludf.DUMMYFUNCTION("""COMPUTED_VALUE"""),"Notebook")</f>
        <v>Notebook</v>
      </c>
      <c r="E57" s="2">
        <f ca="1">IFERROR(__xludf.DUMMYFUNCTION("""COMPUTED_VALUE"""),17.3)</f>
        <v>17.3</v>
      </c>
      <c r="F57" s="2" t="str">
        <f ca="1">IFERROR(__xludf.DUMMYFUNCTION("""COMPUTED_VALUE"""),"Full HD 1920x1080")</f>
        <v>Full HD 1920x1080</v>
      </c>
      <c r="G57" s="2" t="str">
        <f ca="1">IFERROR(__xludf.DUMMYFUNCTION("""COMPUTED_VALUE"""),"Intel Core i7 7500U 2.7GHz")</f>
        <v>Intel Core i7 7500U 2.7GHz</v>
      </c>
      <c r="H57" s="2" t="str">
        <f ca="1">IFERROR(__xludf.DUMMYFUNCTION("""COMPUTED_VALUE"""),"8GB")</f>
        <v>8GB</v>
      </c>
      <c r="I57" s="2" t="str">
        <f ca="1">IFERROR(__xludf.DUMMYFUNCTION("""COMPUTED_VALUE"""),"256GB SSD")</f>
        <v>256GB SSD</v>
      </c>
      <c r="J57" s="2" t="str">
        <f ca="1">IFERROR(__xludf.DUMMYFUNCTION("""COMPUTED_VALUE"""),"Nvidia GeForce 930MX")</f>
        <v>Nvidia GeForce 930MX</v>
      </c>
      <c r="K57" s="2" t="str">
        <f ca="1">IFERROR(__xludf.DUMMYFUNCTION("""COMPUTED_VALUE"""),"Windows 10")</f>
        <v>Windows 10</v>
      </c>
      <c r="L57" s="2" t="str">
        <f ca="1">IFERROR(__xludf.DUMMYFUNCTION("""COMPUTED_VALUE"""),"2.63kg")</f>
        <v>2.63kg</v>
      </c>
      <c r="M57" s="2">
        <f ca="1">IFERROR(__xludf.DUMMYFUNCTION("""COMPUTED_VALUE"""),1200)</f>
        <v>1200</v>
      </c>
    </row>
    <row r="58" spans="1:13">
      <c r="A58" s="2">
        <f ca="1">IFERROR(__xludf.DUMMYFUNCTION("""COMPUTED_VALUE"""),501)</f>
        <v>501</v>
      </c>
      <c r="B58" s="2" t="str">
        <f ca="1">IFERROR(__xludf.DUMMYFUNCTION("""COMPUTED_VALUE"""),"Asus")</f>
        <v>Asus</v>
      </c>
      <c r="C58" s="2" t="str">
        <f ca="1">IFERROR(__xludf.DUMMYFUNCTION("""COMPUTED_VALUE"""),"Rog G752VL-UH71T")</f>
        <v>Rog G752VL-UH71T</v>
      </c>
      <c r="D58" s="2" t="str">
        <f ca="1">IFERROR(__xludf.DUMMYFUNCTION("""COMPUTED_VALUE"""),"Gaming")</f>
        <v>Gaming</v>
      </c>
      <c r="E58" s="2">
        <f ca="1">IFERROR(__xludf.DUMMYFUNCTION("""COMPUTED_VALUE"""),17.3)</f>
        <v>17.3</v>
      </c>
      <c r="F58" s="2" t="str">
        <f ca="1">IFERROR(__xludf.DUMMYFUNCTION("""COMPUTED_VALUE"""),"IPS Panel Full HD / Touchscreen 1920x1080")</f>
        <v>IPS Panel Full HD / Touchscreen 1920x1080</v>
      </c>
      <c r="G58" s="2" t="str">
        <f ca="1">IFERROR(__xludf.DUMMYFUNCTION("""COMPUTED_VALUE"""),"Intel Core i7 6700HQ 2.6GHz")</f>
        <v>Intel Core i7 6700HQ 2.6GHz</v>
      </c>
      <c r="H58" s="2" t="str">
        <f ca="1">IFERROR(__xludf.DUMMYFUNCTION("""COMPUTED_VALUE"""),"24GB")</f>
        <v>24GB</v>
      </c>
      <c r="I58" s="2" t="str">
        <f ca="1">IFERROR(__xludf.DUMMYFUNCTION("""COMPUTED_VALUE"""),"256GB SSD +  1TB HDD")</f>
        <v>256GB SSD +  1TB HDD</v>
      </c>
      <c r="J58" s="2" t="str">
        <f ca="1">IFERROR(__xludf.DUMMYFUNCTION("""COMPUTED_VALUE"""),"Nvidia GeForce GTX 965M")</f>
        <v>Nvidia GeForce GTX 965M</v>
      </c>
      <c r="K58" s="2" t="str">
        <f ca="1">IFERROR(__xludf.DUMMYFUNCTION("""COMPUTED_VALUE"""),"Windows 10")</f>
        <v>Windows 10</v>
      </c>
      <c r="L58" s="2" t="str">
        <f ca="1">IFERROR(__xludf.DUMMYFUNCTION("""COMPUTED_VALUE"""),"4.33kg")</f>
        <v>4.33kg</v>
      </c>
      <c r="M58" s="2">
        <f ca="1">IFERROR(__xludf.DUMMYFUNCTION("""COMPUTED_VALUE"""),1269)</f>
        <v>1269</v>
      </c>
    </row>
    <row r="59" spans="1:13">
      <c r="A59" s="2">
        <f ca="1">IFERROR(__xludf.DUMMYFUNCTION("""COMPUTED_VALUE"""),126)</f>
        <v>126</v>
      </c>
      <c r="B59" s="2" t="str">
        <f ca="1">IFERROR(__xludf.DUMMYFUNCTION("""COMPUTED_VALUE"""),"HP")</f>
        <v>HP</v>
      </c>
      <c r="C59" s="2" t="str">
        <f ca="1">IFERROR(__xludf.DUMMYFUNCTION("""COMPUTED_VALUE"""),"Probook 470")</f>
        <v>Probook 470</v>
      </c>
      <c r="D59" s="2" t="str">
        <f ca="1">IFERROR(__xludf.DUMMYFUNCTION("""COMPUTED_VALUE"""),"Notebook")</f>
        <v>Notebook</v>
      </c>
      <c r="E59" s="2">
        <f ca="1">IFERROR(__xludf.DUMMYFUNCTION("""COMPUTED_VALUE"""),17.3)</f>
        <v>17.3</v>
      </c>
      <c r="F59" s="2" t="str">
        <f ca="1">IFERROR(__xludf.DUMMYFUNCTION("""COMPUTED_VALUE"""),"Full HD 1920x1080")</f>
        <v>Full HD 1920x1080</v>
      </c>
      <c r="G59" s="2" t="str">
        <f ca="1">IFERROR(__xludf.DUMMYFUNCTION("""COMPUTED_VALUE"""),"Intel Core i7 8550U 1.8GHz")</f>
        <v>Intel Core i7 8550U 1.8GHz</v>
      </c>
      <c r="H59" s="2" t="str">
        <f ca="1">IFERROR(__xludf.DUMMYFUNCTION("""COMPUTED_VALUE"""),"16GB")</f>
        <v>16GB</v>
      </c>
      <c r="I59" s="2" t="str">
        <f ca="1">IFERROR(__xludf.DUMMYFUNCTION("""COMPUTED_VALUE"""),"512GB SSD")</f>
        <v>512GB SSD</v>
      </c>
      <c r="J59" s="2" t="str">
        <f ca="1">IFERROR(__xludf.DUMMYFUNCTION("""COMPUTED_VALUE"""),"Nvidia GeForce 930MX ")</f>
        <v xml:space="preserve">Nvidia GeForce 930MX </v>
      </c>
      <c r="K59" s="2" t="str">
        <f ca="1">IFERROR(__xludf.DUMMYFUNCTION("""COMPUTED_VALUE"""),"Windows 10")</f>
        <v>Windows 10</v>
      </c>
      <c r="L59" s="2" t="str">
        <f ca="1">IFERROR(__xludf.DUMMYFUNCTION("""COMPUTED_VALUE"""),"2.5kg")</f>
        <v>2.5kg</v>
      </c>
      <c r="M59" s="2">
        <f ca="1">IFERROR(__xludf.DUMMYFUNCTION("""COMPUTED_VALUE"""),1271)</f>
        <v>1271</v>
      </c>
    </row>
    <row r="60" spans="1:13">
      <c r="A60" s="2">
        <f ca="1">IFERROR(__xludf.DUMMYFUNCTION("""COMPUTED_VALUE"""),913)</f>
        <v>913</v>
      </c>
      <c r="B60" s="2" t="str">
        <f ca="1">IFERROR(__xludf.DUMMYFUNCTION("""COMPUTED_VALUE"""),"Asus")</f>
        <v>Asus</v>
      </c>
      <c r="C60" s="2" t="str">
        <f ca="1">IFERROR(__xludf.DUMMYFUNCTION("""COMPUTED_VALUE"""),"G701VO-IH74K (i7-6820HK/32GB/2x")</f>
        <v>G701VO-IH74K (i7-6820HK/32GB/2x</v>
      </c>
      <c r="D60" s="2" t="str">
        <f ca="1">IFERROR(__xludf.DUMMYFUNCTION("""COMPUTED_VALUE"""),"Gaming")</f>
        <v>Gaming</v>
      </c>
      <c r="E60" s="2">
        <f ca="1">IFERROR(__xludf.DUMMYFUNCTION("""COMPUTED_VALUE"""),17.3)</f>
        <v>17.3</v>
      </c>
      <c r="F60" s="2" t="str">
        <f ca="1">IFERROR(__xludf.DUMMYFUNCTION("""COMPUTED_VALUE"""),"IPS Panel Full HD 1920x1080")</f>
        <v>IPS Panel Full HD 1920x1080</v>
      </c>
      <c r="G60" s="2" t="str">
        <f ca="1">IFERROR(__xludf.DUMMYFUNCTION("""COMPUTED_VALUE"""),"Intel Core i7 6820HK 2.7GHz")</f>
        <v>Intel Core i7 6820HK 2.7GHz</v>
      </c>
      <c r="H60" s="2" t="str">
        <f ca="1">IFERROR(__xludf.DUMMYFUNCTION("""COMPUTED_VALUE"""),"32GB")</f>
        <v>32GB</v>
      </c>
      <c r="I60" s="2" t="str">
        <f ca="1">IFERROR(__xludf.DUMMYFUNCTION("""COMPUTED_VALUE"""),"256GB SSD +  256GB SSD")</f>
        <v>256GB SSD +  256GB SSD</v>
      </c>
      <c r="J60" s="2" t="str">
        <f ca="1">IFERROR(__xludf.DUMMYFUNCTION("""COMPUTED_VALUE"""),"Nvidia GeForce GTX 980M")</f>
        <v>Nvidia GeForce GTX 980M</v>
      </c>
      <c r="K60" s="2" t="str">
        <f ca="1">IFERROR(__xludf.DUMMYFUNCTION("""COMPUTED_VALUE"""),"Windows 10")</f>
        <v>Windows 10</v>
      </c>
      <c r="L60" s="2" t="str">
        <f ca="1">IFERROR(__xludf.DUMMYFUNCTION("""COMPUTED_VALUE"""),"3.58kg")</f>
        <v>3.58kg</v>
      </c>
      <c r="M60" s="2">
        <f ca="1">IFERROR(__xludf.DUMMYFUNCTION("""COMPUTED_VALUE"""),1279)</f>
        <v>1279</v>
      </c>
    </row>
    <row r="61" spans="1:13">
      <c r="A61" s="2">
        <f ca="1">IFERROR(__xludf.DUMMYFUNCTION("""COMPUTED_VALUE"""),561)</f>
        <v>561</v>
      </c>
      <c r="B61" s="2" t="str">
        <f ca="1">IFERROR(__xludf.DUMMYFUNCTION("""COMPUTED_VALUE"""),"HP")</f>
        <v>HP</v>
      </c>
      <c r="C61" s="2" t="str">
        <f ca="1">IFERROR(__xludf.DUMMYFUNCTION("""COMPUTED_VALUE"""),"ProBook 470")</f>
        <v>ProBook 470</v>
      </c>
      <c r="D61" s="2" t="str">
        <f ca="1">IFERROR(__xludf.DUMMYFUNCTION("""COMPUTED_VALUE"""),"Notebook")</f>
        <v>Notebook</v>
      </c>
      <c r="E61" s="2">
        <f ca="1">IFERROR(__xludf.DUMMYFUNCTION("""COMPUTED_VALUE"""),17.3)</f>
        <v>17.3</v>
      </c>
      <c r="F61" s="2" t="str">
        <f ca="1">IFERROR(__xludf.DUMMYFUNCTION("""COMPUTED_VALUE"""),"Full HD 1920x1080")</f>
        <v>Full HD 1920x1080</v>
      </c>
      <c r="G61" s="2" t="str">
        <f ca="1">IFERROR(__xludf.DUMMYFUNCTION("""COMPUTED_VALUE"""),"Intel Core i7 7500U 2.7GHz")</f>
        <v>Intel Core i7 7500U 2.7GHz</v>
      </c>
      <c r="H61" s="2" t="str">
        <f ca="1">IFERROR(__xludf.DUMMYFUNCTION("""COMPUTED_VALUE"""),"8GB")</f>
        <v>8GB</v>
      </c>
      <c r="I61" s="2" t="str">
        <f ca="1">IFERROR(__xludf.DUMMYFUNCTION("""COMPUTED_VALUE"""),"1TB HDD")</f>
        <v>1TB HDD</v>
      </c>
      <c r="J61" s="2" t="str">
        <f ca="1">IFERROR(__xludf.DUMMYFUNCTION("""COMPUTED_VALUE"""),"Nvidia GeForce 930MX")</f>
        <v>Nvidia GeForce 930MX</v>
      </c>
      <c r="K61" s="2" t="str">
        <f ca="1">IFERROR(__xludf.DUMMYFUNCTION("""COMPUTED_VALUE"""),"Windows 10")</f>
        <v>Windows 10</v>
      </c>
      <c r="L61" s="2" t="str">
        <f ca="1">IFERROR(__xludf.DUMMYFUNCTION("""COMPUTED_VALUE"""),"2.63kg")</f>
        <v>2.63kg</v>
      </c>
      <c r="M61" s="2">
        <f ca="1">IFERROR(__xludf.DUMMYFUNCTION("""COMPUTED_VALUE"""),1280)</f>
        <v>1280</v>
      </c>
    </row>
    <row r="62" spans="1:13">
      <c r="A62" s="2">
        <f ca="1">IFERROR(__xludf.DUMMYFUNCTION("""COMPUTED_VALUE"""),48)</f>
        <v>48</v>
      </c>
      <c r="B62" s="2" t="str">
        <f ca="1">IFERROR(__xludf.DUMMYFUNCTION("""COMPUTED_VALUE"""),"Asus")</f>
        <v>Asus</v>
      </c>
      <c r="C62" s="2" t="str">
        <f ca="1">IFERROR(__xludf.DUMMYFUNCTION("""COMPUTED_VALUE"""),"Rog Strix")</f>
        <v>Rog Strix</v>
      </c>
      <c r="D62" s="2" t="str">
        <f ca="1">IFERROR(__xludf.DUMMYFUNCTION("""COMPUTED_VALUE"""),"Gaming")</f>
        <v>Gaming</v>
      </c>
      <c r="E62" s="2">
        <f ca="1">IFERROR(__xludf.DUMMYFUNCTION("""COMPUTED_VALUE"""),17.3)</f>
        <v>17.3</v>
      </c>
      <c r="F62" s="2" t="str">
        <f ca="1">IFERROR(__xludf.DUMMYFUNCTION("""COMPUTED_VALUE"""),"Full HD 1920x1080")</f>
        <v>Full HD 1920x1080</v>
      </c>
      <c r="G62" s="2" t="str">
        <f ca="1">IFERROR(__xludf.DUMMYFUNCTION("""COMPUTED_VALUE"""),"AMD Ryzen 1700 3GHz")</f>
        <v>AMD Ryzen 1700 3GHz</v>
      </c>
      <c r="H62" s="2" t="str">
        <f ca="1">IFERROR(__xludf.DUMMYFUNCTION("""COMPUTED_VALUE"""),"8GB")</f>
        <v>8GB</v>
      </c>
      <c r="I62" s="2" t="str">
        <f ca="1">IFERROR(__xludf.DUMMYFUNCTION("""COMPUTED_VALUE"""),"256GB SSD +  1TB HDD")</f>
        <v>256GB SSD +  1TB HDD</v>
      </c>
      <c r="J62" s="2" t="str">
        <f ca="1">IFERROR(__xludf.DUMMYFUNCTION("""COMPUTED_VALUE"""),"AMD Radeon RX 580")</f>
        <v>AMD Radeon RX 580</v>
      </c>
      <c r="K62" s="2" t="str">
        <f ca="1">IFERROR(__xludf.DUMMYFUNCTION("""COMPUTED_VALUE"""),"Windows 10")</f>
        <v>Windows 10</v>
      </c>
      <c r="L62" s="2" t="str">
        <f ca="1">IFERROR(__xludf.DUMMYFUNCTION("""COMPUTED_VALUE"""),"3.2kg")</f>
        <v>3.2kg</v>
      </c>
      <c r="M62" s="2">
        <f ca="1">IFERROR(__xludf.DUMMYFUNCTION("""COMPUTED_VALUE"""),1299)</f>
        <v>1299</v>
      </c>
    </row>
    <row r="63" spans="1:13">
      <c r="A63" s="2">
        <f ca="1">IFERROR(__xludf.DUMMYFUNCTION("""COMPUTED_VALUE"""),61)</f>
        <v>61</v>
      </c>
      <c r="B63" s="2" t="str">
        <f ca="1">IFERROR(__xludf.DUMMYFUNCTION("""COMPUTED_VALUE"""),"Dell")</f>
        <v>Dell</v>
      </c>
      <c r="C63" s="2" t="str">
        <f ca="1">IFERROR(__xludf.DUMMYFUNCTION("""COMPUTED_VALUE"""),"Inspiron 5770")</f>
        <v>Inspiron 5770</v>
      </c>
      <c r="D63" s="2" t="str">
        <f ca="1">IFERROR(__xludf.DUMMYFUNCTION("""COMPUTED_VALUE"""),"Notebook")</f>
        <v>Notebook</v>
      </c>
      <c r="E63" s="2">
        <f ca="1">IFERROR(__xludf.DUMMYFUNCTION("""COMPUTED_VALUE"""),17.3)</f>
        <v>17.3</v>
      </c>
      <c r="F63" s="2" t="str">
        <f ca="1">IFERROR(__xludf.DUMMYFUNCTION("""COMPUTED_VALUE"""),"Full HD 1920x1080")</f>
        <v>Full HD 1920x1080</v>
      </c>
      <c r="G63" s="2" t="str">
        <f ca="1">IFERROR(__xludf.DUMMYFUNCTION("""COMPUTED_VALUE"""),"Intel Core i7 8550U 1.8GHz")</f>
        <v>Intel Core i7 8550U 1.8GHz</v>
      </c>
      <c r="H63" s="2" t="str">
        <f ca="1">IFERROR(__xludf.DUMMYFUNCTION("""COMPUTED_VALUE"""),"16GB")</f>
        <v>16GB</v>
      </c>
      <c r="I63" s="2" t="str">
        <f ca="1">IFERROR(__xludf.DUMMYFUNCTION("""COMPUTED_VALUE"""),"256GB SSD +  2TB HDD")</f>
        <v>256GB SSD +  2TB HDD</v>
      </c>
      <c r="J63" s="2" t="str">
        <f ca="1">IFERROR(__xludf.DUMMYFUNCTION("""COMPUTED_VALUE"""),"AMD Radeon 530")</f>
        <v>AMD Radeon 530</v>
      </c>
      <c r="K63" s="2" t="str">
        <f ca="1">IFERROR(__xludf.DUMMYFUNCTION("""COMPUTED_VALUE"""),"Windows 10")</f>
        <v>Windows 10</v>
      </c>
      <c r="L63" s="2" t="str">
        <f ca="1">IFERROR(__xludf.DUMMYFUNCTION("""COMPUTED_VALUE"""),"2.8kg")</f>
        <v>2.8kg</v>
      </c>
      <c r="M63" s="2">
        <f ca="1">IFERROR(__xludf.DUMMYFUNCTION("""COMPUTED_VALUE"""),1299)</f>
        <v>1299</v>
      </c>
    </row>
    <row r="64" spans="1:13">
      <c r="A64" s="2">
        <f ca="1">IFERROR(__xludf.DUMMYFUNCTION("""COMPUTED_VALUE"""),1134)</f>
        <v>1134</v>
      </c>
      <c r="B64" s="2" t="str">
        <f ca="1">IFERROR(__xludf.DUMMYFUNCTION("""COMPUTED_VALUE"""),"Asus")</f>
        <v>Asus</v>
      </c>
      <c r="C64" s="2" t="str">
        <f ca="1">IFERROR(__xludf.DUMMYFUNCTION("""COMPUTED_VALUE"""),"Rog GL752VW-T4308T")</f>
        <v>Rog GL752VW-T4308T</v>
      </c>
      <c r="D64" s="2" t="str">
        <f ca="1">IFERROR(__xludf.DUMMYFUNCTION("""COMPUTED_VALUE"""),"Gaming")</f>
        <v>Gaming</v>
      </c>
      <c r="E64" s="2">
        <f ca="1">IFERROR(__xludf.DUMMYFUNCTION("""COMPUTED_VALUE"""),17.3)</f>
        <v>17.3</v>
      </c>
      <c r="F64" s="2" t="str">
        <f ca="1">IFERROR(__xludf.DUMMYFUNCTION("""COMPUTED_VALUE"""),"Full HD 1920x1080")</f>
        <v>Full HD 1920x1080</v>
      </c>
      <c r="G64" s="2" t="str">
        <f ca="1">IFERROR(__xludf.DUMMYFUNCTION("""COMPUTED_VALUE"""),"Intel Core i7 6700HQ 2.6GHz")</f>
        <v>Intel Core i7 6700HQ 2.6GHz</v>
      </c>
      <c r="H64" s="2" t="str">
        <f ca="1">IFERROR(__xludf.DUMMYFUNCTION("""COMPUTED_VALUE"""),"8GB")</f>
        <v>8GB</v>
      </c>
      <c r="I64" s="2" t="str">
        <f ca="1">IFERROR(__xludf.DUMMYFUNCTION("""COMPUTED_VALUE"""),"128GB SSD +  1TB HDD")</f>
        <v>128GB SSD +  1TB HDD</v>
      </c>
      <c r="J64" s="2" t="str">
        <f ca="1">IFERROR(__xludf.DUMMYFUNCTION("""COMPUTED_VALUE"""),"Nvidia GeForce GTX 960M")</f>
        <v>Nvidia GeForce GTX 960M</v>
      </c>
      <c r="K64" s="2" t="str">
        <f ca="1">IFERROR(__xludf.DUMMYFUNCTION("""COMPUTED_VALUE"""),"Windows 10")</f>
        <v>Windows 10</v>
      </c>
      <c r="L64" s="2" t="str">
        <f ca="1">IFERROR(__xludf.DUMMYFUNCTION("""COMPUTED_VALUE"""),"3.52kg")</f>
        <v>3.52kg</v>
      </c>
      <c r="M64" s="2">
        <f ca="1">IFERROR(__xludf.DUMMYFUNCTION("""COMPUTED_VALUE"""),1312.49)</f>
        <v>1312.49</v>
      </c>
    </row>
    <row r="65" spans="1:13">
      <c r="A65" s="2">
        <f ca="1">IFERROR(__xludf.DUMMYFUNCTION("""COMPUTED_VALUE"""),732)</f>
        <v>732</v>
      </c>
      <c r="B65" s="2" t="str">
        <f ca="1">IFERROR(__xludf.DUMMYFUNCTION("""COMPUTED_VALUE"""),"MSI")</f>
        <v>MSI</v>
      </c>
      <c r="C65" s="2" t="str">
        <f ca="1">IFERROR(__xludf.DUMMYFUNCTION("""COMPUTED_VALUE"""),"GL72M 7REX")</f>
        <v>GL72M 7REX</v>
      </c>
      <c r="D65" s="2" t="str">
        <f ca="1">IFERROR(__xludf.DUMMYFUNCTION("""COMPUTED_VALUE"""),"Gaming")</f>
        <v>Gaming</v>
      </c>
      <c r="E65" s="2">
        <f ca="1">IFERROR(__xludf.DUMMYFUNCTION("""COMPUTED_VALUE"""),17.3)</f>
        <v>17.3</v>
      </c>
      <c r="F65" s="2" t="str">
        <f ca="1">IFERROR(__xludf.DUMMYFUNCTION("""COMPUTED_VALUE"""),"Full HD 1920x1080")</f>
        <v>Full HD 1920x1080</v>
      </c>
      <c r="G65" s="2" t="str">
        <f ca="1">IFERROR(__xludf.DUMMYFUNCTION("""COMPUTED_VALUE"""),"Intel Core i7 7700HQ 2.8GHz")</f>
        <v>Intel Core i7 7700HQ 2.8GHz</v>
      </c>
      <c r="H65" s="2" t="str">
        <f ca="1">IFERROR(__xludf.DUMMYFUNCTION("""COMPUTED_VALUE"""),"8GB")</f>
        <v>8GB</v>
      </c>
      <c r="I65" s="2" t="str">
        <f ca="1">IFERROR(__xludf.DUMMYFUNCTION("""COMPUTED_VALUE"""),"128GB SSD +  1TB HDD")</f>
        <v>128GB SSD +  1TB HDD</v>
      </c>
      <c r="J65" s="2" t="str">
        <f ca="1">IFERROR(__xludf.DUMMYFUNCTION("""COMPUTED_VALUE"""),"Nvidia GeForce GTX 1050 Ti")</f>
        <v>Nvidia GeForce GTX 1050 Ti</v>
      </c>
      <c r="K65" s="2" t="str">
        <f ca="1">IFERROR(__xludf.DUMMYFUNCTION("""COMPUTED_VALUE"""),"Windows 10")</f>
        <v>Windows 10</v>
      </c>
      <c r="L65" s="2" t="str">
        <f ca="1">IFERROR(__xludf.DUMMYFUNCTION("""COMPUTED_VALUE"""),"2.7kg")</f>
        <v>2.7kg</v>
      </c>
      <c r="M65" s="2">
        <f ca="1">IFERROR(__xludf.DUMMYFUNCTION("""COMPUTED_VALUE"""),1348.48)</f>
        <v>1348.48</v>
      </c>
    </row>
    <row r="66" spans="1:13">
      <c r="A66" s="2">
        <f ca="1">IFERROR(__xludf.DUMMYFUNCTION("""COMPUTED_VALUE"""),400)</f>
        <v>400</v>
      </c>
      <c r="B66" s="2" t="str">
        <f ca="1">IFERROR(__xludf.DUMMYFUNCTION("""COMPUTED_VALUE"""),"MSI")</f>
        <v>MSI</v>
      </c>
      <c r="C66" s="2" t="str">
        <f ca="1">IFERROR(__xludf.DUMMYFUNCTION("""COMPUTED_VALUE"""),"Leopard GP72M")</f>
        <v>Leopard GP72M</v>
      </c>
      <c r="D66" s="2" t="str">
        <f ca="1">IFERROR(__xludf.DUMMYFUNCTION("""COMPUTED_VALUE"""),"Gaming")</f>
        <v>Gaming</v>
      </c>
      <c r="E66" s="2">
        <f ca="1">IFERROR(__xludf.DUMMYFUNCTION("""COMPUTED_VALUE"""),17.3)</f>
        <v>17.3</v>
      </c>
      <c r="F66" s="2" t="str">
        <f ca="1">IFERROR(__xludf.DUMMYFUNCTION("""COMPUTED_VALUE"""),"Full HD 1920x1080")</f>
        <v>Full HD 1920x1080</v>
      </c>
      <c r="G66" s="2" t="str">
        <f ca="1">IFERROR(__xludf.DUMMYFUNCTION("""COMPUTED_VALUE"""),"Intel Core i7 7700HQ 2.8GHz")</f>
        <v>Intel Core i7 7700HQ 2.8GHz</v>
      </c>
      <c r="H66" s="2" t="str">
        <f ca="1">IFERROR(__xludf.DUMMYFUNCTION("""COMPUTED_VALUE"""),"8GB")</f>
        <v>8GB</v>
      </c>
      <c r="I66" s="2" t="str">
        <f ca="1">IFERROR(__xludf.DUMMYFUNCTION("""COMPUTED_VALUE"""),"256GB SSD")</f>
        <v>256GB SSD</v>
      </c>
      <c r="J66" s="2" t="str">
        <f ca="1">IFERROR(__xludf.DUMMYFUNCTION("""COMPUTED_VALUE"""),"Nvidia GeForce GTX 1050 Ti")</f>
        <v>Nvidia GeForce GTX 1050 Ti</v>
      </c>
      <c r="K66" s="2" t="str">
        <f ca="1">IFERROR(__xludf.DUMMYFUNCTION("""COMPUTED_VALUE"""),"Windows 10")</f>
        <v>Windows 10</v>
      </c>
      <c r="L66" s="2" t="str">
        <f ca="1">IFERROR(__xludf.DUMMYFUNCTION("""COMPUTED_VALUE"""),"2.7kg")</f>
        <v>2.7kg</v>
      </c>
      <c r="M66" s="2">
        <f ca="1">IFERROR(__xludf.DUMMYFUNCTION("""COMPUTED_VALUE"""),1349)</f>
        <v>1349</v>
      </c>
    </row>
    <row r="67" spans="1:13">
      <c r="A67" s="2">
        <f ca="1">IFERROR(__xludf.DUMMYFUNCTION("""COMPUTED_VALUE"""),898)</f>
        <v>898</v>
      </c>
      <c r="B67" s="2" t="str">
        <f ca="1">IFERROR(__xludf.DUMMYFUNCTION("""COMPUTED_VALUE"""),"Asus")</f>
        <v>Asus</v>
      </c>
      <c r="C67" s="2" t="str">
        <f ca="1">IFERROR(__xludf.DUMMYFUNCTION("""COMPUTED_VALUE"""),"Rog GL753VD-GC082T")</f>
        <v>Rog GL753VD-GC082T</v>
      </c>
      <c r="D67" s="2" t="str">
        <f ca="1">IFERROR(__xludf.DUMMYFUNCTION("""COMPUTED_VALUE"""),"Gaming")</f>
        <v>Gaming</v>
      </c>
      <c r="E67" s="2">
        <f ca="1">IFERROR(__xludf.DUMMYFUNCTION("""COMPUTED_VALUE"""),17.3)</f>
        <v>17.3</v>
      </c>
      <c r="F67" s="2" t="str">
        <f ca="1">IFERROR(__xludf.DUMMYFUNCTION("""COMPUTED_VALUE"""),"Full HD 1920x1080")</f>
        <v>Full HD 1920x1080</v>
      </c>
      <c r="G67" s="2" t="str">
        <f ca="1">IFERROR(__xludf.DUMMYFUNCTION("""COMPUTED_VALUE"""),"Intel Core i5 7300HQ 2.5GHz")</f>
        <v>Intel Core i5 7300HQ 2.5GHz</v>
      </c>
      <c r="H67" s="2" t="str">
        <f ca="1">IFERROR(__xludf.DUMMYFUNCTION("""COMPUTED_VALUE"""),"12GB")</f>
        <v>12GB</v>
      </c>
      <c r="I67" s="2" t="str">
        <f ca="1">IFERROR(__xludf.DUMMYFUNCTION("""COMPUTED_VALUE"""),"128GB SSD +  1TB HDD")</f>
        <v>128GB SSD +  1TB HDD</v>
      </c>
      <c r="J67" s="2" t="str">
        <f ca="1">IFERROR(__xludf.DUMMYFUNCTION("""COMPUTED_VALUE"""),"Nvidia GeForce GTX 1050")</f>
        <v>Nvidia GeForce GTX 1050</v>
      </c>
      <c r="K67" s="2" t="str">
        <f ca="1">IFERROR(__xludf.DUMMYFUNCTION("""COMPUTED_VALUE"""),"Windows 10")</f>
        <v>Windows 10</v>
      </c>
      <c r="L67" s="2" t="str">
        <f ca="1">IFERROR(__xludf.DUMMYFUNCTION("""COMPUTED_VALUE"""),"2.2kg")</f>
        <v>2.2kg</v>
      </c>
      <c r="M67" s="2">
        <f ca="1">IFERROR(__xludf.DUMMYFUNCTION("""COMPUTED_VALUE"""),1369.9)</f>
        <v>1369.9</v>
      </c>
    </row>
    <row r="68" spans="1:13">
      <c r="A68" s="2">
        <f ca="1">IFERROR(__xludf.DUMMYFUNCTION("""COMPUTED_VALUE"""),202)</f>
        <v>202</v>
      </c>
      <c r="B68" s="2" t="str">
        <f ca="1">IFERROR(__xludf.DUMMYFUNCTION("""COMPUTED_VALUE"""),"HP")</f>
        <v>HP</v>
      </c>
      <c r="C68" s="2" t="str">
        <f ca="1">IFERROR(__xludf.DUMMYFUNCTION("""COMPUTED_VALUE"""),"Omen 17-W295")</f>
        <v>Omen 17-W295</v>
      </c>
      <c r="D68" s="2" t="str">
        <f ca="1">IFERROR(__xludf.DUMMYFUNCTION("""COMPUTED_VALUE"""),"Gaming")</f>
        <v>Gaming</v>
      </c>
      <c r="E68" s="2">
        <f ca="1">IFERROR(__xludf.DUMMYFUNCTION("""COMPUTED_VALUE"""),17.3)</f>
        <v>17.3</v>
      </c>
      <c r="F68" s="2" t="str">
        <f ca="1">IFERROR(__xludf.DUMMYFUNCTION("""COMPUTED_VALUE"""),"IPS Panel Full HD 1920x1080")</f>
        <v>IPS Panel Full HD 1920x1080</v>
      </c>
      <c r="G68" s="2" t="str">
        <f ca="1">IFERROR(__xludf.DUMMYFUNCTION("""COMPUTED_VALUE"""),"Intel Core i7 7700HQ 2.8GHz")</f>
        <v>Intel Core i7 7700HQ 2.8GHz</v>
      </c>
      <c r="H68" s="2" t="str">
        <f ca="1">IFERROR(__xludf.DUMMYFUNCTION("""COMPUTED_VALUE"""),"16GB")</f>
        <v>16GB</v>
      </c>
      <c r="I68" s="2" t="str">
        <f ca="1">IFERROR(__xludf.DUMMYFUNCTION("""COMPUTED_VALUE"""),"256GB SSD +  1TB HDD")</f>
        <v>256GB SSD +  1TB HDD</v>
      </c>
      <c r="J68" s="2" t="str">
        <f ca="1">IFERROR(__xludf.DUMMYFUNCTION("""COMPUTED_VALUE"""),"Nvidia GeForce GTX 1050")</f>
        <v>Nvidia GeForce GTX 1050</v>
      </c>
      <c r="K68" s="2" t="str">
        <f ca="1">IFERROR(__xludf.DUMMYFUNCTION("""COMPUTED_VALUE"""),"Windows 10")</f>
        <v>Windows 10</v>
      </c>
      <c r="L68" s="2" t="str">
        <f ca="1">IFERROR(__xludf.DUMMYFUNCTION("""COMPUTED_VALUE"""),"3.35kg")</f>
        <v>3.35kg</v>
      </c>
      <c r="M68" s="2">
        <f ca="1">IFERROR(__xludf.DUMMYFUNCTION("""COMPUTED_VALUE"""),1379)</f>
        <v>1379</v>
      </c>
    </row>
    <row r="69" spans="1:13">
      <c r="A69" s="2">
        <f ca="1">IFERROR(__xludf.DUMMYFUNCTION("""COMPUTED_VALUE"""),131)</f>
        <v>131</v>
      </c>
      <c r="B69" s="2" t="str">
        <f ca="1">IFERROR(__xludf.DUMMYFUNCTION("""COMPUTED_VALUE"""),"Dell")</f>
        <v>Dell</v>
      </c>
      <c r="C69" s="2" t="str">
        <f ca="1">IFERROR(__xludf.DUMMYFUNCTION("""COMPUTED_VALUE"""),"Inspiron 5770")</f>
        <v>Inspiron 5770</v>
      </c>
      <c r="D69" s="2" t="str">
        <f ca="1">IFERROR(__xludf.DUMMYFUNCTION("""COMPUTED_VALUE"""),"Notebook")</f>
        <v>Notebook</v>
      </c>
      <c r="E69" s="2">
        <f ca="1">IFERROR(__xludf.DUMMYFUNCTION("""COMPUTED_VALUE"""),17.3)</f>
        <v>17.3</v>
      </c>
      <c r="F69" s="2" t="str">
        <f ca="1">IFERROR(__xludf.DUMMYFUNCTION("""COMPUTED_VALUE"""),"Full HD 1920x1080")</f>
        <v>Full HD 1920x1080</v>
      </c>
      <c r="G69" s="2" t="str">
        <f ca="1">IFERROR(__xludf.DUMMYFUNCTION("""COMPUTED_VALUE"""),"Intel Core i7 8550U 1.8GHz")</f>
        <v>Intel Core i7 8550U 1.8GHz</v>
      </c>
      <c r="H69" s="2" t="str">
        <f ca="1">IFERROR(__xludf.DUMMYFUNCTION("""COMPUTED_VALUE"""),"16GB")</f>
        <v>16GB</v>
      </c>
      <c r="I69" s="2" t="str">
        <f ca="1">IFERROR(__xludf.DUMMYFUNCTION("""COMPUTED_VALUE"""),"256GB SSD +  2TB HDD")</f>
        <v>256GB SSD +  2TB HDD</v>
      </c>
      <c r="J69" s="2" t="str">
        <f ca="1">IFERROR(__xludf.DUMMYFUNCTION("""COMPUTED_VALUE"""),"AMD Radeon 530")</f>
        <v>AMD Radeon 530</v>
      </c>
      <c r="K69" s="2" t="str">
        <f ca="1">IFERROR(__xludf.DUMMYFUNCTION("""COMPUTED_VALUE"""),"Windows 10")</f>
        <v>Windows 10</v>
      </c>
      <c r="L69" s="2" t="str">
        <f ca="1">IFERROR(__xludf.DUMMYFUNCTION("""COMPUTED_VALUE"""),"2.8kg")</f>
        <v>2.8kg</v>
      </c>
      <c r="M69" s="2">
        <f ca="1">IFERROR(__xludf.DUMMYFUNCTION("""COMPUTED_VALUE"""),1396)</f>
        <v>1396</v>
      </c>
    </row>
    <row r="70" spans="1:13">
      <c r="A70" s="2">
        <f ca="1">IFERROR(__xludf.DUMMYFUNCTION("""COMPUTED_VALUE"""),954)</f>
        <v>954</v>
      </c>
      <c r="B70" s="2" t="str">
        <f ca="1">IFERROR(__xludf.DUMMYFUNCTION("""COMPUTED_VALUE"""),"HP")</f>
        <v>HP</v>
      </c>
      <c r="C70" s="2" t="str">
        <f ca="1">IFERROR(__xludf.DUMMYFUNCTION("""COMPUTED_VALUE"""),"Omen 17-W006na")</f>
        <v>Omen 17-W006na</v>
      </c>
      <c r="D70" s="2" t="str">
        <f ca="1">IFERROR(__xludf.DUMMYFUNCTION("""COMPUTED_VALUE"""),"Gaming")</f>
        <v>Gaming</v>
      </c>
      <c r="E70" s="2">
        <f ca="1">IFERROR(__xludf.DUMMYFUNCTION("""COMPUTED_VALUE"""),17.3)</f>
        <v>17.3</v>
      </c>
      <c r="F70" s="2" t="str">
        <f ca="1">IFERROR(__xludf.DUMMYFUNCTION("""COMPUTED_VALUE"""),"IPS Panel Full HD 1920x1080")</f>
        <v>IPS Panel Full HD 1920x1080</v>
      </c>
      <c r="G70" s="2" t="str">
        <f ca="1">IFERROR(__xludf.DUMMYFUNCTION("""COMPUTED_VALUE"""),"Intel Core i5 6300HQ 2.3GHz")</f>
        <v>Intel Core i5 6300HQ 2.3GHz</v>
      </c>
      <c r="H70" s="2" t="str">
        <f ca="1">IFERROR(__xludf.DUMMYFUNCTION("""COMPUTED_VALUE"""),"8GB")</f>
        <v>8GB</v>
      </c>
      <c r="I70" s="2" t="str">
        <f ca="1">IFERROR(__xludf.DUMMYFUNCTION("""COMPUTED_VALUE"""),"128GB SSD +  1TB HDD")</f>
        <v>128GB SSD +  1TB HDD</v>
      </c>
      <c r="J70" s="2" t="str">
        <f ca="1">IFERROR(__xludf.DUMMYFUNCTION("""COMPUTED_VALUE"""),"Nvidia GeForce GTX 965M")</f>
        <v>Nvidia GeForce GTX 965M</v>
      </c>
      <c r="K70" s="2" t="str">
        <f ca="1">IFERROR(__xludf.DUMMYFUNCTION("""COMPUTED_VALUE"""),"Windows 10")</f>
        <v>Windows 10</v>
      </c>
      <c r="L70" s="2" t="str">
        <f ca="1">IFERROR(__xludf.DUMMYFUNCTION("""COMPUTED_VALUE"""),"2.75kg")</f>
        <v>2.75kg</v>
      </c>
      <c r="M70" s="2">
        <f ca="1">IFERROR(__xludf.DUMMYFUNCTION("""COMPUTED_VALUE"""),1399)</f>
        <v>1399</v>
      </c>
    </row>
    <row r="71" spans="1:13">
      <c r="A71" s="2">
        <f ca="1">IFERROR(__xludf.DUMMYFUNCTION("""COMPUTED_VALUE"""),216)</f>
        <v>216</v>
      </c>
      <c r="B71" s="2" t="str">
        <f ca="1">IFERROR(__xludf.DUMMYFUNCTION("""COMPUTED_VALUE"""),"Asus")</f>
        <v>Asus</v>
      </c>
      <c r="C71" s="2" t="str">
        <f ca="1">IFERROR(__xludf.DUMMYFUNCTION("""COMPUTED_VALUE"""),"ROG GL703VD-GC028T")</f>
        <v>ROG GL703VD-GC028T</v>
      </c>
      <c r="D71" s="2" t="str">
        <f ca="1">IFERROR(__xludf.DUMMYFUNCTION("""COMPUTED_VALUE"""),"Gaming")</f>
        <v>Gaming</v>
      </c>
      <c r="E71" s="2">
        <f ca="1">IFERROR(__xludf.DUMMYFUNCTION("""COMPUTED_VALUE"""),17.3)</f>
        <v>17.3</v>
      </c>
      <c r="F71" s="2" t="str">
        <f ca="1">IFERROR(__xludf.DUMMYFUNCTION("""COMPUTED_VALUE"""),"Full HD 1920x1080")</f>
        <v>Full HD 1920x1080</v>
      </c>
      <c r="G71" s="2" t="str">
        <f ca="1">IFERROR(__xludf.DUMMYFUNCTION("""COMPUTED_VALUE"""),"Intel Core i7 7700HQ 2.8GHz")</f>
        <v>Intel Core i7 7700HQ 2.8GHz</v>
      </c>
      <c r="H71" s="2" t="str">
        <f ca="1">IFERROR(__xludf.DUMMYFUNCTION("""COMPUTED_VALUE"""),"16GB")</f>
        <v>16GB</v>
      </c>
      <c r="I71" s="2" t="str">
        <f ca="1">IFERROR(__xludf.DUMMYFUNCTION("""COMPUTED_VALUE"""),"256GB SSD +  1TB HDD")</f>
        <v>256GB SSD +  1TB HDD</v>
      </c>
      <c r="J71" s="2" t="str">
        <f ca="1">IFERROR(__xludf.DUMMYFUNCTION("""COMPUTED_VALUE"""),"Nvidia GeForce GTX 1050")</f>
        <v>Nvidia GeForce GTX 1050</v>
      </c>
      <c r="K71" s="2" t="str">
        <f ca="1">IFERROR(__xludf.DUMMYFUNCTION("""COMPUTED_VALUE"""),"Windows 10")</f>
        <v>Windows 10</v>
      </c>
      <c r="L71" s="2" t="str">
        <f ca="1">IFERROR(__xludf.DUMMYFUNCTION("""COMPUTED_VALUE"""),"2.9kg")</f>
        <v>2.9kg</v>
      </c>
      <c r="M71" s="2">
        <f ca="1">IFERROR(__xludf.DUMMYFUNCTION("""COMPUTED_VALUE"""),1407)</f>
        <v>1407</v>
      </c>
    </row>
    <row r="72" spans="1:13">
      <c r="A72" s="2">
        <f ca="1">IFERROR(__xludf.DUMMYFUNCTION("""COMPUTED_VALUE"""),358)</f>
        <v>358</v>
      </c>
      <c r="B72" s="2" t="str">
        <f ca="1">IFERROR(__xludf.DUMMYFUNCTION("""COMPUTED_VALUE"""),"MSI")</f>
        <v>MSI</v>
      </c>
      <c r="C72" s="2" t="str">
        <f ca="1">IFERROR(__xludf.DUMMYFUNCTION("""COMPUTED_VALUE"""),"GP72MVR 7RFX")</f>
        <v>GP72MVR 7RFX</v>
      </c>
      <c r="D72" s="2" t="str">
        <f ca="1">IFERROR(__xludf.DUMMYFUNCTION("""COMPUTED_VALUE"""),"Gaming")</f>
        <v>Gaming</v>
      </c>
      <c r="E72" s="2">
        <f ca="1">IFERROR(__xludf.DUMMYFUNCTION("""COMPUTED_VALUE"""),17.3)</f>
        <v>17.3</v>
      </c>
      <c r="F72" s="2" t="str">
        <f ca="1">IFERROR(__xludf.DUMMYFUNCTION("""COMPUTED_VALUE"""),"Full HD 1920x1080")</f>
        <v>Full HD 1920x1080</v>
      </c>
      <c r="G72" s="2" t="str">
        <f ca="1">IFERROR(__xludf.DUMMYFUNCTION("""COMPUTED_VALUE"""),"Intel Core i7 7700HQ 2.8GHz")</f>
        <v>Intel Core i7 7700HQ 2.8GHz</v>
      </c>
      <c r="H72" s="2" t="str">
        <f ca="1">IFERROR(__xludf.DUMMYFUNCTION("""COMPUTED_VALUE"""),"8GB")</f>
        <v>8GB</v>
      </c>
      <c r="I72" s="2" t="str">
        <f ca="1">IFERROR(__xludf.DUMMYFUNCTION("""COMPUTED_VALUE"""),"128GB SSD +  1TB HDD")</f>
        <v>128GB SSD +  1TB HDD</v>
      </c>
      <c r="J72" s="2" t="str">
        <f ca="1">IFERROR(__xludf.DUMMYFUNCTION("""COMPUTED_VALUE"""),"Nvidia GeForce GTX 1060")</f>
        <v>Nvidia GeForce GTX 1060</v>
      </c>
      <c r="K72" s="2" t="str">
        <f ca="1">IFERROR(__xludf.DUMMYFUNCTION("""COMPUTED_VALUE"""),"Windows 10")</f>
        <v>Windows 10</v>
      </c>
      <c r="L72" s="2" t="str">
        <f ca="1">IFERROR(__xludf.DUMMYFUNCTION("""COMPUTED_VALUE"""),"2.7kg")</f>
        <v>2.7kg</v>
      </c>
      <c r="M72" s="2">
        <f ca="1">IFERROR(__xludf.DUMMYFUNCTION("""COMPUTED_VALUE"""),1409)</f>
        <v>1409</v>
      </c>
    </row>
    <row r="73" spans="1:13">
      <c r="A73" s="2">
        <f ca="1">IFERROR(__xludf.DUMMYFUNCTION("""COMPUTED_VALUE"""),672)</f>
        <v>672</v>
      </c>
      <c r="B73" s="2" t="str">
        <f ca="1">IFERROR(__xludf.DUMMYFUNCTION("""COMPUTED_VALUE"""),"MSI")</f>
        <v>MSI</v>
      </c>
      <c r="C73" s="2" t="str">
        <f ca="1">IFERROR(__xludf.DUMMYFUNCTION("""COMPUTED_VALUE"""),"GP72VR Leopard")</f>
        <v>GP72VR Leopard</v>
      </c>
      <c r="D73" s="2" t="str">
        <f ca="1">IFERROR(__xludf.DUMMYFUNCTION("""COMPUTED_VALUE"""),"Gaming")</f>
        <v>Gaming</v>
      </c>
      <c r="E73" s="2">
        <f ca="1">IFERROR(__xludf.DUMMYFUNCTION("""COMPUTED_VALUE"""),17.3)</f>
        <v>17.3</v>
      </c>
      <c r="F73" s="2" t="str">
        <f ca="1">IFERROR(__xludf.DUMMYFUNCTION("""COMPUTED_VALUE"""),"Full HD 1920x1080")</f>
        <v>Full HD 1920x1080</v>
      </c>
      <c r="G73" s="2" t="str">
        <f ca="1">IFERROR(__xludf.DUMMYFUNCTION("""COMPUTED_VALUE"""),"Intel Core i7 7700HQ 2.8GHz")</f>
        <v>Intel Core i7 7700HQ 2.8GHz</v>
      </c>
      <c r="H73" s="2" t="str">
        <f ca="1">IFERROR(__xludf.DUMMYFUNCTION("""COMPUTED_VALUE"""),"8GB")</f>
        <v>8GB</v>
      </c>
      <c r="I73" s="2" t="str">
        <f ca="1">IFERROR(__xludf.DUMMYFUNCTION("""COMPUTED_VALUE"""),"128GB SSD +  1TB HDD")</f>
        <v>128GB SSD +  1TB HDD</v>
      </c>
      <c r="J73" s="2" t="str">
        <f ca="1">IFERROR(__xludf.DUMMYFUNCTION("""COMPUTED_VALUE"""),"Nvidia GeForce GTX 1060")</f>
        <v>Nvidia GeForce GTX 1060</v>
      </c>
      <c r="K73" s="2" t="str">
        <f ca="1">IFERROR(__xludf.DUMMYFUNCTION("""COMPUTED_VALUE"""),"Windows 10")</f>
        <v>Windows 10</v>
      </c>
      <c r="L73" s="2" t="str">
        <f ca="1">IFERROR(__xludf.DUMMYFUNCTION("""COMPUTED_VALUE"""),"2.7kg")</f>
        <v>2.7kg</v>
      </c>
      <c r="M73" s="2">
        <f ca="1">IFERROR(__xludf.DUMMYFUNCTION("""COMPUTED_VALUE"""),1486.77)</f>
        <v>1486.77</v>
      </c>
    </row>
    <row r="74" spans="1:13">
      <c r="A74" s="2">
        <f ca="1">IFERROR(__xludf.DUMMYFUNCTION("""COMPUTED_VALUE"""),1174)</f>
        <v>1174</v>
      </c>
      <c r="B74" s="2" t="str">
        <f ca="1">IFERROR(__xludf.DUMMYFUNCTION("""COMPUTED_VALUE"""),"MSI")</f>
        <v>MSI</v>
      </c>
      <c r="C74" s="2" t="str">
        <f ca="1">IFERROR(__xludf.DUMMYFUNCTION("""COMPUTED_VALUE"""),"GP72M 7REX")</f>
        <v>GP72M 7REX</v>
      </c>
      <c r="D74" s="2" t="str">
        <f ca="1">IFERROR(__xludf.DUMMYFUNCTION("""COMPUTED_VALUE"""),"Gaming")</f>
        <v>Gaming</v>
      </c>
      <c r="E74" s="2">
        <f ca="1">IFERROR(__xludf.DUMMYFUNCTION("""COMPUTED_VALUE"""),17.3)</f>
        <v>17.3</v>
      </c>
      <c r="F74" s="2" t="str">
        <f ca="1">IFERROR(__xludf.DUMMYFUNCTION("""COMPUTED_VALUE"""),"Full HD 1920x1080")</f>
        <v>Full HD 1920x1080</v>
      </c>
      <c r="G74" s="2" t="str">
        <f ca="1">IFERROR(__xludf.DUMMYFUNCTION("""COMPUTED_VALUE"""),"Intel Core i7 7700HQ 2.8GHz")</f>
        <v>Intel Core i7 7700HQ 2.8GHz</v>
      </c>
      <c r="H74" s="2" t="str">
        <f ca="1">IFERROR(__xludf.DUMMYFUNCTION("""COMPUTED_VALUE"""),"16GB")</f>
        <v>16GB</v>
      </c>
      <c r="I74" s="2" t="str">
        <f ca="1">IFERROR(__xludf.DUMMYFUNCTION("""COMPUTED_VALUE"""),"256GB SSD +  1TB HDD")</f>
        <v>256GB SSD +  1TB HDD</v>
      </c>
      <c r="J74" s="2" t="str">
        <f ca="1">IFERROR(__xludf.DUMMYFUNCTION("""COMPUTED_VALUE"""),"Nvidia GeForce GTX 1050 Ti")</f>
        <v>Nvidia GeForce GTX 1050 Ti</v>
      </c>
      <c r="K74" s="2" t="str">
        <f ca="1">IFERROR(__xludf.DUMMYFUNCTION("""COMPUTED_VALUE"""),"Windows 10")</f>
        <v>Windows 10</v>
      </c>
      <c r="L74" s="2" t="str">
        <f ca="1">IFERROR(__xludf.DUMMYFUNCTION("""COMPUTED_VALUE"""),"2.7kg")</f>
        <v>2.7kg</v>
      </c>
      <c r="M74" s="2">
        <f ca="1">IFERROR(__xludf.DUMMYFUNCTION("""COMPUTED_VALUE"""),1492.8)</f>
        <v>1492.8</v>
      </c>
    </row>
    <row r="75" spans="1:13">
      <c r="A75" s="2">
        <f ca="1">IFERROR(__xludf.DUMMYFUNCTION("""COMPUTED_VALUE"""),593)</f>
        <v>593</v>
      </c>
      <c r="B75" s="2" t="str">
        <f ca="1">IFERROR(__xludf.DUMMYFUNCTION("""COMPUTED_VALUE"""),"HP")</f>
        <v>HP</v>
      </c>
      <c r="C75" s="2" t="str">
        <f ca="1">IFERROR(__xludf.DUMMYFUNCTION("""COMPUTED_VALUE"""),"Omen 17-AN010nv")</f>
        <v>Omen 17-AN010nv</v>
      </c>
      <c r="D75" s="2" t="str">
        <f ca="1">IFERROR(__xludf.DUMMYFUNCTION("""COMPUTED_VALUE"""),"Gaming")</f>
        <v>Gaming</v>
      </c>
      <c r="E75" s="2">
        <f ca="1">IFERROR(__xludf.DUMMYFUNCTION("""COMPUTED_VALUE"""),17.3)</f>
        <v>17.3</v>
      </c>
      <c r="F75" s="2" t="str">
        <f ca="1">IFERROR(__xludf.DUMMYFUNCTION("""COMPUTED_VALUE"""),"IPS Panel Full HD 1920x1080")</f>
        <v>IPS Panel Full HD 1920x1080</v>
      </c>
      <c r="G75" s="2" t="str">
        <f ca="1">IFERROR(__xludf.DUMMYFUNCTION("""COMPUTED_VALUE"""),"Intel Core i7 7700HQ 2.8GHz")</f>
        <v>Intel Core i7 7700HQ 2.8GHz</v>
      </c>
      <c r="H75" s="2" t="str">
        <f ca="1">IFERROR(__xludf.DUMMYFUNCTION("""COMPUTED_VALUE"""),"16GB")</f>
        <v>16GB</v>
      </c>
      <c r="I75" s="2" t="str">
        <f ca="1">IFERROR(__xludf.DUMMYFUNCTION("""COMPUTED_VALUE"""),"256GB SSD +  1TB HDD")</f>
        <v>256GB SSD +  1TB HDD</v>
      </c>
      <c r="J75" s="2" t="str">
        <f ca="1">IFERROR(__xludf.DUMMYFUNCTION("""COMPUTED_VALUE"""),"Nvidia GeForce GTX 1050")</f>
        <v>Nvidia GeForce GTX 1050</v>
      </c>
      <c r="K75" s="2" t="str">
        <f ca="1">IFERROR(__xludf.DUMMYFUNCTION("""COMPUTED_VALUE"""),"Windows 10")</f>
        <v>Windows 10</v>
      </c>
      <c r="L75" s="2" t="str">
        <f ca="1">IFERROR(__xludf.DUMMYFUNCTION("""COMPUTED_VALUE"""),"3.78kg")</f>
        <v>3.78kg</v>
      </c>
      <c r="M75" s="2">
        <f ca="1">IFERROR(__xludf.DUMMYFUNCTION("""COMPUTED_VALUE"""),1498)</f>
        <v>1498</v>
      </c>
    </row>
    <row r="76" spans="1:13">
      <c r="A76" s="2">
        <f ca="1">IFERROR(__xludf.DUMMYFUNCTION("""COMPUTED_VALUE"""),526)</f>
        <v>526</v>
      </c>
      <c r="B76" s="2" t="str">
        <f ca="1">IFERROR(__xludf.DUMMYFUNCTION("""COMPUTED_VALUE"""),"Asus")</f>
        <v>Asus</v>
      </c>
      <c r="C76" s="2" t="str">
        <f ca="1">IFERROR(__xludf.DUMMYFUNCTION("""COMPUTED_VALUE"""),"FX753VE-GC155T (i7-7700HQ/16GB/1TB")</f>
        <v>FX753VE-GC155T (i7-7700HQ/16GB/1TB</v>
      </c>
      <c r="D76" s="2" t="str">
        <f ca="1">IFERROR(__xludf.DUMMYFUNCTION("""COMPUTED_VALUE"""),"Gaming")</f>
        <v>Gaming</v>
      </c>
      <c r="E76" s="2">
        <f ca="1">IFERROR(__xludf.DUMMYFUNCTION("""COMPUTED_VALUE"""),17.3)</f>
        <v>17.3</v>
      </c>
      <c r="F76" s="2" t="str">
        <f ca="1">IFERROR(__xludf.DUMMYFUNCTION("""COMPUTED_VALUE"""),"Full HD 1920x1080")</f>
        <v>Full HD 1920x1080</v>
      </c>
      <c r="G76" s="2" t="str">
        <f ca="1">IFERROR(__xludf.DUMMYFUNCTION("""COMPUTED_VALUE"""),"Intel Core i7 7700HQ 2.8GHz")</f>
        <v>Intel Core i7 7700HQ 2.8GHz</v>
      </c>
      <c r="H76" s="2" t="str">
        <f ca="1">IFERROR(__xludf.DUMMYFUNCTION("""COMPUTED_VALUE"""),"16GB")</f>
        <v>16GB</v>
      </c>
      <c r="I76" s="2" t="str">
        <f ca="1">IFERROR(__xludf.DUMMYFUNCTION("""COMPUTED_VALUE"""),"256GB SSD +  1TB HDD")</f>
        <v>256GB SSD +  1TB HDD</v>
      </c>
      <c r="J76" s="2" t="str">
        <f ca="1">IFERROR(__xludf.DUMMYFUNCTION("""COMPUTED_VALUE"""),"Nvidia GeForce GTX1050 Ti")</f>
        <v>Nvidia GeForce GTX1050 Ti</v>
      </c>
      <c r="K76" s="2" t="str">
        <f ca="1">IFERROR(__xludf.DUMMYFUNCTION("""COMPUTED_VALUE"""),"Windows 10")</f>
        <v>Windows 10</v>
      </c>
      <c r="L76" s="2" t="str">
        <f ca="1">IFERROR(__xludf.DUMMYFUNCTION("""COMPUTED_VALUE"""),"3kg")</f>
        <v>3kg</v>
      </c>
      <c r="M76" s="2">
        <f ca="1">IFERROR(__xludf.DUMMYFUNCTION("""COMPUTED_VALUE"""),1504)</f>
        <v>1504</v>
      </c>
    </row>
    <row r="77" spans="1:13">
      <c r="A77" s="2">
        <f ca="1">IFERROR(__xludf.DUMMYFUNCTION("""COMPUTED_VALUE"""),1121)</f>
        <v>1121</v>
      </c>
      <c r="B77" s="2" t="str">
        <f ca="1">IFERROR(__xludf.DUMMYFUNCTION("""COMPUTED_VALUE"""),"MSI")</f>
        <v>MSI</v>
      </c>
      <c r="C77" s="2" t="str">
        <f ca="1">IFERROR(__xludf.DUMMYFUNCTION("""COMPUTED_VALUE"""),"GE72 Apache")</f>
        <v>GE72 Apache</v>
      </c>
      <c r="D77" s="2" t="str">
        <f ca="1">IFERROR(__xludf.DUMMYFUNCTION("""COMPUTED_VALUE"""),"Gaming")</f>
        <v>Gaming</v>
      </c>
      <c r="E77" s="2">
        <f ca="1">IFERROR(__xludf.DUMMYFUNCTION("""COMPUTED_VALUE"""),17.3)</f>
        <v>17.3</v>
      </c>
      <c r="F77" s="2" t="str">
        <f ca="1">IFERROR(__xludf.DUMMYFUNCTION("""COMPUTED_VALUE"""),"Full HD 1920x1080")</f>
        <v>Full HD 1920x1080</v>
      </c>
      <c r="G77" s="2" t="str">
        <f ca="1">IFERROR(__xludf.DUMMYFUNCTION("""COMPUTED_VALUE"""),"Intel Core i7 6700HQ 2.6GHz")</f>
        <v>Intel Core i7 6700HQ 2.6GHz</v>
      </c>
      <c r="H77" s="2" t="str">
        <f ca="1">IFERROR(__xludf.DUMMYFUNCTION("""COMPUTED_VALUE"""),"8GB")</f>
        <v>8GB</v>
      </c>
      <c r="I77" s="2" t="str">
        <f ca="1">IFERROR(__xludf.DUMMYFUNCTION("""COMPUTED_VALUE"""),"128GB SSD +  1TB HDD")</f>
        <v>128GB SSD +  1TB HDD</v>
      </c>
      <c r="J77" s="2" t="str">
        <f ca="1">IFERROR(__xludf.DUMMYFUNCTION("""COMPUTED_VALUE"""),"Nvidia GeForce GTX 960M")</f>
        <v>Nvidia GeForce GTX 960M</v>
      </c>
      <c r="K77" s="2" t="str">
        <f ca="1">IFERROR(__xludf.DUMMYFUNCTION("""COMPUTED_VALUE"""),"Windows 10")</f>
        <v>Windows 10</v>
      </c>
      <c r="L77" s="2" t="str">
        <f ca="1">IFERROR(__xludf.DUMMYFUNCTION("""COMPUTED_VALUE"""),"2.9kg")</f>
        <v>2.9kg</v>
      </c>
      <c r="M77" s="2">
        <f ca="1">IFERROR(__xludf.DUMMYFUNCTION("""COMPUTED_VALUE"""),1511.19)</f>
        <v>1511.19</v>
      </c>
    </row>
    <row r="78" spans="1:13">
      <c r="A78" s="2">
        <f ca="1">IFERROR(__xludf.DUMMYFUNCTION("""COMPUTED_VALUE"""),408)</f>
        <v>408</v>
      </c>
      <c r="B78" s="2" t="str">
        <f ca="1">IFERROR(__xludf.DUMMYFUNCTION("""COMPUTED_VALUE"""),"Asus")</f>
        <v>Asus</v>
      </c>
      <c r="C78" s="2" t="str">
        <f ca="1">IFERROR(__xludf.DUMMYFUNCTION("""COMPUTED_VALUE"""),"FX753VD-GC461T (i7-7700HQ/16GB/1TB")</f>
        <v>FX753VD-GC461T (i7-7700HQ/16GB/1TB</v>
      </c>
      <c r="D78" s="2" t="str">
        <f ca="1">IFERROR(__xludf.DUMMYFUNCTION("""COMPUTED_VALUE"""),"Gaming")</f>
        <v>Gaming</v>
      </c>
      <c r="E78" s="2">
        <f ca="1">IFERROR(__xludf.DUMMYFUNCTION("""COMPUTED_VALUE"""),17.3)</f>
        <v>17.3</v>
      </c>
      <c r="F78" s="2" t="str">
        <f ca="1">IFERROR(__xludf.DUMMYFUNCTION("""COMPUTED_VALUE"""),"Full HD 1920x1080")</f>
        <v>Full HD 1920x1080</v>
      </c>
      <c r="G78" s="2" t="str">
        <f ca="1">IFERROR(__xludf.DUMMYFUNCTION("""COMPUTED_VALUE"""),"Intel Core i7 7700HQ 2.8GHz")</f>
        <v>Intel Core i7 7700HQ 2.8GHz</v>
      </c>
      <c r="H78" s="2" t="str">
        <f ca="1">IFERROR(__xludf.DUMMYFUNCTION("""COMPUTED_VALUE"""),"16GB")</f>
        <v>16GB</v>
      </c>
      <c r="I78" s="2" t="str">
        <f ca="1">IFERROR(__xludf.DUMMYFUNCTION("""COMPUTED_VALUE"""),"256GB SSD +  1TB HDD")</f>
        <v>256GB SSD +  1TB HDD</v>
      </c>
      <c r="J78" s="2" t="str">
        <f ca="1">IFERROR(__xludf.DUMMYFUNCTION("""COMPUTED_VALUE"""),"Nvidia GeForce GTX 1050")</f>
        <v>Nvidia GeForce GTX 1050</v>
      </c>
      <c r="K78" s="2" t="str">
        <f ca="1">IFERROR(__xludf.DUMMYFUNCTION("""COMPUTED_VALUE"""),"Windows 10")</f>
        <v>Windows 10</v>
      </c>
      <c r="L78" s="2" t="str">
        <f ca="1">IFERROR(__xludf.DUMMYFUNCTION("""COMPUTED_VALUE"""),"2.9kg")</f>
        <v>2.9kg</v>
      </c>
      <c r="M78" s="2">
        <f ca="1">IFERROR(__xludf.DUMMYFUNCTION("""COMPUTED_VALUE"""),1529)</f>
        <v>1529</v>
      </c>
    </row>
    <row r="79" spans="1:13">
      <c r="A79" s="2">
        <f ca="1">IFERROR(__xludf.DUMMYFUNCTION("""COMPUTED_VALUE"""),1061)</f>
        <v>1061</v>
      </c>
      <c r="B79" s="2" t="str">
        <f ca="1">IFERROR(__xludf.DUMMYFUNCTION("""COMPUTED_VALUE"""),"MSI")</f>
        <v>MSI</v>
      </c>
      <c r="C79" s="2" t="str">
        <f ca="1">IFERROR(__xludf.DUMMYFUNCTION("""COMPUTED_VALUE"""),"GT72S Dominator")</f>
        <v>GT72S Dominator</v>
      </c>
      <c r="D79" s="2" t="str">
        <f ca="1">IFERROR(__xludf.DUMMYFUNCTION("""COMPUTED_VALUE"""),"Gaming")</f>
        <v>Gaming</v>
      </c>
      <c r="E79" s="2">
        <f ca="1">IFERROR(__xludf.DUMMYFUNCTION("""COMPUTED_VALUE"""),17.3)</f>
        <v>17.3</v>
      </c>
      <c r="F79" s="2" t="str">
        <f ca="1">IFERROR(__xludf.DUMMYFUNCTION("""COMPUTED_VALUE"""),"IPS Panel Full HD 1920x1080")</f>
        <v>IPS Panel Full HD 1920x1080</v>
      </c>
      <c r="G79" s="2" t="str">
        <f ca="1">IFERROR(__xludf.DUMMYFUNCTION("""COMPUTED_VALUE"""),"Intel Core i7 6820HK 2.7GHz")</f>
        <v>Intel Core i7 6820HK 2.7GHz</v>
      </c>
      <c r="H79" s="2" t="str">
        <f ca="1">IFERROR(__xludf.DUMMYFUNCTION("""COMPUTED_VALUE"""),"16GB")</f>
        <v>16GB</v>
      </c>
      <c r="I79" s="2" t="str">
        <f ca="1">IFERROR(__xludf.DUMMYFUNCTION("""COMPUTED_VALUE"""),"256GB SSD +  1TB HDD")</f>
        <v>256GB SSD +  1TB HDD</v>
      </c>
      <c r="J79" s="2" t="str">
        <f ca="1">IFERROR(__xludf.DUMMYFUNCTION("""COMPUTED_VALUE"""),"Nvidia GeForce GTX 980M")</f>
        <v>Nvidia GeForce GTX 980M</v>
      </c>
      <c r="K79" s="2" t="str">
        <f ca="1">IFERROR(__xludf.DUMMYFUNCTION("""COMPUTED_VALUE"""),"Windows 10")</f>
        <v>Windows 10</v>
      </c>
      <c r="L79" s="2" t="str">
        <f ca="1">IFERROR(__xludf.DUMMYFUNCTION("""COMPUTED_VALUE"""),"3.78kg")</f>
        <v>3.78kg</v>
      </c>
      <c r="M79" s="2">
        <f ca="1">IFERROR(__xludf.DUMMYFUNCTION("""COMPUTED_VALUE"""),1545.64)</f>
        <v>1545.64</v>
      </c>
    </row>
    <row r="80" spans="1:13">
      <c r="A80" s="2">
        <f ca="1">IFERROR(__xludf.DUMMYFUNCTION("""COMPUTED_VALUE"""),189)</f>
        <v>189</v>
      </c>
      <c r="B80" s="2" t="str">
        <f ca="1">IFERROR(__xludf.DUMMYFUNCTION("""COMPUTED_VALUE"""),"Dell")</f>
        <v>Dell</v>
      </c>
      <c r="C80" s="2" t="str">
        <f ca="1">IFERROR(__xludf.DUMMYFUNCTION("""COMPUTED_VALUE"""),"Inspiron 7773")</f>
        <v>Inspiron 7773</v>
      </c>
      <c r="D80" s="2" t="str">
        <f ca="1">IFERROR(__xludf.DUMMYFUNCTION("""COMPUTED_VALUE"""),"Notebook")</f>
        <v>Notebook</v>
      </c>
      <c r="E80" s="2">
        <f ca="1">IFERROR(__xludf.DUMMYFUNCTION("""COMPUTED_VALUE"""),17.3)</f>
        <v>17.3</v>
      </c>
      <c r="F80" s="2" t="str">
        <f ca="1">IFERROR(__xludf.DUMMYFUNCTION("""COMPUTED_VALUE"""),"Full HD / Touchscreen 1920x1080")</f>
        <v>Full HD / Touchscreen 1920x1080</v>
      </c>
      <c r="G80" s="2" t="str">
        <f ca="1">IFERROR(__xludf.DUMMYFUNCTION("""COMPUTED_VALUE"""),"Intel Core i7 8550U 1.8GHz")</f>
        <v>Intel Core i7 8550U 1.8GHz</v>
      </c>
      <c r="H80" s="2" t="str">
        <f ca="1">IFERROR(__xludf.DUMMYFUNCTION("""COMPUTED_VALUE"""),"16GB")</f>
        <v>16GB</v>
      </c>
      <c r="I80" s="2" t="str">
        <f ca="1">IFERROR(__xludf.DUMMYFUNCTION("""COMPUTED_VALUE"""),"512GB SSD")</f>
        <v>512GB SSD</v>
      </c>
      <c r="J80" s="2" t="str">
        <f ca="1">IFERROR(__xludf.DUMMYFUNCTION("""COMPUTED_VALUE"""),"Nvidia GeForce 150MX")</f>
        <v>Nvidia GeForce 150MX</v>
      </c>
      <c r="K80" s="2" t="str">
        <f ca="1">IFERROR(__xludf.DUMMYFUNCTION("""COMPUTED_VALUE"""),"Windows 10")</f>
        <v>Windows 10</v>
      </c>
      <c r="L80" s="2" t="str">
        <f ca="1">IFERROR(__xludf.DUMMYFUNCTION("""COMPUTED_VALUE"""),"2.77kg")</f>
        <v>2.77kg</v>
      </c>
      <c r="M80" s="2">
        <f ca="1">IFERROR(__xludf.DUMMYFUNCTION("""COMPUTED_VALUE"""),1549)</f>
        <v>1549</v>
      </c>
    </row>
    <row r="81" spans="1:13">
      <c r="A81" s="2">
        <f ca="1">IFERROR(__xludf.DUMMYFUNCTION("""COMPUTED_VALUE"""),276)</f>
        <v>276</v>
      </c>
      <c r="B81" s="2" t="str">
        <f ca="1">IFERROR(__xludf.DUMMYFUNCTION("""COMPUTED_VALUE"""),"Asus")</f>
        <v>Asus</v>
      </c>
      <c r="C81" s="2" t="str">
        <f ca="1">IFERROR(__xludf.DUMMYFUNCTION("""COMPUTED_VALUE"""),"Rog Strix")</f>
        <v>Rog Strix</v>
      </c>
      <c r="D81" s="2" t="str">
        <f ca="1">IFERROR(__xludf.DUMMYFUNCTION("""COMPUTED_VALUE"""),"Gaming")</f>
        <v>Gaming</v>
      </c>
      <c r="E81" s="2">
        <f ca="1">IFERROR(__xludf.DUMMYFUNCTION("""COMPUTED_VALUE"""),17.3)</f>
        <v>17.3</v>
      </c>
      <c r="F81" s="2" t="str">
        <f ca="1">IFERROR(__xludf.DUMMYFUNCTION("""COMPUTED_VALUE"""),"Full HD 1920x1080")</f>
        <v>Full HD 1920x1080</v>
      </c>
      <c r="G81" s="2" t="str">
        <f ca="1">IFERROR(__xludf.DUMMYFUNCTION("""COMPUTED_VALUE"""),"AMD Ryzen 1700 3GHz")</f>
        <v>AMD Ryzen 1700 3GHz</v>
      </c>
      <c r="H81" s="2" t="str">
        <f ca="1">IFERROR(__xludf.DUMMYFUNCTION("""COMPUTED_VALUE"""),"16GB")</f>
        <v>16GB</v>
      </c>
      <c r="I81" s="2" t="str">
        <f ca="1">IFERROR(__xludf.DUMMYFUNCTION("""COMPUTED_VALUE"""),"256GB SSD +  1TB HDD")</f>
        <v>256GB SSD +  1TB HDD</v>
      </c>
      <c r="J81" s="2" t="str">
        <f ca="1">IFERROR(__xludf.DUMMYFUNCTION("""COMPUTED_VALUE"""),"AMD Radeon RX 580")</f>
        <v>AMD Radeon RX 580</v>
      </c>
      <c r="K81" s="2" t="str">
        <f ca="1">IFERROR(__xludf.DUMMYFUNCTION("""COMPUTED_VALUE"""),"Windows 10")</f>
        <v>Windows 10</v>
      </c>
      <c r="L81" s="2" t="str">
        <f ca="1">IFERROR(__xludf.DUMMYFUNCTION("""COMPUTED_VALUE"""),"3.2kg")</f>
        <v>3.2kg</v>
      </c>
      <c r="M81" s="2">
        <f ca="1">IFERROR(__xludf.DUMMYFUNCTION("""COMPUTED_VALUE"""),1549)</f>
        <v>1549</v>
      </c>
    </row>
    <row r="82" spans="1:13">
      <c r="A82" s="2">
        <f ca="1">IFERROR(__xludf.DUMMYFUNCTION("""COMPUTED_VALUE"""),397)</f>
        <v>397</v>
      </c>
      <c r="B82" s="2" t="str">
        <f ca="1">IFERROR(__xludf.DUMMYFUNCTION("""COMPUTED_VALUE"""),"Asus")</f>
        <v>Asus</v>
      </c>
      <c r="C82" s="2" t="str">
        <f ca="1">IFERROR(__xludf.DUMMYFUNCTION("""COMPUTED_VALUE"""),"Rog GL753VE-GC070T")</f>
        <v>Rog GL753VE-GC070T</v>
      </c>
      <c r="D82" s="2" t="str">
        <f ca="1">IFERROR(__xludf.DUMMYFUNCTION("""COMPUTED_VALUE"""),"Gaming")</f>
        <v>Gaming</v>
      </c>
      <c r="E82" s="2">
        <f ca="1">IFERROR(__xludf.DUMMYFUNCTION("""COMPUTED_VALUE"""),17.3)</f>
        <v>17.3</v>
      </c>
      <c r="F82" s="2" t="str">
        <f ca="1">IFERROR(__xludf.DUMMYFUNCTION("""COMPUTED_VALUE"""),"Full HD 1920x1080")</f>
        <v>Full HD 1920x1080</v>
      </c>
      <c r="G82" s="2" t="str">
        <f ca="1">IFERROR(__xludf.DUMMYFUNCTION("""COMPUTED_VALUE"""),"Intel Core i7 7700HQ 2.8GHz")</f>
        <v>Intel Core i7 7700HQ 2.8GHz</v>
      </c>
      <c r="H82" s="2" t="str">
        <f ca="1">IFERROR(__xludf.DUMMYFUNCTION("""COMPUTED_VALUE"""),"16GB")</f>
        <v>16GB</v>
      </c>
      <c r="I82" s="2" t="str">
        <f ca="1">IFERROR(__xludf.DUMMYFUNCTION("""COMPUTED_VALUE"""),"256GB SSD +  1TB HDD")</f>
        <v>256GB SSD +  1TB HDD</v>
      </c>
      <c r="J82" s="2" t="str">
        <f ca="1">IFERROR(__xludf.DUMMYFUNCTION("""COMPUTED_VALUE"""),"Nvidia GeForce GTX 1050 Ti")</f>
        <v>Nvidia GeForce GTX 1050 Ti</v>
      </c>
      <c r="K82" s="2" t="str">
        <f ca="1">IFERROR(__xludf.DUMMYFUNCTION("""COMPUTED_VALUE"""),"Windows 10")</f>
        <v>Windows 10</v>
      </c>
      <c r="L82" s="2" t="str">
        <f ca="1">IFERROR(__xludf.DUMMYFUNCTION("""COMPUTED_VALUE"""),"3kg")</f>
        <v>3kg</v>
      </c>
      <c r="M82" s="2">
        <f ca="1">IFERROR(__xludf.DUMMYFUNCTION("""COMPUTED_VALUE"""),1591)</f>
        <v>1591</v>
      </c>
    </row>
    <row r="83" spans="1:13">
      <c r="A83" s="2">
        <f ca="1">IFERROR(__xludf.DUMMYFUNCTION("""COMPUTED_VALUE"""),1251)</f>
        <v>1251</v>
      </c>
      <c r="B83" s="2" t="str">
        <f ca="1">IFERROR(__xludf.DUMMYFUNCTION("""COMPUTED_VALUE"""),"MSI")</f>
        <v>MSI</v>
      </c>
      <c r="C83" s="2" t="str">
        <f ca="1">IFERROR(__xludf.DUMMYFUNCTION("""COMPUTED_VALUE"""),"GE72VR Apache")</f>
        <v>GE72VR Apache</v>
      </c>
      <c r="D83" s="2" t="str">
        <f ca="1">IFERROR(__xludf.DUMMYFUNCTION("""COMPUTED_VALUE"""),"Gaming")</f>
        <v>Gaming</v>
      </c>
      <c r="E83" s="2">
        <f ca="1">IFERROR(__xludf.DUMMYFUNCTION("""COMPUTED_VALUE"""),17.3)</f>
        <v>17.3</v>
      </c>
      <c r="F83" s="2" t="str">
        <f ca="1">IFERROR(__xludf.DUMMYFUNCTION("""COMPUTED_VALUE"""),"Full HD 1920x1080")</f>
        <v>Full HD 1920x1080</v>
      </c>
      <c r="G83" s="2" t="str">
        <f ca="1">IFERROR(__xludf.DUMMYFUNCTION("""COMPUTED_VALUE"""),"Intel Core i7 7700HQ 2.8GHz")</f>
        <v>Intel Core i7 7700HQ 2.8GHz</v>
      </c>
      <c r="H83" s="2" t="str">
        <f ca="1">IFERROR(__xludf.DUMMYFUNCTION("""COMPUTED_VALUE"""),"16GB")</f>
        <v>16GB</v>
      </c>
      <c r="I83" s="2" t="str">
        <f ca="1">IFERROR(__xludf.DUMMYFUNCTION("""COMPUTED_VALUE"""),"256GB SSD +  1TB HDD")</f>
        <v>256GB SSD +  1TB HDD</v>
      </c>
      <c r="J83" s="2" t="str">
        <f ca="1">IFERROR(__xludf.DUMMYFUNCTION("""COMPUTED_VALUE"""),"Nvidia GeForce GTX 1060")</f>
        <v>Nvidia GeForce GTX 1060</v>
      </c>
      <c r="K83" s="2" t="str">
        <f ca="1">IFERROR(__xludf.DUMMYFUNCTION("""COMPUTED_VALUE"""),"Windows 10")</f>
        <v>Windows 10</v>
      </c>
      <c r="L83" s="2" t="str">
        <f ca="1">IFERROR(__xludf.DUMMYFUNCTION("""COMPUTED_VALUE"""),"2.7kg")</f>
        <v>2.7kg</v>
      </c>
      <c r="M83" s="2">
        <f ca="1">IFERROR(__xludf.DUMMYFUNCTION("""COMPUTED_VALUE"""),1598)</f>
        <v>1598</v>
      </c>
    </row>
    <row r="84" spans="1:13">
      <c r="A84" s="2">
        <f ca="1">IFERROR(__xludf.DUMMYFUNCTION("""COMPUTED_VALUE"""),931)</f>
        <v>931</v>
      </c>
      <c r="B84" s="2" t="str">
        <f ca="1">IFERROR(__xludf.DUMMYFUNCTION("""COMPUTED_VALUE"""),"MSI")</f>
        <v>MSI</v>
      </c>
      <c r="C84" s="2" t="str">
        <f ca="1">IFERROR(__xludf.DUMMYFUNCTION("""COMPUTED_VALUE"""),"GE72VR 6RF")</f>
        <v>GE72VR 6RF</v>
      </c>
      <c r="D84" s="2" t="str">
        <f ca="1">IFERROR(__xludf.DUMMYFUNCTION("""COMPUTED_VALUE"""),"Gaming")</f>
        <v>Gaming</v>
      </c>
      <c r="E84" s="2">
        <f ca="1">IFERROR(__xludf.DUMMYFUNCTION("""COMPUTED_VALUE"""),17.3)</f>
        <v>17.3</v>
      </c>
      <c r="F84" s="2" t="str">
        <f ca="1">IFERROR(__xludf.DUMMYFUNCTION("""COMPUTED_VALUE"""),"Full HD 1920x1080")</f>
        <v>Full HD 1920x1080</v>
      </c>
      <c r="G84" s="2" t="str">
        <f ca="1">IFERROR(__xludf.DUMMYFUNCTION("""COMPUTED_VALUE"""),"Intel Core i7 7700HQ 2.8GHz")</f>
        <v>Intel Core i7 7700HQ 2.8GHz</v>
      </c>
      <c r="H84" s="2" t="str">
        <f ca="1">IFERROR(__xludf.DUMMYFUNCTION("""COMPUTED_VALUE"""),"16GB")</f>
        <v>16GB</v>
      </c>
      <c r="I84" s="2" t="str">
        <f ca="1">IFERROR(__xludf.DUMMYFUNCTION("""COMPUTED_VALUE"""),"256GB SSD +  1TB HDD")</f>
        <v>256GB SSD +  1TB HDD</v>
      </c>
      <c r="J84" s="2" t="str">
        <f ca="1">IFERROR(__xludf.DUMMYFUNCTION("""COMPUTED_VALUE"""),"Nvidia GeForce GTX 1050 Ti")</f>
        <v>Nvidia GeForce GTX 1050 Ti</v>
      </c>
      <c r="K84" s="2" t="str">
        <f ca="1">IFERROR(__xludf.DUMMYFUNCTION("""COMPUTED_VALUE"""),"Windows 10")</f>
        <v>Windows 10</v>
      </c>
      <c r="L84" s="2" t="str">
        <f ca="1">IFERROR(__xludf.DUMMYFUNCTION("""COMPUTED_VALUE"""),"2.7kg")</f>
        <v>2.7kg</v>
      </c>
      <c r="M84" s="2">
        <f ca="1">IFERROR(__xludf.DUMMYFUNCTION("""COMPUTED_VALUE"""),1599)</f>
        <v>1599</v>
      </c>
    </row>
    <row r="85" spans="1:13">
      <c r="A85" s="2">
        <f ca="1">IFERROR(__xludf.DUMMYFUNCTION("""COMPUTED_VALUE"""),1107)</f>
        <v>1107</v>
      </c>
      <c r="B85" s="2" t="str">
        <f ca="1">IFERROR(__xludf.DUMMYFUNCTION("""COMPUTED_VALUE"""),"Asus")</f>
        <v>Asus</v>
      </c>
      <c r="C85" s="2" t="str">
        <f ca="1">IFERROR(__xludf.DUMMYFUNCTION("""COMPUTED_VALUE"""),"Rog GL702VM-GC354T")</f>
        <v>Rog GL702VM-GC354T</v>
      </c>
      <c r="D85" s="2" t="str">
        <f ca="1">IFERROR(__xludf.DUMMYFUNCTION("""COMPUTED_VALUE"""),"Gaming")</f>
        <v>Gaming</v>
      </c>
      <c r="E85" s="2">
        <f ca="1">IFERROR(__xludf.DUMMYFUNCTION("""COMPUTED_VALUE"""),17.3)</f>
        <v>17.3</v>
      </c>
      <c r="F85" s="2" t="str">
        <f ca="1">IFERROR(__xludf.DUMMYFUNCTION("""COMPUTED_VALUE"""),"IPS Panel Full HD 1920x1080")</f>
        <v>IPS Panel Full HD 1920x1080</v>
      </c>
      <c r="G85" s="2" t="str">
        <f ca="1">IFERROR(__xludf.DUMMYFUNCTION("""COMPUTED_VALUE"""),"Intel Core i7 7700HQ 2.8GHz")</f>
        <v>Intel Core i7 7700HQ 2.8GHz</v>
      </c>
      <c r="H85" s="2" t="str">
        <f ca="1">IFERROR(__xludf.DUMMYFUNCTION("""COMPUTED_VALUE"""),"8GB")</f>
        <v>8GB</v>
      </c>
      <c r="I85" s="2" t="str">
        <f ca="1">IFERROR(__xludf.DUMMYFUNCTION("""COMPUTED_VALUE"""),"256GB SSD +  1TB HDD")</f>
        <v>256GB SSD +  1TB HDD</v>
      </c>
      <c r="J85" s="2" t="str">
        <f ca="1">IFERROR(__xludf.DUMMYFUNCTION("""COMPUTED_VALUE"""),"Nvidia GeForce GTX 1060")</f>
        <v>Nvidia GeForce GTX 1060</v>
      </c>
      <c r="K85" s="2" t="str">
        <f ca="1">IFERROR(__xludf.DUMMYFUNCTION("""COMPUTED_VALUE"""),"Windows 10")</f>
        <v>Windows 10</v>
      </c>
      <c r="L85" s="2" t="str">
        <f ca="1">IFERROR(__xludf.DUMMYFUNCTION("""COMPUTED_VALUE"""),"2.7kg")</f>
        <v>2.7kg</v>
      </c>
      <c r="M85" s="2">
        <f ca="1">IFERROR(__xludf.DUMMYFUNCTION("""COMPUTED_VALUE"""),1599)</f>
        <v>1599</v>
      </c>
    </row>
    <row r="86" spans="1:13">
      <c r="A86" s="2">
        <f ca="1">IFERROR(__xludf.DUMMYFUNCTION("""COMPUTED_VALUE"""),1112)</f>
        <v>1112</v>
      </c>
      <c r="B86" s="2" t="str">
        <f ca="1">IFERROR(__xludf.DUMMYFUNCTION("""COMPUTED_VALUE"""),"MSI")</f>
        <v>MSI</v>
      </c>
      <c r="C86" s="2" t="str">
        <f ca="1">IFERROR(__xludf.DUMMYFUNCTION("""COMPUTED_VALUE"""),"GS70 Stealth")</f>
        <v>GS70 Stealth</v>
      </c>
      <c r="D86" s="2" t="str">
        <f ca="1">IFERROR(__xludf.DUMMYFUNCTION("""COMPUTED_VALUE"""),"Gaming")</f>
        <v>Gaming</v>
      </c>
      <c r="E86" s="2">
        <f ca="1">IFERROR(__xludf.DUMMYFUNCTION("""COMPUTED_VALUE"""),17.3)</f>
        <v>17.3</v>
      </c>
      <c r="F86" s="2" t="str">
        <f ca="1">IFERROR(__xludf.DUMMYFUNCTION("""COMPUTED_VALUE"""),"Full HD 1920x1080")</f>
        <v>Full HD 1920x1080</v>
      </c>
      <c r="G86" s="2" t="str">
        <f ca="1">IFERROR(__xludf.DUMMYFUNCTION("""COMPUTED_VALUE"""),"Intel Core i7 6700HQ 2.6GHz")</f>
        <v>Intel Core i7 6700HQ 2.6GHz</v>
      </c>
      <c r="H86" s="2" t="str">
        <f ca="1">IFERROR(__xludf.DUMMYFUNCTION("""COMPUTED_VALUE"""),"8GB")</f>
        <v>8GB</v>
      </c>
      <c r="I86" s="2" t="str">
        <f ca="1">IFERROR(__xludf.DUMMYFUNCTION("""COMPUTED_VALUE"""),"256GB SSD")</f>
        <v>256GB SSD</v>
      </c>
      <c r="J86" s="2" t="str">
        <f ca="1">IFERROR(__xludf.DUMMYFUNCTION("""COMPUTED_VALUE"""),"Nvidia GeForce GTX 965M")</f>
        <v>Nvidia GeForce GTX 965M</v>
      </c>
      <c r="K86" s="2" t="str">
        <f ca="1">IFERROR(__xludf.DUMMYFUNCTION("""COMPUTED_VALUE"""),"Windows 10")</f>
        <v>Windows 10</v>
      </c>
      <c r="L86" s="2" t="str">
        <f ca="1">IFERROR(__xludf.DUMMYFUNCTION("""COMPUTED_VALUE"""),"2.6kg")</f>
        <v>2.6kg</v>
      </c>
      <c r="M86" s="2">
        <f ca="1">IFERROR(__xludf.DUMMYFUNCTION("""COMPUTED_VALUE"""),1599)</f>
        <v>1599</v>
      </c>
    </row>
    <row r="87" spans="1:13">
      <c r="A87" s="2">
        <f ca="1">IFERROR(__xludf.DUMMYFUNCTION("""COMPUTED_VALUE"""),442)</f>
        <v>442</v>
      </c>
      <c r="B87" s="2" t="str">
        <f ca="1">IFERROR(__xludf.DUMMYFUNCTION("""COMPUTED_VALUE"""),"Asus")</f>
        <v>Asus</v>
      </c>
      <c r="C87" s="2" t="str">
        <f ca="1">IFERROR(__xludf.DUMMYFUNCTION("""COMPUTED_VALUE"""),"Rog Strix")</f>
        <v>Rog Strix</v>
      </c>
      <c r="D87" s="2" t="str">
        <f ca="1">IFERROR(__xludf.DUMMYFUNCTION("""COMPUTED_VALUE"""),"Gaming")</f>
        <v>Gaming</v>
      </c>
      <c r="E87" s="2">
        <f ca="1">IFERROR(__xludf.DUMMYFUNCTION("""COMPUTED_VALUE"""),17.3)</f>
        <v>17.3</v>
      </c>
      <c r="F87" s="2" t="str">
        <f ca="1">IFERROR(__xludf.DUMMYFUNCTION("""COMPUTED_VALUE"""),"Full HD 1920x1080")</f>
        <v>Full HD 1920x1080</v>
      </c>
      <c r="G87" s="2" t="str">
        <f ca="1">IFERROR(__xludf.DUMMYFUNCTION("""COMPUTED_VALUE"""),"AMD Ryzen 1600 3.2GHz")</f>
        <v>AMD Ryzen 1600 3.2GHz</v>
      </c>
      <c r="H87" s="2" t="str">
        <f ca="1">IFERROR(__xludf.DUMMYFUNCTION("""COMPUTED_VALUE"""),"8GB")</f>
        <v>8GB</v>
      </c>
      <c r="I87" s="2" t="str">
        <f ca="1">IFERROR(__xludf.DUMMYFUNCTION("""COMPUTED_VALUE"""),"256GB SSD +  1TB HDD")</f>
        <v>256GB SSD +  1TB HDD</v>
      </c>
      <c r="J87" s="2" t="str">
        <f ca="1">IFERROR(__xludf.DUMMYFUNCTION("""COMPUTED_VALUE"""),"AMD Radeon RX 580")</f>
        <v>AMD Radeon RX 580</v>
      </c>
      <c r="K87" s="2" t="str">
        <f ca="1">IFERROR(__xludf.DUMMYFUNCTION("""COMPUTED_VALUE"""),"Windows 10")</f>
        <v>Windows 10</v>
      </c>
      <c r="L87" s="2" t="str">
        <f ca="1">IFERROR(__xludf.DUMMYFUNCTION("""COMPUTED_VALUE"""),"3.2kg")</f>
        <v>3.2kg</v>
      </c>
      <c r="M87" s="2">
        <f ca="1">IFERROR(__xludf.DUMMYFUNCTION("""COMPUTED_VALUE"""),1695)</f>
        <v>1695</v>
      </c>
    </row>
    <row r="88" spans="1:13">
      <c r="A88" s="2">
        <f ca="1">IFERROR(__xludf.DUMMYFUNCTION("""COMPUTED_VALUE"""),475)</f>
        <v>475</v>
      </c>
      <c r="B88" s="2" t="str">
        <f ca="1">IFERROR(__xludf.DUMMYFUNCTION("""COMPUTED_VALUE"""),"HP")</f>
        <v>HP</v>
      </c>
      <c r="C88" s="2" t="str">
        <f ca="1">IFERROR(__xludf.DUMMYFUNCTION("""COMPUTED_VALUE"""),"Omen 17-an006nv")</f>
        <v>Omen 17-an006nv</v>
      </c>
      <c r="D88" s="2" t="str">
        <f ca="1">IFERROR(__xludf.DUMMYFUNCTION("""COMPUTED_VALUE"""),"Gaming")</f>
        <v>Gaming</v>
      </c>
      <c r="E88" s="2">
        <f ca="1">IFERROR(__xludf.DUMMYFUNCTION("""COMPUTED_VALUE"""),17.3)</f>
        <v>17.3</v>
      </c>
      <c r="F88" s="2" t="str">
        <f ca="1">IFERROR(__xludf.DUMMYFUNCTION("""COMPUTED_VALUE"""),"IPS Panel Full HD 1920x1080")</f>
        <v>IPS Panel Full HD 1920x1080</v>
      </c>
      <c r="G88" s="2" t="str">
        <f ca="1">IFERROR(__xludf.DUMMYFUNCTION("""COMPUTED_VALUE"""),"Intel Core i7 7700HQ 2.8GHz")</f>
        <v>Intel Core i7 7700HQ 2.8GHz</v>
      </c>
      <c r="H88" s="2" t="str">
        <f ca="1">IFERROR(__xludf.DUMMYFUNCTION("""COMPUTED_VALUE"""),"12GB")</f>
        <v>12GB</v>
      </c>
      <c r="I88" s="2" t="str">
        <f ca="1">IFERROR(__xludf.DUMMYFUNCTION("""COMPUTED_VALUE"""),"1TB HDD")</f>
        <v>1TB HDD</v>
      </c>
      <c r="J88" s="2" t="str">
        <f ca="1">IFERROR(__xludf.DUMMYFUNCTION("""COMPUTED_VALUE"""),"Nvidia GeForce GTX 1060")</f>
        <v>Nvidia GeForce GTX 1060</v>
      </c>
      <c r="K88" s="2" t="str">
        <f ca="1">IFERROR(__xludf.DUMMYFUNCTION("""COMPUTED_VALUE"""),"Windows 10")</f>
        <v>Windows 10</v>
      </c>
      <c r="L88" s="2" t="str">
        <f ca="1">IFERROR(__xludf.DUMMYFUNCTION("""COMPUTED_VALUE"""),"3.78kg")</f>
        <v>3.78kg</v>
      </c>
      <c r="M88" s="2">
        <f ca="1">IFERROR(__xludf.DUMMYFUNCTION("""COMPUTED_VALUE"""),1699)</f>
        <v>1699</v>
      </c>
    </row>
    <row r="89" spans="1:13">
      <c r="A89" s="2">
        <f ca="1">IFERROR(__xludf.DUMMYFUNCTION("""COMPUTED_VALUE"""),819)</f>
        <v>819</v>
      </c>
      <c r="B89" s="2" t="str">
        <f ca="1">IFERROR(__xludf.DUMMYFUNCTION("""COMPUTED_VALUE"""),"HP")</f>
        <v>HP</v>
      </c>
      <c r="C89" s="2" t="str">
        <f ca="1">IFERROR(__xludf.DUMMYFUNCTION("""COMPUTED_VALUE"""),"Omen 17-an012dx")</f>
        <v>Omen 17-an012dx</v>
      </c>
      <c r="D89" s="2" t="str">
        <f ca="1">IFERROR(__xludf.DUMMYFUNCTION("""COMPUTED_VALUE"""),"Gaming")</f>
        <v>Gaming</v>
      </c>
      <c r="E89" s="2">
        <f ca="1">IFERROR(__xludf.DUMMYFUNCTION("""COMPUTED_VALUE"""),17.3)</f>
        <v>17.3</v>
      </c>
      <c r="F89" s="2" t="str">
        <f ca="1">IFERROR(__xludf.DUMMYFUNCTION("""COMPUTED_VALUE"""),"IPS Panel Full HD 1920x1080")</f>
        <v>IPS Panel Full HD 1920x1080</v>
      </c>
      <c r="G89" s="2" t="str">
        <f ca="1">IFERROR(__xludf.DUMMYFUNCTION("""COMPUTED_VALUE"""),"Intel Core i7 7700HQ 2.8GHz")</f>
        <v>Intel Core i7 7700HQ 2.8GHz</v>
      </c>
      <c r="H89" s="2" t="str">
        <f ca="1">IFERROR(__xludf.DUMMYFUNCTION("""COMPUTED_VALUE"""),"12GB")</f>
        <v>12GB</v>
      </c>
      <c r="I89" s="2" t="str">
        <f ca="1">IFERROR(__xludf.DUMMYFUNCTION("""COMPUTED_VALUE"""),"1TB HDD")</f>
        <v>1TB HDD</v>
      </c>
      <c r="J89" s="2" t="str">
        <f ca="1">IFERROR(__xludf.DUMMYFUNCTION("""COMPUTED_VALUE"""),"AMD Radeon RX 580")</f>
        <v>AMD Radeon RX 580</v>
      </c>
      <c r="K89" s="2" t="str">
        <f ca="1">IFERROR(__xludf.DUMMYFUNCTION("""COMPUTED_VALUE"""),"Windows 10")</f>
        <v>Windows 10</v>
      </c>
      <c r="L89" s="2" t="str">
        <f ca="1">IFERROR(__xludf.DUMMYFUNCTION("""COMPUTED_VALUE"""),"3.74kg")</f>
        <v>3.74kg</v>
      </c>
      <c r="M89" s="2">
        <f ca="1">IFERROR(__xludf.DUMMYFUNCTION("""COMPUTED_VALUE"""),1749)</f>
        <v>1749</v>
      </c>
    </row>
    <row r="90" spans="1:13">
      <c r="A90" s="2">
        <f ca="1">IFERROR(__xludf.DUMMYFUNCTION("""COMPUTED_VALUE"""),993)</f>
        <v>993</v>
      </c>
      <c r="B90" s="2" t="str">
        <f ca="1">IFERROR(__xludf.DUMMYFUNCTION("""COMPUTED_VALUE"""),"Asus")</f>
        <v>Asus</v>
      </c>
      <c r="C90" s="2" t="str">
        <f ca="1">IFERROR(__xludf.DUMMYFUNCTION("""COMPUTED_VALUE"""),"Rog GL753VE-DS74")</f>
        <v>Rog GL753VE-DS74</v>
      </c>
      <c r="D90" s="2" t="str">
        <f ca="1">IFERROR(__xludf.DUMMYFUNCTION("""COMPUTED_VALUE"""),"Gaming")</f>
        <v>Gaming</v>
      </c>
      <c r="E90" s="2">
        <f ca="1">IFERROR(__xludf.DUMMYFUNCTION("""COMPUTED_VALUE"""),17.3)</f>
        <v>17.3</v>
      </c>
      <c r="F90" s="2" t="str">
        <f ca="1">IFERROR(__xludf.DUMMYFUNCTION("""COMPUTED_VALUE"""),"Full HD 1920x1080")</f>
        <v>Full HD 1920x1080</v>
      </c>
      <c r="G90" s="2" t="str">
        <f ca="1">IFERROR(__xludf.DUMMYFUNCTION("""COMPUTED_VALUE"""),"Intel Core i7 7700HQ 2.8GHz")</f>
        <v>Intel Core i7 7700HQ 2.8GHz</v>
      </c>
      <c r="H90" s="2" t="str">
        <f ca="1">IFERROR(__xludf.DUMMYFUNCTION("""COMPUTED_VALUE"""),"16GB")</f>
        <v>16GB</v>
      </c>
      <c r="I90" s="2" t="str">
        <f ca="1">IFERROR(__xludf.DUMMYFUNCTION("""COMPUTED_VALUE"""),"256GB SSD +  1TB HDD")</f>
        <v>256GB SSD +  1TB HDD</v>
      </c>
      <c r="J90" s="2" t="str">
        <f ca="1">IFERROR(__xludf.DUMMYFUNCTION("""COMPUTED_VALUE"""),"Nvidia GeForce GTX 1050 Ti")</f>
        <v>Nvidia GeForce GTX 1050 Ti</v>
      </c>
      <c r="K90" s="2" t="str">
        <f ca="1">IFERROR(__xludf.DUMMYFUNCTION("""COMPUTED_VALUE"""),"Windows 10")</f>
        <v>Windows 10</v>
      </c>
      <c r="L90" s="2" t="str">
        <f ca="1">IFERROR(__xludf.DUMMYFUNCTION("""COMPUTED_VALUE"""),"2.99kg")</f>
        <v>2.99kg</v>
      </c>
      <c r="M90" s="2">
        <f ca="1">IFERROR(__xludf.DUMMYFUNCTION("""COMPUTED_VALUE"""),1749)</f>
        <v>1749</v>
      </c>
    </row>
    <row r="91" spans="1:13">
      <c r="A91" s="2">
        <f ca="1">IFERROR(__xludf.DUMMYFUNCTION("""COMPUTED_VALUE"""),596)</f>
        <v>596</v>
      </c>
      <c r="B91" s="2" t="str">
        <f ca="1">IFERROR(__xludf.DUMMYFUNCTION("""COMPUTED_VALUE"""),"Asus")</f>
        <v>Asus</v>
      </c>
      <c r="C91" s="2" t="str">
        <f ca="1">IFERROR(__xludf.DUMMYFUNCTION("""COMPUTED_VALUE"""),"ROG Strix")</f>
        <v>ROG Strix</v>
      </c>
      <c r="D91" s="2" t="str">
        <f ca="1">IFERROR(__xludf.DUMMYFUNCTION("""COMPUTED_VALUE"""),"Gaming")</f>
        <v>Gaming</v>
      </c>
      <c r="E91" s="2">
        <f ca="1">IFERROR(__xludf.DUMMYFUNCTION("""COMPUTED_VALUE"""),17.3)</f>
        <v>17.3</v>
      </c>
      <c r="F91" s="2" t="str">
        <f ca="1">IFERROR(__xludf.DUMMYFUNCTION("""COMPUTED_VALUE"""),"IPS Panel Full HD 1920x1080")</f>
        <v>IPS Panel Full HD 1920x1080</v>
      </c>
      <c r="G91" s="2" t="str">
        <f ca="1">IFERROR(__xludf.DUMMYFUNCTION("""COMPUTED_VALUE"""),"Intel Core i5 7300HQ 2.5GHz")</f>
        <v>Intel Core i5 7300HQ 2.5GHz</v>
      </c>
      <c r="H91" s="2" t="str">
        <f ca="1">IFERROR(__xludf.DUMMYFUNCTION("""COMPUTED_VALUE"""),"8GB")</f>
        <v>8GB</v>
      </c>
      <c r="I91" s="2" t="str">
        <f ca="1">IFERROR(__xludf.DUMMYFUNCTION("""COMPUTED_VALUE"""),"128GB SSD +  1TB HDD")</f>
        <v>128GB SSD +  1TB HDD</v>
      </c>
      <c r="J91" s="2" t="str">
        <f ca="1">IFERROR(__xludf.DUMMYFUNCTION("""COMPUTED_VALUE"""),"Nvidia GeForce GTX 1060")</f>
        <v>Nvidia GeForce GTX 1060</v>
      </c>
      <c r="K91" s="2" t="str">
        <f ca="1">IFERROR(__xludf.DUMMYFUNCTION("""COMPUTED_VALUE"""),"Windows 10")</f>
        <v>Windows 10</v>
      </c>
      <c r="L91" s="2" t="str">
        <f ca="1">IFERROR(__xludf.DUMMYFUNCTION("""COMPUTED_VALUE"""),"2.73kg")</f>
        <v>2.73kg</v>
      </c>
      <c r="M91" s="2">
        <f ca="1">IFERROR(__xludf.DUMMYFUNCTION("""COMPUTED_VALUE"""),1770)</f>
        <v>1770</v>
      </c>
    </row>
    <row r="92" spans="1:13">
      <c r="A92" s="2">
        <f ca="1">IFERROR(__xludf.DUMMYFUNCTION("""COMPUTED_VALUE"""),256)</f>
        <v>256</v>
      </c>
      <c r="B92" s="2" t="str">
        <f ca="1">IFERROR(__xludf.DUMMYFUNCTION("""COMPUTED_VALUE"""),"Asus")</f>
        <v>Asus</v>
      </c>
      <c r="C92" s="2" t="str">
        <f ca="1">IFERROR(__xludf.DUMMYFUNCTION("""COMPUTED_VALUE"""),"ROG G752VSK-GC493T")</f>
        <v>ROG G752VSK-GC493T</v>
      </c>
      <c r="D92" s="2" t="str">
        <f ca="1">IFERROR(__xludf.DUMMYFUNCTION("""COMPUTED_VALUE"""),"Gaming")</f>
        <v>Gaming</v>
      </c>
      <c r="E92" s="2">
        <f ca="1">IFERROR(__xludf.DUMMYFUNCTION("""COMPUTED_VALUE"""),17.3)</f>
        <v>17.3</v>
      </c>
      <c r="F92" s="2" t="str">
        <f ca="1">IFERROR(__xludf.DUMMYFUNCTION("""COMPUTED_VALUE"""),"Full HD 1920x1080")</f>
        <v>Full HD 1920x1080</v>
      </c>
      <c r="G92" s="2" t="str">
        <f ca="1">IFERROR(__xludf.DUMMYFUNCTION("""COMPUTED_VALUE"""),"Intel Core i7 7700HQ 2.8GHz")</f>
        <v>Intel Core i7 7700HQ 2.8GHz</v>
      </c>
      <c r="H92" s="2" t="str">
        <f ca="1">IFERROR(__xludf.DUMMYFUNCTION("""COMPUTED_VALUE"""),"16GB")</f>
        <v>16GB</v>
      </c>
      <c r="I92" s="2" t="str">
        <f ca="1">IFERROR(__xludf.DUMMYFUNCTION("""COMPUTED_VALUE"""),"256GB SSD +  1TB HDD")</f>
        <v>256GB SSD +  1TB HDD</v>
      </c>
      <c r="J92" s="2" t="str">
        <f ca="1">IFERROR(__xludf.DUMMYFUNCTION("""COMPUTED_VALUE"""),"Nvidia GeForce GTX 980M")</f>
        <v>Nvidia GeForce GTX 980M</v>
      </c>
      <c r="K92" s="2" t="str">
        <f ca="1">IFERROR(__xludf.DUMMYFUNCTION("""COMPUTED_VALUE"""),"Windows 10")</f>
        <v>Windows 10</v>
      </c>
      <c r="L92" s="2" t="str">
        <f ca="1">IFERROR(__xludf.DUMMYFUNCTION("""COMPUTED_VALUE"""),"4.3kg")</f>
        <v>4.3kg</v>
      </c>
      <c r="M92" s="2">
        <f ca="1">IFERROR(__xludf.DUMMYFUNCTION("""COMPUTED_VALUE"""),1799)</f>
        <v>1799</v>
      </c>
    </row>
    <row r="93" spans="1:13">
      <c r="A93" s="2">
        <f ca="1">IFERROR(__xludf.DUMMYFUNCTION("""COMPUTED_VALUE"""),545)</f>
        <v>545</v>
      </c>
      <c r="B93" s="2" t="str">
        <f ca="1">IFERROR(__xludf.DUMMYFUNCTION("""COMPUTED_VALUE"""),"HP")</f>
        <v>HP</v>
      </c>
      <c r="C93" s="2" t="str">
        <f ca="1">IFERROR(__xludf.DUMMYFUNCTION("""COMPUTED_VALUE"""),"Omen 15-ce006nv")</f>
        <v>Omen 15-ce006nv</v>
      </c>
      <c r="D93" s="2" t="str">
        <f ca="1">IFERROR(__xludf.DUMMYFUNCTION("""COMPUTED_VALUE"""),"Gaming")</f>
        <v>Gaming</v>
      </c>
      <c r="E93" s="2">
        <f ca="1">IFERROR(__xludf.DUMMYFUNCTION("""COMPUTED_VALUE"""),17.3)</f>
        <v>17.3</v>
      </c>
      <c r="F93" s="2" t="str">
        <f ca="1">IFERROR(__xludf.DUMMYFUNCTION("""COMPUTED_VALUE"""),"Full HD 1920x1080")</f>
        <v>Full HD 1920x1080</v>
      </c>
      <c r="G93" s="2" t="str">
        <f ca="1">IFERROR(__xludf.DUMMYFUNCTION("""COMPUTED_VALUE"""),"Intel Core i7 7700HQ 2.8GHz")</f>
        <v>Intel Core i7 7700HQ 2.8GHz</v>
      </c>
      <c r="H93" s="2" t="str">
        <f ca="1">IFERROR(__xludf.DUMMYFUNCTION("""COMPUTED_VALUE"""),"12GB")</f>
        <v>12GB</v>
      </c>
      <c r="I93" s="2" t="str">
        <f ca="1">IFERROR(__xludf.DUMMYFUNCTION("""COMPUTED_VALUE"""),"1TB HDD")</f>
        <v>1TB HDD</v>
      </c>
      <c r="J93" s="2" t="str">
        <f ca="1">IFERROR(__xludf.DUMMYFUNCTION("""COMPUTED_VALUE"""),"Nvidia GeForce GTX 1060")</f>
        <v>Nvidia GeForce GTX 1060</v>
      </c>
      <c r="K93" s="2" t="str">
        <f ca="1">IFERROR(__xludf.DUMMYFUNCTION("""COMPUTED_VALUE"""),"Windows 10")</f>
        <v>Windows 10</v>
      </c>
      <c r="L93" s="2" t="str">
        <f ca="1">IFERROR(__xludf.DUMMYFUNCTION("""COMPUTED_VALUE"""),"2.62kg")</f>
        <v>2.62kg</v>
      </c>
      <c r="M93" s="2">
        <f ca="1">IFERROR(__xludf.DUMMYFUNCTION("""COMPUTED_VALUE"""),1799)</f>
        <v>1799</v>
      </c>
    </row>
    <row r="94" spans="1:13">
      <c r="A94" s="2">
        <f ca="1">IFERROR(__xludf.DUMMYFUNCTION("""COMPUTED_VALUE"""),849)</f>
        <v>849</v>
      </c>
      <c r="B94" s="2" t="str">
        <f ca="1">IFERROR(__xludf.DUMMYFUNCTION("""COMPUTED_VALUE"""),"Asus")</f>
        <v>Asus</v>
      </c>
      <c r="C94" s="2" t="str">
        <f ca="1">IFERROR(__xludf.DUMMYFUNCTION("""COMPUTED_VALUE"""),"Rog GL702VM-GC017T")</f>
        <v>Rog GL702VM-GC017T</v>
      </c>
      <c r="D94" s="2" t="str">
        <f ca="1">IFERROR(__xludf.DUMMYFUNCTION("""COMPUTED_VALUE"""),"Gaming")</f>
        <v>Gaming</v>
      </c>
      <c r="E94" s="2">
        <f ca="1">IFERROR(__xludf.DUMMYFUNCTION("""COMPUTED_VALUE"""),17.3)</f>
        <v>17.3</v>
      </c>
      <c r="F94" s="2" t="str">
        <f ca="1">IFERROR(__xludf.DUMMYFUNCTION("""COMPUTED_VALUE"""),"Full HD 1920x1080")</f>
        <v>Full HD 1920x1080</v>
      </c>
      <c r="G94" s="2" t="str">
        <f ca="1">IFERROR(__xludf.DUMMYFUNCTION("""COMPUTED_VALUE"""),"Intel Core i7 6700HQ 2.6GHz")</f>
        <v>Intel Core i7 6700HQ 2.6GHz</v>
      </c>
      <c r="H94" s="2" t="str">
        <f ca="1">IFERROR(__xludf.DUMMYFUNCTION("""COMPUTED_VALUE"""),"16GB")</f>
        <v>16GB</v>
      </c>
      <c r="I94" s="2" t="str">
        <f ca="1">IFERROR(__xludf.DUMMYFUNCTION("""COMPUTED_VALUE"""),"512GB SSD +  1TB HDD")</f>
        <v>512GB SSD +  1TB HDD</v>
      </c>
      <c r="J94" s="2" t="str">
        <f ca="1">IFERROR(__xludf.DUMMYFUNCTION("""COMPUTED_VALUE"""),"Nvidia GeForce GTX 1060")</f>
        <v>Nvidia GeForce GTX 1060</v>
      </c>
      <c r="K94" s="2" t="str">
        <f ca="1">IFERROR(__xludf.DUMMYFUNCTION("""COMPUTED_VALUE"""),"Windows 10")</f>
        <v>Windows 10</v>
      </c>
      <c r="L94" s="2" t="str">
        <f ca="1">IFERROR(__xludf.DUMMYFUNCTION("""COMPUTED_VALUE"""),"2.73kg")</f>
        <v>2.73kg</v>
      </c>
      <c r="M94" s="2">
        <f ca="1">IFERROR(__xludf.DUMMYFUNCTION("""COMPUTED_VALUE"""),1799)</f>
        <v>1799</v>
      </c>
    </row>
    <row r="95" spans="1:13">
      <c r="A95" s="2">
        <f ca="1">IFERROR(__xludf.DUMMYFUNCTION("""COMPUTED_VALUE"""),1261)</f>
        <v>1261</v>
      </c>
      <c r="B95" s="2" t="str">
        <f ca="1">IFERROR(__xludf.DUMMYFUNCTION("""COMPUTED_VALUE"""),"Dell")</f>
        <v>Dell</v>
      </c>
      <c r="C95" s="2" t="str">
        <f ca="1">IFERROR(__xludf.DUMMYFUNCTION("""COMPUTED_VALUE"""),"Inspiron 7779")</f>
        <v>Inspiron 7779</v>
      </c>
      <c r="D95" s="2" t="str">
        <f ca="1">IFERROR(__xludf.DUMMYFUNCTION("""COMPUTED_VALUE"""),"2 in 1 Convertible")</f>
        <v>2 in 1 Convertible</v>
      </c>
      <c r="E95" s="2">
        <f ca="1">IFERROR(__xludf.DUMMYFUNCTION("""COMPUTED_VALUE"""),17.3)</f>
        <v>17.3</v>
      </c>
      <c r="F95" s="2" t="str">
        <f ca="1">IFERROR(__xludf.DUMMYFUNCTION("""COMPUTED_VALUE"""),"Full HD / Touchscreen 1920x1080")</f>
        <v>Full HD / Touchscreen 1920x1080</v>
      </c>
      <c r="G95" s="2" t="str">
        <f ca="1">IFERROR(__xludf.DUMMYFUNCTION("""COMPUTED_VALUE"""),"Intel Core i7 7500U 2.7GHz")</f>
        <v>Intel Core i7 7500U 2.7GHz</v>
      </c>
      <c r="H95" s="2" t="str">
        <f ca="1">IFERROR(__xludf.DUMMYFUNCTION("""COMPUTED_VALUE"""),"16GB")</f>
        <v>16GB</v>
      </c>
      <c r="I95" s="2" t="str">
        <f ca="1">IFERROR(__xludf.DUMMYFUNCTION("""COMPUTED_VALUE"""),"512GB SSD")</f>
        <v>512GB SSD</v>
      </c>
      <c r="J95" s="2" t="str">
        <f ca="1">IFERROR(__xludf.DUMMYFUNCTION("""COMPUTED_VALUE"""),"Nvidia GeForce 940MX")</f>
        <v>Nvidia GeForce 940MX</v>
      </c>
      <c r="K95" s="2" t="str">
        <f ca="1">IFERROR(__xludf.DUMMYFUNCTION("""COMPUTED_VALUE"""),"Windows 10")</f>
        <v>Windows 10</v>
      </c>
      <c r="L95" s="2" t="str">
        <f ca="1">IFERROR(__xludf.DUMMYFUNCTION("""COMPUTED_VALUE"""),"2.77kg")</f>
        <v>2.77kg</v>
      </c>
      <c r="M95" s="2">
        <f ca="1">IFERROR(__xludf.DUMMYFUNCTION("""COMPUTED_VALUE"""),1799)</f>
        <v>1799</v>
      </c>
    </row>
    <row r="96" spans="1:13">
      <c r="A96" s="2">
        <f ca="1">IFERROR(__xludf.DUMMYFUNCTION("""COMPUTED_VALUE"""),577)</f>
        <v>577</v>
      </c>
      <c r="B96" s="2" t="str">
        <f ca="1">IFERROR(__xludf.DUMMYFUNCTION("""COMPUTED_VALUE"""),"HP")</f>
        <v>HP</v>
      </c>
      <c r="C96" s="2" t="str">
        <f ca="1">IFERROR(__xludf.DUMMYFUNCTION("""COMPUTED_VALUE"""),"ZBook 17")</f>
        <v>ZBook 17</v>
      </c>
      <c r="D96" s="2" t="str">
        <f ca="1">IFERROR(__xludf.DUMMYFUNCTION("""COMPUTED_VALUE"""),"Workstation")</f>
        <v>Workstation</v>
      </c>
      <c r="E96" s="2">
        <f ca="1">IFERROR(__xludf.DUMMYFUNCTION("""COMPUTED_VALUE"""),17.3)</f>
        <v>17.3</v>
      </c>
      <c r="F96" s="2" t="str">
        <f ca="1">IFERROR(__xludf.DUMMYFUNCTION("""COMPUTED_VALUE"""),"1600x900")</f>
        <v>1600x900</v>
      </c>
      <c r="G96" s="2" t="str">
        <f ca="1">IFERROR(__xludf.DUMMYFUNCTION("""COMPUTED_VALUE"""),"Intel Core i5 7440HQ 2.8GHz")</f>
        <v>Intel Core i5 7440HQ 2.8GHz</v>
      </c>
      <c r="H96" s="2" t="str">
        <f ca="1">IFERROR(__xludf.DUMMYFUNCTION("""COMPUTED_VALUE"""),"8GB")</f>
        <v>8GB</v>
      </c>
      <c r="I96" s="2" t="str">
        <f ca="1">IFERROR(__xludf.DUMMYFUNCTION("""COMPUTED_VALUE"""),"500GB HDD")</f>
        <v>500GB HDD</v>
      </c>
      <c r="J96" s="2" t="str">
        <f ca="1">IFERROR(__xludf.DUMMYFUNCTION("""COMPUTED_VALUE"""),"Nvidia Quadro M1200")</f>
        <v>Nvidia Quadro M1200</v>
      </c>
      <c r="K96" s="2" t="str">
        <f ca="1">IFERROR(__xludf.DUMMYFUNCTION("""COMPUTED_VALUE"""),"Windows 10")</f>
        <v>Windows 10</v>
      </c>
      <c r="L96" s="2" t="str">
        <f ca="1">IFERROR(__xludf.DUMMYFUNCTION("""COMPUTED_VALUE"""),"3.14kg")</f>
        <v>3.14kg</v>
      </c>
      <c r="M96" s="2">
        <f ca="1">IFERROR(__xludf.DUMMYFUNCTION("""COMPUTED_VALUE"""),1860.99)</f>
        <v>1860.99</v>
      </c>
    </row>
    <row r="97" spans="1:13">
      <c r="A97" s="2">
        <f ca="1">IFERROR(__xludf.DUMMYFUNCTION("""COMPUTED_VALUE"""),156)</f>
        <v>156</v>
      </c>
      <c r="B97" s="2" t="str">
        <f ca="1">IFERROR(__xludf.DUMMYFUNCTION("""COMPUTED_VALUE"""),"MSI")</f>
        <v>MSI</v>
      </c>
      <c r="C97" s="2" t="str">
        <f ca="1">IFERROR(__xludf.DUMMYFUNCTION("""COMPUTED_VALUE"""),"GE73VR 7RE")</f>
        <v>GE73VR 7RE</v>
      </c>
      <c r="D97" s="2" t="str">
        <f ca="1">IFERROR(__xludf.DUMMYFUNCTION("""COMPUTED_VALUE"""),"Gaming")</f>
        <v>Gaming</v>
      </c>
      <c r="E97" s="2">
        <f ca="1">IFERROR(__xludf.DUMMYFUNCTION("""COMPUTED_VALUE"""),17.3)</f>
        <v>17.3</v>
      </c>
      <c r="F97" s="2" t="str">
        <f ca="1">IFERROR(__xludf.DUMMYFUNCTION("""COMPUTED_VALUE"""),"Full HD 1920x1080")</f>
        <v>Full HD 1920x1080</v>
      </c>
      <c r="G97" s="2" t="str">
        <f ca="1">IFERROR(__xludf.DUMMYFUNCTION("""COMPUTED_VALUE"""),"Intel Core i7 7700HQ 2.8GHz")</f>
        <v>Intel Core i7 7700HQ 2.8GHz</v>
      </c>
      <c r="H97" s="2" t="str">
        <f ca="1">IFERROR(__xludf.DUMMYFUNCTION("""COMPUTED_VALUE"""),"16GB")</f>
        <v>16GB</v>
      </c>
      <c r="I97" s="2" t="str">
        <f ca="1">IFERROR(__xludf.DUMMYFUNCTION("""COMPUTED_VALUE"""),"256GB SSD +  1TB HDD")</f>
        <v>256GB SSD +  1TB HDD</v>
      </c>
      <c r="J97" s="2" t="str">
        <f ca="1">IFERROR(__xludf.DUMMYFUNCTION("""COMPUTED_VALUE"""),"Nvidia GeForce GTX 1060")</f>
        <v>Nvidia GeForce GTX 1060</v>
      </c>
      <c r="K97" s="2" t="str">
        <f ca="1">IFERROR(__xludf.DUMMYFUNCTION("""COMPUTED_VALUE"""),"Windows 10")</f>
        <v>Windows 10</v>
      </c>
      <c r="L97" s="2" t="str">
        <f ca="1">IFERROR(__xludf.DUMMYFUNCTION("""COMPUTED_VALUE"""),"2.8kg")</f>
        <v>2.8kg</v>
      </c>
      <c r="M97" s="2">
        <f ca="1">IFERROR(__xludf.DUMMYFUNCTION("""COMPUTED_VALUE"""),1890)</f>
        <v>1890</v>
      </c>
    </row>
    <row r="98" spans="1:13">
      <c r="A98" s="2">
        <f ca="1">IFERROR(__xludf.DUMMYFUNCTION("""COMPUTED_VALUE"""),1274)</f>
        <v>1274</v>
      </c>
      <c r="B98" s="2" t="str">
        <f ca="1">IFERROR(__xludf.DUMMYFUNCTION("""COMPUTED_VALUE"""),"Asus")</f>
        <v>Asus</v>
      </c>
      <c r="C98" s="2" t="str">
        <f ca="1">IFERROR(__xludf.DUMMYFUNCTION("""COMPUTED_VALUE"""),"Rog G752VT-GC073T")</f>
        <v>Rog G752VT-GC073T</v>
      </c>
      <c r="D98" s="2" t="str">
        <f ca="1">IFERROR(__xludf.DUMMYFUNCTION("""COMPUTED_VALUE"""),"Gaming")</f>
        <v>Gaming</v>
      </c>
      <c r="E98" s="2">
        <f ca="1">IFERROR(__xludf.DUMMYFUNCTION("""COMPUTED_VALUE"""),17.3)</f>
        <v>17.3</v>
      </c>
      <c r="F98" s="2" t="str">
        <f ca="1">IFERROR(__xludf.DUMMYFUNCTION("""COMPUTED_VALUE"""),"IPS Panel Full HD 1920x1080")</f>
        <v>IPS Panel Full HD 1920x1080</v>
      </c>
      <c r="G98" s="2" t="str">
        <f ca="1">IFERROR(__xludf.DUMMYFUNCTION("""COMPUTED_VALUE"""),"Intel Core i7 6700HQ 2.6GHz")</f>
        <v>Intel Core i7 6700HQ 2.6GHz</v>
      </c>
      <c r="H98" s="2" t="str">
        <f ca="1">IFERROR(__xludf.DUMMYFUNCTION("""COMPUTED_VALUE"""),"16GB")</f>
        <v>16GB</v>
      </c>
      <c r="I98" s="2" t="str">
        <f ca="1">IFERROR(__xludf.DUMMYFUNCTION("""COMPUTED_VALUE"""),"128GB SSD +  1TB HDD")</f>
        <v>128GB SSD +  1TB HDD</v>
      </c>
      <c r="J98" s="2" t="str">
        <f ca="1">IFERROR(__xludf.DUMMYFUNCTION("""COMPUTED_VALUE"""),"Nvidia GeForce GTX 970M")</f>
        <v>Nvidia GeForce GTX 970M</v>
      </c>
      <c r="K98" s="2" t="str">
        <f ca="1">IFERROR(__xludf.DUMMYFUNCTION("""COMPUTED_VALUE"""),"Windows 10")</f>
        <v>Windows 10</v>
      </c>
      <c r="L98" s="2" t="str">
        <f ca="1">IFERROR(__xludf.DUMMYFUNCTION("""COMPUTED_VALUE"""),"4.0kg")</f>
        <v>4.0kg</v>
      </c>
      <c r="M98" s="2">
        <f ca="1">IFERROR(__xludf.DUMMYFUNCTION("""COMPUTED_VALUE"""),1900)</f>
        <v>1900</v>
      </c>
    </row>
    <row r="99" spans="1:13">
      <c r="A99" s="2">
        <f ca="1">IFERROR(__xludf.DUMMYFUNCTION("""COMPUTED_VALUE"""),700)</f>
        <v>700</v>
      </c>
      <c r="B99" s="2" t="str">
        <f ca="1">IFERROR(__xludf.DUMMYFUNCTION("""COMPUTED_VALUE"""),"HP")</f>
        <v>HP</v>
      </c>
      <c r="C99" s="2" t="str">
        <f ca="1">IFERROR(__xludf.DUMMYFUNCTION("""COMPUTED_VALUE"""),"ZBook 17")</f>
        <v>ZBook 17</v>
      </c>
      <c r="D99" s="2" t="str">
        <f ca="1">IFERROR(__xludf.DUMMYFUNCTION("""COMPUTED_VALUE"""),"Workstation")</f>
        <v>Workstation</v>
      </c>
      <c r="E99" s="2">
        <f ca="1">IFERROR(__xludf.DUMMYFUNCTION("""COMPUTED_VALUE"""),17.3)</f>
        <v>17.3</v>
      </c>
      <c r="F99" s="2" t="str">
        <f ca="1">IFERROR(__xludf.DUMMYFUNCTION("""COMPUTED_VALUE"""),"Full HD 1920x1080")</f>
        <v>Full HD 1920x1080</v>
      </c>
      <c r="G99" s="2" t="str">
        <f ca="1">IFERROR(__xludf.DUMMYFUNCTION("""COMPUTED_VALUE"""),"Intel Core i7 7700HQ 2.8GHz")</f>
        <v>Intel Core i7 7700HQ 2.8GHz</v>
      </c>
      <c r="H99" s="2" t="str">
        <f ca="1">IFERROR(__xludf.DUMMYFUNCTION("""COMPUTED_VALUE"""),"8GB")</f>
        <v>8GB</v>
      </c>
      <c r="I99" s="2" t="str">
        <f ca="1">IFERROR(__xludf.DUMMYFUNCTION("""COMPUTED_VALUE"""),"500GB HDD")</f>
        <v>500GB HDD</v>
      </c>
      <c r="J99" s="2" t="str">
        <f ca="1">IFERROR(__xludf.DUMMYFUNCTION("""COMPUTED_VALUE"""),"Nvidia Quadro M1200")</f>
        <v>Nvidia Quadro M1200</v>
      </c>
      <c r="K99" s="2" t="str">
        <f ca="1">IFERROR(__xludf.DUMMYFUNCTION("""COMPUTED_VALUE"""),"Windows 10")</f>
        <v>Windows 10</v>
      </c>
      <c r="L99" s="2" t="str">
        <f ca="1">IFERROR(__xludf.DUMMYFUNCTION("""COMPUTED_VALUE"""),"3.14kg")</f>
        <v>3.14kg</v>
      </c>
      <c r="M99" s="2">
        <f ca="1">IFERROR(__xludf.DUMMYFUNCTION("""COMPUTED_VALUE"""),1907.99)</f>
        <v>1907.99</v>
      </c>
    </row>
    <row r="100" spans="1:13">
      <c r="A100" s="2">
        <f ca="1">IFERROR(__xludf.DUMMYFUNCTION("""COMPUTED_VALUE"""),738)</f>
        <v>738</v>
      </c>
      <c r="B100" s="2" t="str">
        <f ca="1">IFERROR(__xludf.DUMMYFUNCTION("""COMPUTED_VALUE"""),"Acer")</f>
        <v>Acer</v>
      </c>
      <c r="C100" s="2" t="str">
        <f ca="1">IFERROR(__xludf.DUMMYFUNCTION("""COMPUTED_VALUE"""),"Predator 17")</f>
        <v>Predator 17</v>
      </c>
      <c r="D100" s="2" t="str">
        <f ca="1">IFERROR(__xludf.DUMMYFUNCTION("""COMPUTED_VALUE"""),"Gaming")</f>
        <v>Gaming</v>
      </c>
      <c r="E100" s="2">
        <f ca="1">IFERROR(__xludf.DUMMYFUNCTION("""COMPUTED_VALUE"""),17.3)</f>
        <v>17.3</v>
      </c>
      <c r="F100" s="2" t="str">
        <f ca="1">IFERROR(__xludf.DUMMYFUNCTION("""COMPUTED_VALUE"""),"IPS Panel Full HD 1920x1080")</f>
        <v>IPS Panel Full HD 1920x1080</v>
      </c>
      <c r="G100" s="2" t="str">
        <f ca="1">IFERROR(__xludf.DUMMYFUNCTION("""COMPUTED_VALUE"""),"Intel Core i7 6700HQ 2.6GHz")</f>
        <v>Intel Core i7 6700HQ 2.6GHz</v>
      </c>
      <c r="H100" s="2" t="str">
        <f ca="1">IFERROR(__xludf.DUMMYFUNCTION("""COMPUTED_VALUE"""),"16GB")</f>
        <v>16GB</v>
      </c>
      <c r="I100" s="2" t="str">
        <f ca="1">IFERROR(__xludf.DUMMYFUNCTION("""COMPUTED_VALUE"""),"128GB SSD +  1TB HDD")</f>
        <v>128GB SSD +  1TB HDD</v>
      </c>
      <c r="J100" s="2" t="str">
        <f ca="1">IFERROR(__xludf.DUMMYFUNCTION("""COMPUTED_VALUE"""),"Nvidia GeForce GTX 1060")</f>
        <v>Nvidia GeForce GTX 1060</v>
      </c>
      <c r="K100" s="2" t="str">
        <f ca="1">IFERROR(__xludf.DUMMYFUNCTION("""COMPUTED_VALUE"""),"Windows 10")</f>
        <v>Windows 10</v>
      </c>
      <c r="L100" s="2" t="str">
        <f ca="1">IFERROR(__xludf.DUMMYFUNCTION("""COMPUTED_VALUE"""),"4.2kg")</f>
        <v>4.2kg</v>
      </c>
      <c r="M100" s="2">
        <f ca="1">IFERROR(__xludf.DUMMYFUNCTION("""COMPUTED_VALUE"""),1935)</f>
        <v>1935</v>
      </c>
    </row>
    <row r="101" spans="1:13">
      <c r="A101" s="2">
        <f ca="1">IFERROR(__xludf.DUMMYFUNCTION("""COMPUTED_VALUE"""),1230)</f>
        <v>1230</v>
      </c>
      <c r="B101" s="2" t="str">
        <f ca="1">IFERROR(__xludf.DUMMYFUNCTION("""COMPUTED_VALUE"""),"MSI")</f>
        <v>MSI</v>
      </c>
      <c r="C101" s="2" t="str">
        <f ca="1">IFERROR(__xludf.DUMMYFUNCTION("""COMPUTED_VALUE"""),"GS73VR Stealth")</f>
        <v>GS73VR Stealth</v>
      </c>
      <c r="D101" s="2" t="str">
        <f ca="1">IFERROR(__xludf.DUMMYFUNCTION("""COMPUTED_VALUE"""),"Gaming")</f>
        <v>Gaming</v>
      </c>
      <c r="E101" s="2">
        <f ca="1">IFERROR(__xludf.DUMMYFUNCTION("""COMPUTED_VALUE"""),17.3)</f>
        <v>17.3</v>
      </c>
      <c r="F101" s="2" t="str">
        <f ca="1">IFERROR(__xludf.DUMMYFUNCTION("""COMPUTED_VALUE"""),"IPS Panel Full HD 1920x1080")</f>
        <v>IPS Panel Full HD 1920x1080</v>
      </c>
      <c r="G101" s="2" t="str">
        <f ca="1">IFERROR(__xludf.DUMMYFUNCTION("""COMPUTED_VALUE"""),"Intel Core i7 6700HQ 2.6GHz")</f>
        <v>Intel Core i7 6700HQ 2.6GHz</v>
      </c>
      <c r="H101" s="2" t="str">
        <f ca="1">IFERROR(__xludf.DUMMYFUNCTION("""COMPUTED_VALUE"""),"16GB")</f>
        <v>16GB</v>
      </c>
      <c r="I101" s="2" t="str">
        <f ca="1">IFERROR(__xludf.DUMMYFUNCTION("""COMPUTED_VALUE"""),"256GB SSD +  1TB HDD")</f>
        <v>256GB SSD +  1TB HDD</v>
      </c>
      <c r="J101" s="2" t="str">
        <f ca="1">IFERROR(__xludf.DUMMYFUNCTION("""COMPUTED_VALUE"""),"Nvidia GeForce GTX 1060")</f>
        <v>Nvidia GeForce GTX 1060</v>
      </c>
      <c r="K101" s="2" t="str">
        <f ca="1">IFERROR(__xludf.DUMMYFUNCTION("""COMPUTED_VALUE"""),"Windows 10")</f>
        <v>Windows 10</v>
      </c>
      <c r="L101" s="2" t="str">
        <f ca="1">IFERROR(__xludf.DUMMYFUNCTION("""COMPUTED_VALUE"""),"2.43kg")</f>
        <v>2.43kg</v>
      </c>
      <c r="M101" s="2">
        <f ca="1">IFERROR(__xludf.DUMMYFUNCTION("""COMPUTED_VALUE"""),1948.99)</f>
        <v>1948.99</v>
      </c>
    </row>
    <row r="102" spans="1:13">
      <c r="A102" s="2">
        <f ca="1">IFERROR(__xludf.DUMMYFUNCTION("""COMPUTED_VALUE"""),1232)</f>
        <v>1232</v>
      </c>
      <c r="B102" s="2" t="str">
        <f ca="1">IFERROR(__xludf.DUMMYFUNCTION("""COMPUTED_VALUE"""),"Asus")</f>
        <v>Asus</v>
      </c>
      <c r="C102" s="2" t="str">
        <f ca="1">IFERROR(__xludf.DUMMYFUNCTION("""COMPUTED_VALUE"""),"ROG Strix")</f>
        <v>ROG Strix</v>
      </c>
      <c r="D102" s="2" t="str">
        <f ca="1">IFERROR(__xludf.DUMMYFUNCTION("""COMPUTED_VALUE"""),"Gaming")</f>
        <v>Gaming</v>
      </c>
      <c r="E102" s="2">
        <f ca="1">IFERROR(__xludf.DUMMYFUNCTION("""COMPUTED_VALUE"""),17.3)</f>
        <v>17.3</v>
      </c>
      <c r="F102" s="2" t="str">
        <f ca="1">IFERROR(__xludf.DUMMYFUNCTION("""COMPUTED_VALUE"""),"Full HD 1920x1080")</f>
        <v>Full HD 1920x1080</v>
      </c>
      <c r="G102" s="2" t="str">
        <f ca="1">IFERROR(__xludf.DUMMYFUNCTION("""COMPUTED_VALUE"""),"Intel Core i7 7700HQ 2.8GHz")</f>
        <v>Intel Core i7 7700HQ 2.8GHz</v>
      </c>
      <c r="H102" s="2" t="str">
        <f ca="1">IFERROR(__xludf.DUMMYFUNCTION("""COMPUTED_VALUE"""),"16GB")</f>
        <v>16GB</v>
      </c>
      <c r="I102" s="2" t="str">
        <f ca="1">IFERROR(__xludf.DUMMYFUNCTION("""COMPUTED_VALUE"""),"256GB SSD +  1TB HDD")</f>
        <v>256GB SSD +  1TB HDD</v>
      </c>
      <c r="J102" s="2" t="str">
        <f ca="1">IFERROR(__xludf.DUMMYFUNCTION("""COMPUTED_VALUE"""),"Nvidia GeForce GTX 1060")</f>
        <v>Nvidia GeForce GTX 1060</v>
      </c>
      <c r="K102" s="2" t="str">
        <f ca="1">IFERROR(__xludf.DUMMYFUNCTION("""COMPUTED_VALUE"""),"Windows 10")</f>
        <v>Windows 10</v>
      </c>
      <c r="L102" s="2" t="str">
        <f ca="1">IFERROR(__xludf.DUMMYFUNCTION("""COMPUTED_VALUE"""),"2.9kg")</f>
        <v>2.9kg</v>
      </c>
      <c r="M102" s="2">
        <f ca="1">IFERROR(__xludf.DUMMYFUNCTION("""COMPUTED_VALUE"""),1949)</f>
        <v>1949</v>
      </c>
    </row>
    <row r="103" spans="1:13">
      <c r="A103" s="2">
        <f ca="1">IFERROR(__xludf.DUMMYFUNCTION("""COMPUTED_VALUE"""),435)</f>
        <v>435</v>
      </c>
      <c r="B103" s="2" t="str">
        <f ca="1">IFERROR(__xludf.DUMMYFUNCTION("""COMPUTED_VALUE"""),"HP")</f>
        <v>HP</v>
      </c>
      <c r="C103" s="2" t="str">
        <f ca="1">IFERROR(__xludf.DUMMYFUNCTION("""COMPUTED_VALUE"""),"Omen 17-w207nv")</f>
        <v>Omen 17-w207nv</v>
      </c>
      <c r="D103" s="2" t="str">
        <f ca="1">IFERROR(__xludf.DUMMYFUNCTION("""COMPUTED_VALUE"""),"Gaming")</f>
        <v>Gaming</v>
      </c>
      <c r="E103" s="2">
        <f ca="1">IFERROR(__xludf.DUMMYFUNCTION("""COMPUTED_VALUE"""),17.3)</f>
        <v>17.3</v>
      </c>
      <c r="F103" s="2" t="str">
        <f ca="1">IFERROR(__xludf.DUMMYFUNCTION("""COMPUTED_VALUE"""),"Full HD 1920x1080")</f>
        <v>Full HD 1920x1080</v>
      </c>
      <c r="G103" s="2" t="str">
        <f ca="1">IFERROR(__xludf.DUMMYFUNCTION("""COMPUTED_VALUE"""),"Intel Core i7 7700HQ 2.8GHz")</f>
        <v>Intel Core i7 7700HQ 2.8GHz</v>
      </c>
      <c r="H103" s="2" t="str">
        <f ca="1">IFERROR(__xludf.DUMMYFUNCTION("""COMPUTED_VALUE"""),"12GB")</f>
        <v>12GB</v>
      </c>
      <c r="I103" s="2" t="str">
        <f ca="1">IFERROR(__xludf.DUMMYFUNCTION("""COMPUTED_VALUE"""),"256GB SSD +  1TB HDD")</f>
        <v>256GB SSD +  1TB HDD</v>
      </c>
      <c r="J103" s="2" t="str">
        <f ca="1">IFERROR(__xludf.DUMMYFUNCTION("""COMPUTED_VALUE"""),"Nvidia GeForce GTX 1070")</f>
        <v>Nvidia GeForce GTX 1070</v>
      </c>
      <c r="K103" s="2" t="str">
        <f ca="1">IFERROR(__xludf.DUMMYFUNCTION("""COMPUTED_VALUE"""),"Windows 10")</f>
        <v>Windows 10</v>
      </c>
      <c r="L103" s="2" t="str">
        <f ca="1">IFERROR(__xludf.DUMMYFUNCTION("""COMPUTED_VALUE"""),"3.35kg")</f>
        <v>3.35kg</v>
      </c>
      <c r="M103" s="2">
        <f ca="1">IFERROR(__xludf.DUMMYFUNCTION("""COMPUTED_VALUE"""),1999)</f>
        <v>1999</v>
      </c>
    </row>
    <row r="104" spans="1:13">
      <c r="A104" s="2">
        <f ca="1">IFERROR(__xludf.DUMMYFUNCTION("""COMPUTED_VALUE"""),151)</f>
        <v>151</v>
      </c>
      <c r="B104" s="2" t="str">
        <f ca="1">IFERROR(__xludf.DUMMYFUNCTION("""COMPUTED_VALUE"""),"MSI")</f>
        <v>MSI</v>
      </c>
      <c r="C104" s="2" t="str">
        <f ca="1">IFERROR(__xludf.DUMMYFUNCTION("""COMPUTED_VALUE"""),"GE72MVR 7RG")</f>
        <v>GE72MVR 7RG</v>
      </c>
      <c r="D104" s="2" t="str">
        <f ca="1">IFERROR(__xludf.DUMMYFUNCTION("""COMPUTED_VALUE"""),"Gaming")</f>
        <v>Gaming</v>
      </c>
      <c r="E104" s="2">
        <f ca="1">IFERROR(__xludf.DUMMYFUNCTION("""COMPUTED_VALUE"""),17.3)</f>
        <v>17.3</v>
      </c>
      <c r="F104" s="2" t="str">
        <f ca="1">IFERROR(__xludf.DUMMYFUNCTION("""COMPUTED_VALUE"""),"Full HD 1920x1080")</f>
        <v>Full HD 1920x1080</v>
      </c>
      <c r="G104" s="2" t="str">
        <f ca="1">IFERROR(__xludf.DUMMYFUNCTION("""COMPUTED_VALUE"""),"Intel Core i7 7700HQ 2.8GHz")</f>
        <v>Intel Core i7 7700HQ 2.8GHz</v>
      </c>
      <c r="H104" s="2" t="str">
        <f ca="1">IFERROR(__xludf.DUMMYFUNCTION("""COMPUTED_VALUE"""),"16GB")</f>
        <v>16GB</v>
      </c>
      <c r="I104" s="2" t="str">
        <f ca="1">IFERROR(__xludf.DUMMYFUNCTION("""COMPUTED_VALUE"""),"256GB SSD +  1TB HDD")</f>
        <v>256GB SSD +  1TB HDD</v>
      </c>
      <c r="J104" s="2" t="str">
        <f ca="1">IFERROR(__xludf.DUMMYFUNCTION("""COMPUTED_VALUE"""),"Nvidia GeForce GTX 1070")</f>
        <v>Nvidia GeForce GTX 1070</v>
      </c>
      <c r="K104" s="2" t="str">
        <f ca="1">IFERROR(__xludf.DUMMYFUNCTION("""COMPUTED_VALUE"""),"Windows 10")</f>
        <v>Windows 10</v>
      </c>
      <c r="L104" s="2" t="str">
        <f ca="1">IFERROR(__xludf.DUMMYFUNCTION("""COMPUTED_VALUE"""),"2.9kg")</f>
        <v>2.9kg</v>
      </c>
      <c r="M104" s="2">
        <f ca="1">IFERROR(__xludf.DUMMYFUNCTION("""COMPUTED_VALUE"""),2029)</f>
        <v>2029</v>
      </c>
    </row>
    <row r="105" spans="1:13">
      <c r="A105" s="2">
        <f ca="1">IFERROR(__xludf.DUMMYFUNCTION("""COMPUTED_VALUE"""),463)</f>
        <v>463</v>
      </c>
      <c r="B105" s="2" t="str">
        <f ca="1">IFERROR(__xludf.DUMMYFUNCTION("""COMPUTED_VALUE"""),"Dell")</f>
        <v>Dell</v>
      </c>
      <c r="C105" s="2" t="str">
        <f ca="1">IFERROR(__xludf.DUMMYFUNCTION("""COMPUTED_VALUE"""),"Alienware 17")</f>
        <v>Alienware 17</v>
      </c>
      <c r="D105" s="2" t="str">
        <f ca="1">IFERROR(__xludf.DUMMYFUNCTION("""COMPUTED_VALUE"""),"Notebook")</f>
        <v>Notebook</v>
      </c>
      <c r="E105" s="2">
        <f ca="1">IFERROR(__xludf.DUMMYFUNCTION("""COMPUTED_VALUE"""),17.3)</f>
        <v>17.3</v>
      </c>
      <c r="F105" s="2" t="str">
        <f ca="1">IFERROR(__xludf.DUMMYFUNCTION("""COMPUTED_VALUE"""),"IPS Panel Full HD 1920x1080")</f>
        <v>IPS Panel Full HD 1920x1080</v>
      </c>
      <c r="G105" s="2" t="str">
        <f ca="1">IFERROR(__xludf.DUMMYFUNCTION("""COMPUTED_VALUE"""),"Intel Core i7 7700HQ 2.7GHz")</f>
        <v>Intel Core i7 7700HQ 2.7GHz</v>
      </c>
      <c r="H105" s="2" t="str">
        <f ca="1">IFERROR(__xludf.DUMMYFUNCTION("""COMPUTED_VALUE"""),"8GB")</f>
        <v>8GB</v>
      </c>
      <c r="I105" s="2" t="str">
        <f ca="1">IFERROR(__xludf.DUMMYFUNCTION("""COMPUTED_VALUE"""),"1TB HDD")</f>
        <v>1TB HDD</v>
      </c>
      <c r="J105" s="2" t="str">
        <f ca="1">IFERROR(__xludf.DUMMYFUNCTION("""COMPUTED_VALUE"""),"Nvidia GeForce GTX 1060")</f>
        <v>Nvidia GeForce GTX 1060</v>
      </c>
      <c r="K105" s="2" t="str">
        <f ca="1">IFERROR(__xludf.DUMMYFUNCTION("""COMPUTED_VALUE"""),"Windows 10")</f>
        <v>Windows 10</v>
      </c>
      <c r="L105" s="2" t="str">
        <f ca="1">IFERROR(__xludf.DUMMYFUNCTION("""COMPUTED_VALUE"""),"4.42kg")</f>
        <v>4.42kg</v>
      </c>
      <c r="M105" s="2">
        <f ca="1">IFERROR(__xludf.DUMMYFUNCTION("""COMPUTED_VALUE"""),2046)</f>
        <v>2046</v>
      </c>
    </row>
    <row r="106" spans="1:13">
      <c r="A106" s="2">
        <f ca="1">IFERROR(__xludf.DUMMYFUNCTION("""COMPUTED_VALUE"""),1217)</f>
        <v>1217</v>
      </c>
      <c r="B106" s="2" t="str">
        <f ca="1">IFERROR(__xludf.DUMMYFUNCTION("""COMPUTED_VALUE"""),"MSI")</f>
        <v>MSI</v>
      </c>
      <c r="C106" s="2" t="str">
        <f ca="1">IFERROR(__xludf.DUMMYFUNCTION("""COMPUTED_VALUE"""),"GS73VR 7RF")</f>
        <v>GS73VR 7RF</v>
      </c>
      <c r="D106" s="2" t="str">
        <f ca="1">IFERROR(__xludf.DUMMYFUNCTION("""COMPUTED_VALUE"""),"Gaming")</f>
        <v>Gaming</v>
      </c>
      <c r="E106" s="2">
        <f ca="1">IFERROR(__xludf.DUMMYFUNCTION("""COMPUTED_VALUE"""),17.3)</f>
        <v>17.3</v>
      </c>
      <c r="F106" s="2" t="str">
        <f ca="1">IFERROR(__xludf.DUMMYFUNCTION("""COMPUTED_VALUE"""),"Full HD 1920x1080")</f>
        <v>Full HD 1920x1080</v>
      </c>
      <c r="G106" s="2" t="str">
        <f ca="1">IFERROR(__xludf.DUMMYFUNCTION("""COMPUTED_VALUE"""),"Intel Core i7 7700HQ 2.8GHz")</f>
        <v>Intel Core i7 7700HQ 2.8GHz</v>
      </c>
      <c r="H106" s="2" t="str">
        <f ca="1">IFERROR(__xludf.DUMMYFUNCTION("""COMPUTED_VALUE"""),"16GB")</f>
        <v>16GB</v>
      </c>
      <c r="I106" s="2" t="str">
        <f ca="1">IFERROR(__xludf.DUMMYFUNCTION("""COMPUTED_VALUE"""),"256GB SSD +  1TB HDD")</f>
        <v>256GB SSD +  1TB HDD</v>
      </c>
      <c r="J106" s="2" t="str">
        <f ca="1">IFERROR(__xludf.DUMMYFUNCTION("""COMPUTED_VALUE"""),"Nvidia GeForce GTX 1060")</f>
        <v>Nvidia GeForce GTX 1060</v>
      </c>
      <c r="K106" s="2" t="str">
        <f ca="1">IFERROR(__xludf.DUMMYFUNCTION("""COMPUTED_VALUE"""),"Windows 10")</f>
        <v>Windows 10</v>
      </c>
      <c r="L106" s="2" t="str">
        <f ca="1">IFERROR(__xludf.DUMMYFUNCTION("""COMPUTED_VALUE"""),"2.43kg")</f>
        <v>2.43kg</v>
      </c>
      <c r="M106" s="2">
        <f ca="1">IFERROR(__xludf.DUMMYFUNCTION("""COMPUTED_VALUE"""),2048.9)</f>
        <v>2048.9</v>
      </c>
    </row>
    <row r="107" spans="1:13">
      <c r="A107" s="2">
        <f ca="1">IFERROR(__xludf.DUMMYFUNCTION("""COMPUTED_VALUE"""),988)</f>
        <v>988</v>
      </c>
      <c r="B107" s="2" t="str">
        <f ca="1">IFERROR(__xludf.DUMMYFUNCTION("""COMPUTED_VALUE"""),"Asus")</f>
        <v>Asus</v>
      </c>
      <c r="C107" s="2" t="str">
        <f ca="1">IFERROR(__xludf.DUMMYFUNCTION("""COMPUTED_VALUE"""),"Rog Strix")</f>
        <v>Rog Strix</v>
      </c>
      <c r="D107" s="2" t="str">
        <f ca="1">IFERROR(__xludf.DUMMYFUNCTION("""COMPUTED_VALUE"""),"Gaming")</f>
        <v>Gaming</v>
      </c>
      <c r="E107" s="2">
        <f ca="1">IFERROR(__xludf.DUMMYFUNCTION("""COMPUTED_VALUE"""),17.3)</f>
        <v>17.3</v>
      </c>
      <c r="F107" s="2" t="str">
        <f ca="1">IFERROR(__xludf.DUMMYFUNCTION("""COMPUTED_VALUE"""),"Full HD 1920x1080")</f>
        <v>Full HD 1920x1080</v>
      </c>
      <c r="G107" s="2" t="str">
        <f ca="1">IFERROR(__xludf.DUMMYFUNCTION("""COMPUTED_VALUE"""),"Intel Core i7 7700HQ 2.8GHz")</f>
        <v>Intel Core i7 7700HQ 2.8GHz</v>
      </c>
      <c r="H107" s="2" t="str">
        <f ca="1">IFERROR(__xludf.DUMMYFUNCTION("""COMPUTED_VALUE"""),"16GB")</f>
        <v>16GB</v>
      </c>
      <c r="I107" s="2" t="str">
        <f ca="1">IFERROR(__xludf.DUMMYFUNCTION("""COMPUTED_VALUE"""),"256GB SSD +  1TB HDD")</f>
        <v>256GB SSD +  1TB HDD</v>
      </c>
      <c r="J107" s="2" t="str">
        <f ca="1">IFERROR(__xludf.DUMMYFUNCTION("""COMPUTED_VALUE"""),"Nvidia GeForce GTX 1060")</f>
        <v>Nvidia GeForce GTX 1060</v>
      </c>
      <c r="K107" s="2" t="str">
        <f ca="1">IFERROR(__xludf.DUMMYFUNCTION("""COMPUTED_VALUE"""),"Windows 10")</f>
        <v>Windows 10</v>
      </c>
      <c r="L107" s="2" t="str">
        <f ca="1">IFERROR(__xludf.DUMMYFUNCTION("""COMPUTED_VALUE"""),"2.73kg")</f>
        <v>2.73kg</v>
      </c>
      <c r="M107" s="2">
        <f ca="1">IFERROR(__xludf.DUMMYFUNCTION("""COMPUTED_VALUE"""),2049.9)</f>
        <v>2049.9</v>
      </c>
    </row>
    <row r="108" spans="1:13">
      <c r="A108" s="2">
        <f ca="1">IFERROR(__xludf.DUMMYFUNCTION("""COMPUTED_VALUE"""),306)</f>
        <v>306</v>
      </c>
      <c r="B108" s="2" t="str">
        <f ca="1">IFERROR(__xludf.DUMMYFUNCTION("""COMPUTED_VALUE"""),"Asus")</f>
        <v>Asus</v>
      </c>
      <c r="C108" s="2" t="str">
        <f ca="1">IFERROR(__xludf.DUMMYFUNCTION("""COMPUTED_VALUE"""),"Rog GL702VS-GC095T")</f>
        <v>Rog GL702VS-GC095T</v>
      </c>
      <c r="D108" s="2" t="str">
        <f ca="1">IFERROR(__xludf.DUMMYFUNCTION("""COMPUTED_VALUE"""),"Gaming")</f>
        <v>Gaming</v>
      </c>
      <c r="E108" s="2">
        <f ca="1">IFERROR(__xludf.DUMMYFUNCTION("""COMPUTED_VALUE"""),17.3)</f>
        <v>17.3</v>
      </c>
      <c r="F108" s="2" t="str">
        <f ca="1">IFERROR(__xludf.DUMMYFUNCTION("""COMPUTED_VALUE"""),"Full HD 1920x1080")</f>
        <v>Full HD 1920x1080</v>
      </c>
      <c r="G108" s="2" t="str">
        <f ca="1">IFERROR(__xludf.DUMMYFUNCTION("""COMPUTED_VALUE"""),"Intel Core i7 7700HQ 2.8GHz")</f>
        <v>Intel Core i7 7700HQ 2.8GHz</v>
      </c>
      <c r="H108" s="2" t="str">
        <f ca="1">IFERROR(__xludf.DUMMYFUNCTION("""COMPUTED_VALUE"""),"16GB")</f>
        <v>16GB</v>
      </c>
      <c r="I108" s="2" t="str">
        <f ca="1">IFERROR(__xludf.DUMMYFUNCTION("""COMPUTED_VALUE"""),"256GB SSD +  1TB HDD")</f>
        <v>256GB SSD +  1TB HDD</v>
      </c>
      <c r="J108" s="2" t="str">
        <f ca="1">IFERROR(__xludf.DUMMYFUNCTION("""COMPUTED_VALUE"""),"Nvidia GeForce GTX 1070")</f>
        <v>Nvidia GeForce GTX 1070</v>
      </c>
      <c r="K108" s="2" t="str">
        <f ca="1">IFERROR(__xludf.DUMMYFUNCTION("""COMPUTED_VALUE"""),"Windows 10")</f>
        <v>Windows 10</v>
      </c>
      <c r="L108" s="2" t="str">
        <f ca="1">IFERROR(__xludf.DUMMYFUNCTION("""COMPUTED_VALUE"""),"2.9kg")</f>
        <v>2.9kg</v>
      </c>
      <c r="M108" s="2">
        <f ca="1">IFERROR(__xludf.DUMMYFUNCTION("""COMPUTED_VALUE"""),2122)</f>
        <v>2122</v>
      </c>
    </row>
    <row r="109" spans="1:13">
      <c r="A109" s="2">
        <f ca="1">IFERROR(__xludf.DUMMYFUNCTION("""COMPUTED_VALUE"""),1215)</f>
        <v>1215</v>
      </c>
      <c r="B109" s="2" t="str">
        <f ca="1">IFERROR(__xludf.DUMMYFUNCTION("""COMPUTED_VALUE"""),"Asus")</f>
        <v>Asus</v>
      </c>
      <c r="C109" s="2" t="str">
        <f ca="1">IFERROR(__xludf.DUMMYFUNCTION("""COMPUTED_VALUE"""),"Rog G752VY-GC229T")</f>
        <v>Rog G752VY-GC229T</v>
      </c>
      <c r="D109" s="2" t="str">
        <f ca="1">IFERROR(__xludf.DUMMYFUNCTION("""COMPUTED_VALUE"""),"Gaming")</f>
        <v>Gaming</v>
      </c>
      <c r="E109" s="2">
        <f ca="1">IFERROR(__xludf.DUMMYFUNCTION("""COMPUTED_VALUE"""),17.3)</f>
        <v>17.3</v>
      </c>
      <c r="F109" s="2" t="str">
        <f ca="1">IFERROR(__xludf.DUMMYFUNCTION("""COMPUTED_VALUE"""),"IPS Panel Full HD 1920x1080")</f>
        <v>IPS Panel Full HD 1920x1080</v>
      </c>
      <c r="G109" s="2" t="str">
        <f ca="1">IFERROR(__xludf.DUMMYFUNCTION("""COMPUTED_VALUE"""),"Intel Core i7 6700HQ 2.6GHz")</f>
        <v>Intel Core i7 6700HQ 2.6GHz</v>
      </c>
      <c r="H109" s="2" t="str">
        <f ca="1">IFERROR(__xludf.DUMMYFUNCTION("""COMPUTED_VALUE"""),"16GB")</f>
        <v>16GB</v>
      </c>
      <c r="I109" s="2" t="str">
        <f ca="1">IFERROR(__xludf.DUMMYFUNCTION("""COMPUTED_VALUE"""),"512GB SSD +  1TB HDD")</f>
        <v>512GB SSD +  1TB HDD</v>
      </c>
      <c r="J109" s="2" t="str">
        <f ca="1">IFERROR(__xludf.DUMMYFUNCTION("""COMPUTED_VALUE"""),"Nvidia GeForce GTX 980M")</f>
        <v>Nvidia GeForce GTX 980M</v>
      </c>
      <c r="K109" s="2" t="str">
        <f ca="1">IFERROR(__xludf.DUMMYFUNCTION("""COMPUTED_VALUE"""),"Windows 10")</f>
        <v>Windows 10</v>
      </c>
      <c r="L109" s="2" t="str">
        <f ca="1">IFERROR(__xludf.DUMMYFUNCTION("""COMPUTED_VALUE"""),"4.3kg")</f>
        <v>4.3kg</v>
      </c>
      <c r="M109" s="2">
        <f ca="1">IFERROR(__xludf.DUMMYFUNCTION("""COMPUTED_VALUE"""),2150)</f>
        <v>2150</v>
      </c>
    </row>
    <row r="110" spans="1:13">
      <c r="A110" s="2">
        <f ca="1">IFERROR(__xludf.DUMMYFUNCTION("""COMPUTED_VALUE"""),378)</f>
        <v>378</v>
      </c>
      <c r="B110" s="2" t="str">
        <f ca="1">IFERROR(__xludf.DUMMYFUNCTION("""COMPUTED_VALUE"""),"Asus")</f>
        <v>Asus</v>
      </c>
      <c r="C110" s="2" t="str">
        <f ca="1">IFERROR(__xludf.DUMMYFUNCTION("""COMPUTED_VALUE"""),"Rog Strix")</f>
        <v>Rog Strix</v>
      </c>
      <c r="D110" s="2" t="str">
        <f ca="1">IFERROR(__xludf.DUMMYFUNCTION("""COMPUTED_VALUE"""),"Gaming")</f>
        <v>Gaming</v>
      </c>
      <c r="E110" s="2">
        <f ca="1">IFERROR(__xludf.DUMMYFUNCTION("""COMPUTED_VALUE"""),17.3)</f>
        <v>17.3</v>
      </c>
      <c r="F110" s="2" t="str">
        <f ca="1">IFERROR(__xludf.DUMMYFUNCTION("""COMPUTED_VALUE"""),"IPS Panel Full HD 1920x1080")</f>
        <v>IPS Panel Full HD 1920x1080</v>
      </c>
      <c r="G110" s="2" t="str">
        <f ca="1">IFERROR(__xludf.DUMMYFUNCTION("""COMPUTED_VALUE"""),"AMD Ryzen 1700 3GHz")</f>
        <v>AMD Ryzen 1700 3GHz</v>
      </c>
      <c r="H110" s="2" t="str">
        <f ca="1">IFERROR(__xludf.DUMMYFUNCTION("""COMPUTED_VALUE"""),"16GB")</f>
        <v>16GB</v>
      </c>
      <c r="I110" s="2" t="str">
        <f ca="1">IFERROR(__xludf.DUMMYFUNCTION("""COMPUTED_VALUE"""),"256GB SSD +  1TB HDD")</f>
        <v>256GB SSD +  1TB HDD</v>
      </c>
      <c r="J110" s="2" t="str">
        <f ca="1">IFERROR(__xludf.DUMMYFUNCTION("""COMPUTED_VALUE"""),"AMD Radeon RX 580")</f>
        <v>AMD Radeon RX 580</v>
      </c>
      <c r="K110" s="2" t="str">
        <f ca="1">IFERROR(__xludf.DUMMYFUNCTION("""COMPUTED_VALUE"""),"Windows 10")</f>
        <v>Windows 10</v>
      </c>
      <c r="L110" s="2" t="str">
        <f ca="1">IFERROR(__xludf.DUMMYFUNCTION("""COMPUTED_VALUE"""),"3.25kg")</f>
        <v>3.25kg</v>
      </c>
      <c r="M110" s="2">
        <f ca="1">IFERROR(__xludf.DUMMYFUNCTION("""COMPUTED_VALUE"""),2199)</f>
        <v>2199</v>
      </c>
    </row>
    <row r="111" spans="1:13">
      <c r="A111" s="2">
        <f ca="1">IFERROR(__xludf.DUMMYFUNCTION("""COMPUTED_VALUE"""),610)</f>
        <v>610</v>
      </c>
      <c r="B111" s="2" t="str">
        <f ca="1">IFERROR(__xludf.DUMMYFUNCTION("""COMPUTED_VALUE"""),"MSI")</f>
        <v>MSI</v>
      </c>
      <c r="C111" s="2" t="str">
        <f ca="1">IFERROR(__xludf.DUMMYFUNCTION("""COMPUTED_VALUE"""),"Laptop MSI")</f>
        <v>Laptop MSI</v>
      </c>
      <c r="D111" s="2" t="str">
        <f ca="1">IFERROR(__xludf.DUMMYFUNCTION("""COMPUTED_VALUE"""),"Gaming")</f>
        <v>Gaming</v>
      </c>
      <c r="E111" s="2">
        <f ca="1">IFERROR(__xludf.DUMMYFUNCTION("""COMPUTED_VALUE"""),17.3)</f>
        <v>17.3</v>
      </c>
      <c r="F111" s="2" t="str">
        <f ca="1">IFERROR(__xludf.DUMMYFUNCTION("""COMPUTED_VALUE"""),"Full HD 1920x1080")</f>
        <v>Full HD 1920x1080</v>
      </c>
      <c r="G111" s="2" t="str">
        <f ca="1">IFERROR(__xludf.DUMMYFUNCTION("""COMPUTED_VALUE"""),"Intel Core i7 6820HK 2.7GHz")</f>
        <v>Intel Core i7 6820HK 2.7GHz</v>
      </c>
      <c r="H111" s="2" t="str">
        <f ca="1">IFERROR(__xludf.DUMMYFUNCTION("""COMPUTED_VALUE"""),"16GB")</f>
        <v>16GB</v>
      </c>
      <c r="I111" s="2" t="str">
        <f ca="1">IFERROR(__xludf.DUMMYFUNCTION("""COMPUTED_VALUE"""),"128GB SSD +  1TB HDD")</f>
        <v>128GB SSD +  1TB HDD</v>
      </c>
      <c r="J111" s="2" t="str">
        <f ca="1">IFERROR(__xludf.DUMMYFUNCTION("""COMPUTED_VALUE"""),"Nvidia GeForce GTX 970M")</f>
        <v>Nvidia GeForce GTX 970M</v>
      </c>
      <c r="K111" s="2" t="str">
        <f ca="1">IFERROR(__xludf.DUMMYFUNCTION("""COMPUTED_VALUE"""),"Windows 10")</f>
        <v>Windows 10</v>
      </c>
      <c r="L111" s="2" t="str">
        <f ca="1">IFERROR(__xludf.DUMMYFUNCTION("""COMPUTED_VALUE"""),"4.14kg")</f>
        <v>4.14kg</v>
      </c>
      <c r="M111" s="2">
        <f ca="1">IFERROR(__xludf.DUMMYFUNCTION("""COMPUTED_VALUE"""),2199)</f>
        <v>2199</v>
      </c>
    </row>
    <row r="112" spans="1:13">
      <c r="A112" s="2">
        <f ca="1">IFERROR(__xludf.DUMMYFUNCTION("""COMPUTED_VALUE"""),411)</f>
        <v>411</v>
      </c>
      <c r="B112" s="2" t="str">
        <f ca="1">IFERROR(__xludf.DUMMYFUNCTION("""COMPUTED_VALUE"""),"MSI")</f>
        <v>MSI</v>
      </c>
      <c r="C112" s="2" t="str">
        <f ca="1">IFERROR(__xludf.DUMMYFUNCTION("""COMPUTED_VALUE"""),"GE73VR 7RF")</f>
        <v>GE73VR 7RF</v>
      </c>
      <c r="D112" s="2" t="str">
        <f ca="1">IFERROR(__xludf.DUMMYFUNCTION("""COMPUTED_VALUE"""),"Gaming")</f>
        <v>Gaming</v>
      </c>
      <c r="E112" s="2">
        <f ca="1">IFERROR(__xludf.DUMMYFUNCTION("""COMPUTED_VALUE"""),17.3)</f>
        <v>17.3</v>
      </c>
      <c r="F112" s="2" t="str">
        <f ca="1">IFERROR(__xludf.DUMMYFUNCTION("""COMPUTED_VALUE"""),"Full HD 1920x1080")</f>
        <v>Full HD 1920x1080</v>
      </c>
      <c r="G112" s="2" t="str">
        <f ca="1">IFERROR(__xludf.DUMMYFUNCTION("""COMPUTED_VALUE"""),"Intel Core i7 7700HQ 2.8GHz")</f>
        <v>Intel Core i7 7700HQ 2.8GHz</v>
      </c>
      <c r="H112" s="2" t="str">
        <f ca="1">IFERROR(__xludf.DUMMYFUNCTION("""COMPUTED_VALUE"""),"16GB")</f>
        <v>16GB</v>
      </c>
      <c r="I112" s="2" t="str">
        <f ca="1">IFERROR(__xludf.DUMMYFUNCTION("""COMPUTED_VALUE"""),"256GB SSD +  1TB HDD")</f>
        <v>256GB SSD +  1TB HDD</v>
      </c>
      <c r="J112" s="2" t="str">
        <f ca="1">IFERROR(__xludf.DUMMYFUNCTION("""COMPUTED_VALUE"""),"Nvidia GeForce GTX 1070")</f>
        <v>Nvidia GeForce GTX 1070</v>
      </c>
      <c r="K112" s="2" t="str">
        <f ca="1">IFERROR(__xludf.DUMMYFUNCTION("""COMPUTED_VALUE"""),"Windows 10")</f>
        <v>Windows 10</v>
      </c>
      <c r="L112" s="2" t="str">
        <f ca="1">IFERROR(__xludf.DUMMYFUNCTION("""COMPUTED_VALUE"""),"2.8kg")</f>
        <v>2.8kg</v>
      </c>
      <c r="M112" s="2">
        <f ca="1">IFERROR(__xludf.DUMMYFUNCTION("""COMPUTED_VALUE"""),2249)</f>
        <v>2249</v>
      </c>
    </row>
    <row r="113" spans="1:13">
      <c r="A113" s="2">
        <f ca="1">IFERROR(__xludf.DUMMYFUNCTION("""COMPUTED_VALUE"""),1062)</f>
        <v>1062</v>
      </c>
      <c r="B113" s="2" t="str">
        <f ca="1">IFERROR(__xludf.DUMMYFUNCTION("""COMPUTED_VALUE"""),"Lenovo")</f>
        <v>Lenovo</v>
      </c>
      <c r="C113" s="2" t="str">
        <f ca="1">IFERROR(__xludf.DUMMYFUNCTION("""COMPUTED_VALUE"""),"IdeaPad Y900-17ISK")</f>
        <v>IdeaPad Y900-17ISK</v>
      </c>
      <c r="D113" s="2" t="str">
        <f ca="1">IFERROR(__xludf.DUMMYFUNCTION("""COMPUTED_VALUE"""),"Gaming")</f>
        <v>Gaming</v>
      </c>
      <c r="E113" s="2">
        <f ca="1">IFERROR(__xludf.DUMMYFUNCTION("""COMPUTED_VALUE"""),17.3)</f>
        <v>17.3</v>
      </c>
      <c r="F113" s="2" t="str">
        <f ca="1">IFERROR(__xludf.DUMMYFUNCTION("""COMPUTED_VALUE"""),"IPS Panel Full HD 1920x1080")</f>
        <v>IPS Panel Full HD 1920x1080</v>
      </c>
      <c r="G113" s="2" t="str">
        <f ca="1">IFERROR(__xludf.DUMMYFUNCTION("""COMPUTED_VALUE"""),"Intel Core i7 6700HQ 2.6GHz")</f>
        <v>Intel Core i7 6700HQ 2.6GHz</v>
      </c>
      <c r="H113" s="2" t="str">
        <f ca="1">IFERROR(__xludf.DUMMYFUNCTION("""COMPUTED_VALUE"""),"16GB")</f>
        <v>16GB</v>
      </c>
      <c r="I113" s="2" t="str">
        <f ca="1">IFERROR(__xludf.DUMMYFUNCTION("""COMPUTED_VALUE"""),"128GB SSD +  1TB HDD")</f>
        <v>128GB SSD +  1TB HDD</v>
      </c>
      <c r="J113" s="2" t="str">
        <f ca="1">IFERROR(__xludf.DUMMYFUNCTION("""COMPUTED_VALUE"""),"Nvidia GeForce GTX 980M")</f>
        <v>Nvidia GeForce GTX 980M</v>
      </c>
      <c r="K113" s="2" t="str">
        <f ca="1">IFERROR(__xludf.DUMMYFUNCTION("""COMPUTED_VALUE"""),"Windows 10")</f>
        <v>Windows 10</v>
      </c>
      <c r="L113" s="2" t="str">
        <f ca="1">IFERROR(__xludf.DUMMYFUNCTION("""COMPUTED_VALUE"""),"4.6kg")</f>
        <v>4.6kg</v>
      </c>
      <c r="M113" s="2">
        <f ca="1">IFERROR(__xludf.DUMMYFUNCTION("""COMPUTED_VALUE"""),2289.99)</f>
        <v>2289.9899999999998</v>
      </c>
    </row>
    <row r="114" spans="1:13">
      <c r="A114" s="2">
        <f ca="1">IFERROR(__xludf.DUMMYFUNCTION("""COMPUTED_VALUE"""),797)</f>
        <v>797</v>
      </c>
      <c r="B114" s="2" t="str">
        <f ca="1">IFERROR(__xludf.DUMMYFUNCTION("""COMPUTED_VALUE"""),"Acer")</f>
        <v>Acer</v>
      </c>
      <c r="C114" s="2" t="str">
        <f ca="1">IFERROR(__xludf.DUMMYFUNCTION("""COMPUTED_VALUE"""),"Predator G9-793")</f>
        <v>Predator G9-793</v>
      </c>
      <c r="D114" s="2" t="str">
        <f ca="1">IFERROR(__xludf.DUMMYFUNCTION("""COMPUTED_VALUE"""),"Gaming")</f>
        <v>Gaming</v>
      </c>
      <c r="E114" s="2">
        <f ca="1">IFERROR(__xludf.DUMMYFUNCTION("""COMPUTED_VALUE"""),17.3)</f>
        <v>17.3</v>
      </c>
      <c r="F114" s="2" t="str">
        <f ca="1">IFERROR(__xludf.DUMMYFUNCTION("""COMPUTED_VALUE"""),"IPS Panel Full HD 1920x1080")</f>
        <v>IPS Panel Full HD 1920x1080</v>
      </c>
      <c r="G114" s="2" t="str">
        <f ca="1">IFERROR(__xludf.DUMMYFUNCTION("""COMPUTED_VALUE"""),"Intel Core i7 7700HQ 2.8GHz")</f>
        <v>Intel Core i7 7700HQ 2.8GHz</v>
      </c>
      <c r="H114" s="2" t="str">
        <f ca="1">IFERROR(__xludf.DUMMYFUNCTION("""COMPUTED_VALUE"""),"16GB")</f>
        <v>16GB</v>
      </c>
      <c r="I114" s="2" t="str">
        <f ca="1">IFERROR(__xludf.DUMMYFUNCTION("""COMPUTED_VALUE"""),"256GB SSD +  1TB HDD")</f>
        <v>256GB SSD +  1TB HDD</v>
      </c>
      <c r="J114" s="2" t="str">
        <f ca="1">IFERROR(__xludf.DUMMYFUNCTION("""COMPUTED_VALUE"""),"Nvidia GeForce GTX 1060")</f>
        <v>Nvidia GeForce GTX 1060</v>
      </c>
      <c r="K114" s="2" t="str">
        <f ca="1">IFERROR(__xludf.DUMMYFUNCTION("""COMPUTED_VALUE"""),"Windows 10")</f>
        <v>Windows 10</v>
      </c>
      <c r="L114" s="2" t="str">
        <f ca="1">IFERROR(__xludf.DUMMYFUNCTION("""COMPUTED_VALUE"""),"4.2kg")</f>
        <v>4.2kg</v>
      </c>
      <c r="M114" s="2">
        <f ca="1">IFERROR(__xludf.DUMMYFUNCTION("""COMPUTED_VALUE"""),2299)</f>
        <v>2299</v>
      </c>
    </row>
    <row r="115" spans="1:13">
      <c r="A115" s="2">
        <f ca="1">IFERROR(__xludf.DUMMYFUNCTION("""COMPUTED_VALUE"""),1114)</f>
        <v>1114</v>
      </c>
      <c r="B115" s="2" t="str">
        <f ca="1">IFERROR(__xludf.DUMMYFUNCTION("""COMPUTED_VALUE"""),"Asus")</f>
        <v>Asus</v>
      </c>
      <c r="C115" s="2" t="str">
        <f ca="1">IFERROR(__xludf.DUMMYFUNCTION("""COMPUTED_VALUE"""),"G752VY-GC162T (i7-6700HQ/16GB/1TB")</f>
        <v>G752VY-GC162T (i7-6700HQ/16GB/1TB</v>
      </c>
      <c r="D115" s="2" t="str">
        <f ca="1">IFERROR(__xludf.DUMMYFUNCTION("""COMPUTED_VALUE"""),"Gaming")</f>
        <v>Gaming</v>
      </c>
      <c r="E115" s="2">
        <f ca="1">IFERROR(__xludf.DUMMYFUNCTION("""COMPUTED_VALUE"""),17.3)</f>
        <v>17.3</v>
      </c>
      <c r="F115" s="2" t="str">
        <f ca="1">IFERROR(__xludf.DUMMYFUNCTION("""COMPUTED_VALUE"""),"IPS Panel Full HD 1920x1080")</f>
        <v>IPS Panel Full HD 1920x1080</v>
      </c>
      <c r="G115" s="2" t="str">
        <f ca="1">IFERROR(__xludf.DUMMYFUNCTION("""COMPUTED_VALUE"""),"Intel Core i7 6700HQ 2.6GHz")</f>
        <v>Intel Core i7 6700HQ 2.6GHz</v>
      </c>
      <c r="H115" s="2" t="str">
        <f ca="1">IFERROR(__xludf.DUMMYFUNCTION("""COMPUTED_VALUE"""),"16GB")</f>
        <v>16GB</v>
      </c>
      <c r="I115" s="2" t="str">
        <f ca="1">IFERROR(__xludf.DUMMYFUNCTION("""COMPUTED_VALUE"""),"128GB SSD +  1TB HDD")</f>
        <v>128GB SSD +  1TB HDD</v>
      </c>
      <c r="J115" s="2" t="str">
        <f ca="1">IFERROR(__xludf.DUMMYFUNCTION("""COMPUTED_VALUE"""),"Nvidia GeForce GTX 980M")</f>
        <v>Nvidia GeForce GTX 980M</v>
      </c>
      <c r="K115" s="2" t="str">
        <f ca="1">IFERROR(__xludf.DUMMYFUNCTION("""COMPUTED_VALUE"""),"Windows 10")</f>
        <v>Windows 10</v>
      </c>
      <c r="L115" s="2" t="str">
        <f ca="1">IFERROR(__xludf.DUMMYFUNCTION("""COMPUTED_VALUE"""),"4.3kg")</f>
        <v>4.3kg</v>
      </c>
      <c r="M115" s="2">
        <f ca="1">IFERROR(__xludf.DUMMYFUNCTION("""COMPUTED_VALUE"""),2299)</f>
        <v>2299</v>
      </c>
    </row>
    <row r="116" spans="1:13">
      <c r="A116" s="2">
        <f ca="1">IFERROR(__xludf.DUMMYFUNCTION("""COMPUTED_VALUE"""),592)</f>
        <v>592</v>
      </c>
      <c r="B116" s="2" t="str">
        <f ca="1">IFERROR(__xludf.DUMMYFUNCTION("""COMPUTED_VALUE"""),"MSI")</f>
        <v>MSI</v>
      </c>
      <c r="C116" s="2" t="str">
        <f ca="1">IFERROR(__xludf.DUMMYFUNCTION("""COMPUTED_VALUE"""),"GT80S 6QE")</f>
        <v>GT80S 6QE</v>
      </c>
      <c r="D116" s="2" t="str">
        <f ca="1">IFERROR(__xludf.DUMMYFUNCTION("""COMPUTED_VALUE"""),"Gaming")</f>
        <v>Gaming</v>
      </c>
      <c r="E116" s="2">
        <f ca="1">IFERROR(__xludf.DUMMYFUNCTION("""COMPUTED_VALUE"""),17.3)</f>
        <v>17.3</v>
      </c>
      <c r="F116" s="2" t="str">
        <f ca="1">IFERROR(__xludf.DUMMYFUNCTION("""COMPUTED_VALUE"""),"Full HD 1920x1080")</f>
        <v>Full HD 1920x1080</v>
      </c>
      <c r="G116" s="2" t="str">
        <f ca="1">IFERROR(__xludf.DUMMYFUNCTION("""COMPUTED_VALUE"""),"Intel Core i7 6820HK 2.7GHz")</f>
        <v>Intel Core i7 6820HK 2.7GHz</v>
      </c>
      <c r="H116" s="2" t="str">
        <f ca="1">IFERROR(__xludf.DUMMYFUNCTION("""COMPUTED_VALUE"""),"16GB")</f>
        <v>16GB</v>
      </c>
      <c r="I116" s="2" t="str">
        <f ca="1">IFERROR(__xludf.DUMMYFUNCTION("""COMPUTED_VALUE"""),"128GB SSD +  1TB HDD")</f>
        <v>128GB SSD +  1TB HDD</v>
      </c>
      <c r="J116" s="2" t="str">
        <f ca="1">IFERROR(__xludf.DUMMYFUNCTION("""COMPUTED_VALUE"""),"Nvidia GeForce GTX 980M")</f>
        <v>Nvidia GeForce GTX 980M</v>
      </c>
      <c r="K116" s="2" t="str">
        <f ca="1">IFERROR(__xludf.DUMMYFUNCTION("""COMPUTED_VALUE"""),"Windows 10")</f>
        <v>Windows 10</v>
      </c>
      <c r="L116" s="2" t="str">
        <f ca="1">IFERROR(__xludf.DUMMYFUNCTION("""COMPUTED_VALUE"""),"4.5kg")</f>
        <v>4.5kg</v>
      </c>
      <c r="M116" s="2">
        <f ca="1">IFERROR(__xludf.DUMMYFUNCTION("""COMPUTED_VALUE"""),2349)</f>
        <v>2349</v>
      </c>
    </row>
    <row r="117" spans="1:13">
      <c r="A117" s="2">
        <f ca="1">IFERROR(__xludf.DUMMYFUNCTION("""COMPUTED_VALUE"""),790)</f>
        <v>790</v>
      </c>
      <c r="B117" s="2" t="str">
        <f ca="1">IFERROR(__xludf.DUMMYFUNCTION("""COMPUTED_VALUE"""),"Asus")</f>
        <v>Asus</v>
      </c>
      <c r="C117" s="2" t="str">
        <f ca="1">IFERROR(__xludf.DUMMYFUNCTION("""COMPUTED_VALUE"""),"Rog G752VS-BA171T")</f>
        <v>Rog G752VS-BA171T</v>
      </c>
      <c r="D117" s="2" t="str">
        <f ca="1">IFERROR(__xludf.DUMMYFUNCTION("""COMPUTED_VALUE"""),"Gaming")</f>
        <v>Gaming</v>
      </c>
      <c r="E117" s="2">
        <f ca="1">IFERROR(__xludf.DUMMYFUNCTION("""COMPUTED_VALUE"""),17.3)</f>
        <v>17.3</v>
      </c>
      <c r="F117" s="2" t="str">
        <f ca="1">IFERROR(__xludf.DUMMYFUNCTION("""COMPUTED_VALUE"""),"IPS Panel Full HD 1920x1080")</f>
        <v>IPS Panel Full HD 1920x1080</v>
      </c>
      <c r="G117" s="2" t="str">
        <f ca="1">IFERROR(__xludf.DUMMYFUNCTION("""COMPUTED_VALUE"""),"Intel Core i7 6700HQ 2.6GHz")</f>
        <v>Intel Core i7 6700HQ 2.6GHz</v>
      </c>
      <c r="H117" s="2" t="str">
        <f ca="1">IFERROR(__xludf.DUMMYFUNCTION("""COMPUTED_VALUE"""),"16GB")</f>
        <v>16GB</v>
      </c>
      <c r="I117" s="2" t="str">
        <f ca="1">IFERROR(__xludf.DUMMYFUNCTION("""COMPUTED_VALUE"""),"256GB SSD +  1TB HDD")</f>
        <v>256GB SSD +  1TB HDD</v>
      </c>
      <c r="J117" s="2" t="str">
        <f ca="1">IFERROR(__xludf.DUMMYFUNCTION("""COMPUTED_VALUE"""),"Nvidia GeForce GTX 1070")</f>
        <v>Nvidia GeForce GTX 1070</v>
      </c>
      <c r="K117" s="2" t="str">
        <f ca="1">IFERROR(__xludf.DUMMYFUNCTION("""COMPUTED_VALUE"""),"Windows 10")</f>
        <v>Windows 10</v>
      </c>
      <c r="L117" s="2" t="str">
        <f ca="1">IFERROR(__xludf.DUMMYFUNCTION("""COMPUTED_VALUE"""),"4.3kg")</f>
        <v>4.3kg</v>
      </c>
      <c r="M117" s="2">
        <f ca="1">IFERROR(__xludf.DUMMYFUNCTION("""COMPUTED_VALUE"""),2350)</f>
        <v>2350</v>
      </c>
    </row>
    <row r="118" spans="1:13">
      <c r="A118" s="2">
        <f ca="1">IFERROR(__xludf.DUMMYFUNCTION("""COMPUTED_VALUE"""),1154)</f>
        <v>1154</v>
      </c>
      <c r="B118" s="2" t="str">
        <f ca="1">IFERROR(__xludf.DUMMYFUNCTION("""COMPUTED_VALUE"""),"MSI")</f>
        <v>MSI</v>
      </c>
      <c r="C118" s="2" t="str">
        <f ca="1">IFERROR(__xludf.DUMMYFUNCTION("""COMPUTED_VALUE"""),"GT72S Dominator")</f>
        <v>GT72S Dominator</v>
      </c>
      <c r="D118" s="2" t="str">
        <f ca="1">IFERROR(__xludf.DUMMYFUNCTION("""COMPUTED_VALUE"""),"Gaming")</f>
        <v>Gaming</v>
      </c>
      <c r="E118" s="2">
        <f ca="1">IFERROR(__xludf.DUMMYFUNCTION("""COMPUTED_VALUE"""),17.3)</f>
        <v>17.3</v>
      </c>
      <c r="F118" s="2" t="str">
        <f ca="1">IFERROR(__xludf.DUMMYFUNCTION("""COMPUTED_VALUE"""),"Full HD 1920x1080")</f>
        <v>Full HD 1920x1080</v>
      </c>
      <c r="G118" s="2" t="str">
        <f ca="1">IFERROR(__xludf.DUMMYFUNCTION("""COMPUTED_VALUE"""),"Intel Core i7 6820HQ 2.7GHz")</f>
        <v>Intel Core i7 6820HQ 2.7GHz</v>
      </c>
      <c r="H118" s="2" t="str">
        <f ca="1">IFERROR(__xludf.DUMMYFUNCTION("""COMPUTED_VALUE"""),"16GB")</f>
        <v>16GB</v>
      </c>
      <c r="I118" s="2" t="str">
        <f ca="1">IFERROR(__xludf.DUMMYFUNCTION("""COMPUTED_VALUE"""),"256GB SSD +  1TB HDD")</f>
        <v>256GB SSD +  1TB HDD</v>
      </c>
      <c r="J118" s="2" t="str">
        <f ca="1">IFERROR(__xludf.DUMMYFUNCTION("""COMPUTED_VALUE"""),"Nvidia GeForce GTX 980M")</f>
        <v>Nvidia GeForce GTX 980M</v>
      </c>
      <c r="K118" s="2" t="str">
        <f ca="1">IFERROR(__xludf.DUMMYFUNCTION("""COMPUTED_VALUE"""),"Windows 10")</f>
        <v>Windows 10</v>
      </c>
      <c r="L118" s="2" t="str">
        <f ca="1">IFERROR(__xludf.DUMMYFUNCTION("""COMPUTED_VALUE"""),"3.78kg")</f>
        <v>3.78kg</v>
      </c>
      <c r="M118" s="2">
        <f ca="1">IFERROR(__xludf.DUMMYFUNCTION("""COMPUTED_VALUE"""),2399)</f>
        <v>2399</v>
      </c>
    </row>
    <row r="119" spans="1:13">
      <c r="A119" s="2">
        <f ca="1">IFERROR(__xludf.DUMMYFUNCTION("""COMPUTED_VALUE"""),820)</f>
        <v>820</v>
      </c>
      <c r="B119" s="2" t="str">
        <f ca="1">IFERROR(__xludf.DUMMYFUNCTION("""COMPUTED_VALUE"""),"MSI")</f>
        <v>MSI</v>
      </c>
      <c r="C119" s="2" t="str">
        <f ca="1">IFERROR(__xludf.DUMMYFUNCTION("""COMPUTED_VALUE"""),"GE72MVR 7RG")</f>
        <v>GE72MVR 7RG</v>
      </c>
      <c r="D119" s="2" t="str">
        <f ca="1">IFERROR(__xludf.DUMMYFUNCTION("""COMPUTED_VALUE"""),"Gaming")</f>
        <v>Gaming</v>
      </c>
      <c r="E119" s="2">
        <f ca="1">IFERROR(__xludf.DUMMYFUNCTION("""COMPUTED_VALUE"""),17.3)</f>
        <v>17.3</v>
      </c>
      <c r="F119" s="2" t="str">
        <f ca="1">IFERROR(__xludf.DUMMYFUNCTION("""COMPUTED_VALUE"""),"Full HD 1920x1080")</f>
        <v>Full HD 1920x1080</v>
      </c>
      <c r="G119" s="2" t="str">
        <f ca="1">IFERROR(__xludf.DUMMYFUNCTION("""COMPUTED_VALUE"""),"Intel Core i7 7700HQ 2.8GHz")</f>
        <v>Intel Core i7 7700HQ 2.8GHz</v>
      </c>
      <c r="H119" s="2" t="str">
        <f ca="1">IFERROR(__xludf.DUMMYFUNCTION("""COMPUTED_VALUE"""),"16GB")</f>
        <v>16GB</v>
      </c>
      <c r="I119" s="2" t="str">
        <f ca="1">IFERROR(__xludf.DUMMYFUNCTION("""COMPUTED_VALUE"""),"512GB SSD +  1TB HDD")</f>
        <v>512GB SSD +  1TB HDD</v>
      </c>
      <c r="J119" s="2" t="str">
        <f ca="1">IFERROR(__xludf.DUMMYFUNCTION("""COMPUTED_VALUE"""),"Nvidia GeForce GTX 1070")</f>
        <v>Nvidia GeForce GTX 1070</v>
      </c>
      <c r="K119" s="2" t="str">
        <f ca="1">IFERROR(__xludf.DUMMYFUNCTION("""COMPUTED_VALUE"""),"Windows 10")</f>
        <v>Windows 10</v>
      </c>
      <c r="L119" s="2" t="str">
        <f ca="1">IFERROR(__xludf.DUMMYFUNCTION("""COMPUTED_VALUE"""),"2.9kg")</f>
        <v>2.9kg</v>
      </c>
      <c r="M119" s="2">
        <f ca="1">IFERROR(__xludf.DUMMYFUNCTION("""COMPUTED_VALUE"""),2415)</f>
        <v>2415</v>
      </c>
    </row>
    <row r="120" spans="1:13">
      <c r="A120" s="2">
        <f ca="1">IFERROR(__xludf.DUMMYFUNCTION("""COMPUTED_VALUE"""),845)</f>
        <v>845</v>
      </c>
      <c r="B120" s="2" t="str">
        <f ca="1">IFERROR(__xludf.DUMMYFUNCTION("""COMPUTED_VALUE"""),"Asus")</f>
        <v>Asus</v>
      </c>
      <c r="C120" s="2" t="str">
        <f ca="1">IFERROR(__xludf.DUMMYFUNCTION("""COMPUTED_VALUE"""),"Rog GL702VS-BA023T")</f>
        <v>Rog GL702VS-BA023T</v>
      </c>
      <c r="D120" s="2" t="str">
        <f ca="1">IFERROR(__xludf.DUMMYFUNCTION("""COMPUTED_VALUE"""),"Gaming")</f>
        <v>Gaming</v>
      </c>
      <c r="E120" s="2">
        <f ca="1">IFERROR(__xludf.DUMMYFUNCTION("""COMPUTED_VALUE"""),17.3)</f>
        <v>17.3</v>
      </c>
      <c r="F120" s="2" t="str">
        <f ca="1">IFERROR(__xludf.DUMMYFUNCTION("""COMPUTED_VALUE"""),"Full HD 1920x1080")</f>
        <v>Full HD 1920x1080</v>
      </c>
      <c r="G120" s="2" t="str">
        <f ca="1">IFERROR(__xludf.DUMMYFUNCTION("""COMPUTED_VALUE"""),"Intel Core i7 7700HQ 2.8GHz")</f>
        <v>Intel Core i7 7700HQ 2.8GHz</v>
      </c>
      <c r="H120" s="2" t="str">
        <f ca="1">IFERROR(__xludf.DUMMYFUNCTION("""COMPUTED_VALUE"""),"16GB")</f>
        <v>16GB</v>
      </c>
      <c r="I120" s="2" t="str">
        <f ca="1">IFERROR(__xludf.DUMMYFUNCTION("""COMPUTED_VALUE"""),"256GB SSD +  1TB HDD")</f>
        <v>256GB SSD +  1TB HDD</v>
      </c>
      <c r="J120" s="2" t="str">
        <f ca="1">IFERROR(__xludf.DUMMYFUNCTION("""COMPUTED_VALUE"""),"Nvidia GeForce GTX 1070")</f>
        <v>Nvidia GeForce GTX 1070</v>
      </c>
      <c r="K120" s="2" t="str">
        <f ca="1">IFERROR(__xludf.DUMMYFUNCTION("""COMPUTED_VALUE"""),"Windows 10")</f>
        <v>Windows 10</v>
      </c>
      <c r="L120" s="2" t="str">
        <f ca="1">IFERROR(__xludf.DUMMYFUNCTION("""COMPUTED_VALUE"""),"2.9kg")</f>
        <v>2.9kg</v>
      </c>
      <c r="M120" s="2">
        <f ca="1">IFERROR(__xludf.DUMMYFUNCTION("""COMPUTED_VALUE"""),2419)</f>
        <v>2419</v>
      </c>
    </row>
    <row r="121" spans="1:13">
      <c r="A121" s="2">
        <f ca="1">IFERROR(__xludf.DUMMYFUNCTION("""COMPUTED_VALUE"""),59)</f>
        <v>59</v>
      </c>
      <c r="B121" s="2" t="str">
        <f ca="1">IFERROR(__xludf.DUMMYFUNCTION("""COMPUTED_VALUE"""),"MSI")</f>
        <v>MSI</v>
      </c>
      <c r="C121" s="2" t="str">
        <f ca="1">IFERROR(__xludf.DUMMYFUNCTION("""COMPUTED_VALUE"""),"GS73VR 7RG")</f>
        <v>GS73VR 7RG</v>
      </c>
      <c r="D121" s="2" t="str">
        <f ca="1">IFERROR(__xludf.DUMMYFUNCTION("""COMPUTED_VALUE"""),"Gaming")</f>
        <v>Gaming</v>
      </c>
      <c r="E121" s="2">
        <f ca="1">IFERROR(__xludf.DUMMYFUNCTION("""COMPUTED_VALUE"""),17.3)</f>
        <v>17.3</v>
      </c>
      <c r="F121" s="2" t="str">
        <f ca="1">IFERROR(__xludf.DUMMYFUNCTION("""COMPUTED_VALUE"""),"Full HD 1920x1080")</f>
        <v>Full HD 1920x1080</v>
      </c>
      <c r="G121" s="2" t="str">
        <f ca="1">IFERROR(__xludf.DUMMYFUNCTION("""COMPUTED_VALUE"""),"Intel Core i7 7700HQ 2.8GHz")</f>
        <v>Intel Core i7 7700HQ 2.8GHz</v>
      </c>
      <c r="H121" s="2" t="str">
        <f ca="1">IFERROR(__xludf.DUMMYFUNCTION("""COMPUTED_VALUE"""),"16GB")</f>
        <v>16GB</v>
      </c>
      <c r="I121" s="2" t="str">
        <f ca="1">IFERROR(__xludf.DUMMYFUNCTION("""COMPUTED_VALUE"""),"256GB SSD +  2TB HDD")</f>
        <v>256GB SSD +  2TB HDD</v>
      </c>
      <c r="J121" s="2" t="str">
        <f ca="1">IFERROR(__xludf.DUMMYFUNCTION("""COMPUTED_VALUE"""),"Nvidia GeForce GTX 1070")</f>
        <v>Nvidia GeForce GTX 1070</v>
      </c>
      <c r="K121" s="2" t="str">
        <f ca="1">IFERROR(__xludf.DUMMYFUNCTION("""COMPUTED_VALUE"""),"Windows 10")</f>
        <v>Windows 10</v>
      </c>
      <c r="L121" s="2" t="str">
        <f ca="1">IFERROR(__xludf.DUMMYFUNCTION("""COMPUTED_VALUE"""),"2.43kg")</f>
        <v>2.43kg</v>
      </c>
      <c r="M121" s="2">
        <f ca="1">IFERROR(__xludf.DUMMYFUNCTION("""COMPUTED_VALUE"""),2449)</f>
        <v>2449</v>
      </c>
    </row>
    <row r="122" spans="1:13">
      <c r="A122" s="2">
        <f ca="1">IFERROR(__xludf.DUMMYFUNCTION("""COMPUTED_VALUE"""),229)</f>
        <v>229</v>
      </c>
      <c r="B122" s="2" t="str">
        <f ca="1">IFERROR(__xludf.DUMMYFUNCTION("""COMPUTED_VALUE"""),"Dell")</f>
        <v>Dell</v>
      </c>
      <c r="C122" s="2" t="str">
        <f ca="1">IFERROR(__xludf.DUMMYFUNCTION("""COMPUTED_VALUE"""),"Alienware 17")</f>
        <v>Alienware 17</v>
      </c>
      <c r="D122" s="2" t="str">
        <f ca="1">IFERROR(__xludf.DUMMYFUNCTION("""COMPUTED_VALUE"""),"Gaming")</f>
        <v>Gaming</v>
      </c>
      <c r="E122" s="2">
        <f ca="1">IFERROR(__xludf.DUMMYFUNCTION("""COMPUTED_VALUE"""),17.3)</f>
        <v>17.3</v>
      </c>
      <c r="F122" s="2" t="str">
        <f ca="1">IFERROR(__xludf.DUMMYFUNCTION("""COMPUTED_VALUE"""),"IPS Panel Full HD 1920x1080")</f>
        <v>IPS Panel Full HD 1920x1080</v>
      </c>
      <c r="G122" s="2" t="str">
        <f ca="1">IFERROR(__xludf.DUMMYFUNCTION("""COMPUTED_VALUE"""),"Intel Core i7 7700HQ 2.8GHz")</f>
        <v>Intel Core i7 7700HQ 2.8GHz</v>
      </c>
      <c r="H122" s="2" t="str">
        <f ca="1">IFERROR(__xludf.DUMMYFUNCTION("""COMPUTED_VALUE"""),"16GB")</f>
        <v>16GB</v>
      </c>
      <c r="I122" s="2" t="str">
        <f ca="1">IFERROR(__xludf.DUMMYFUNCTION("""COMPUTED_VALUE"""),"256GB SSD +  1TB HDD")</f>
        <v>256GB SSD +  1TB HDD</v>
      </c>
      <c r="J122" s="2" t="str">
        <f ca="1">IFERROR(__xludf.DUMMYFUNCTION("""COMPUTED_VALUE"""),"Nvidia GeForce GTX 1060")</f>
        <v>Nvidia GeForce GTX 1060</v>
      </c>
      <c r="K122" s="2" t="str">
        <f ca="1">IFERROR(__xludf.DUMMYFUNCTION("""COMPUTED_VALUE"""),"Windows 10")</f>
        <v>Windows 10</v>
      </c>
      <c r="L122" s="2" t="str">
        <f ca="1">IFERROR(__xludf.DUMMYFUNCTION("""COMPUTED_VALUE"""),"4.42kg")</f>
        <v>4.42kg</v>
      </c>
      <c r="M122" s="2">
        <f ca="1">IFERROR(__xludf.DUMMYFUNCTION("""COMPUTED_VALUE"""),2456.34)</f>
        <v>2456.34</v>
      </c>
    </row>
    <row r="123" spans="1:13">
      <c r="A123" s="2">
        <f ca="1">IFERROR(__xludf.DUMMYFUNCTION("""COMPUTED_VALUE"""),263)</f>
        <v>263</v>
      </c>
      <c r="B123" s="2" t="str">
        <f ca="1">IFERROR(__xludf.DUMMYFUNCTION("""COMPUTED_VALUE"""),"MSI")</f>
        <v>MSI</v>
      </c>
      <c r="C123" s="2" t="str">
        <f ca="1">IFERROR(__xludf.DUMMYFUNCTION("""COMPUTED_VALUE"""),"GT73EVR 7RE")</f>
        <v>GT73EVR 7RE</v>
      </c>
      <c r="D123" s="2" t="str">
        <f ca="1">IFERROR(__xludf.DUMMYFUNCTION("""COMPUTED_VALUE"""),"Gaming")</f>
        <v>Gaming</v>
      </c>
      <c r="E123" s="2">
        <f ca="1">IFERROR(__xludf.DUMMYFUNCTION("""COMPUTED_VALUE"""),17.3)</f>
        <v>17.3</v>
      </c>
      <c r="F123" s="2" t="str">
        <f ca="1">IFERROR(__xludf.DUMMYFUNCTION("""COMPUTED_VALUE"""),"Full HD 1920x1080")</f>
        <v>Full HD 1920x1080</v>
      </c>
      <c r="G123" s="2" t="str">
        <f ca="1">IFERROR(__xludf.DUMMYFUNCTION("""COMPUTED_VALUE"""),"Intel Core i7 7700HQ 2.8GHz")</f>
        <v>Intel Core i7 7700HQ 2.8GHz</v>
      </c>
      <c r="H123" s="2" t="str">
        <f ca="1">IFERROR(__xludf.DUMMYFUNCTION("""COMPUTED_VALUE"""),"16GB")</f>
        <v>16GB</v>
      </c>
      <c r="I123" s="2" t="str">
        <f ca="1">IFERROR(__xludf.DUMMYFUNCTION("""COMPUTED_VALUE"""),"512GB SSD +  1TB HDD")</f>
        <v>512GB SSD +  1TB HDD</v>
      </c>
      <c r="J123" s="2" t="str">
        <f ca="1">IFERROR(__xludf.DUMMYFUNCTION("""COMPUTED_VALUE"""),"Nvidia GeForce GTX 1070")</f>
        <v>Nvidia GeForce GTX 1070</v>
      </c>
      <c r="K123" s="2" t="str">
        <f ca="1">IFERROR(__xludf.DUMMYFUNCTION("""COMPUTED_VALUE"""),"Windows 10")</f>
        <v>Windows 10</v>
      </c>
      <c r="L123" s="2" t="str">
        <f ca="1">IFERROR(__xludf.DUMMYFUNCTION("""COMPUTED_VALUE"""),"4.14kg")</f>
        <v>4.14kg</v>
      </c>
      <c r="M123" s="2">
        <f ca="1">IFERROR(__xludf.DUMMYFUNCTION("""COMPUTED_VALUE"""),2499)</f>
        <v>2499</v>
      </c>
    </row>
    <row r="124" spans="1:13">
      <c r="A124" s="2">
        <f ca="1">IFERROR(__xludf.DUMMYFUNCTION("""COMPUTED_VALUE"""),1092)</f>
        <v>1092</v>
      </c>
      <c r="B124" s="2" t="str">
        <f ca="1">IFERROR(__xludf.DUMMYFUNCTION("""COMPUTED_VALUE"""),"MSI")</f>
        <v>MSI</v>
      </c>
      <c r="C124" s="2" t="str">
        <f ca="1">IFERROR(__xludf.DUMMYFUNCTION("""COMPUTED_VALUE"""),"GT72VR Dominator")</f>
        <v>GT72VR Dominator</v>
      </c>
      <c r="D124" s="2" t="str">
        <f ca="1">IFERROR(__xludf.DUMMYFUNCTION("""COMPUTED_VALUE"""),"Gaming")</f>
        <v>Gaming</v>
      </c>
      <c r="E124" s="2">
        <f ca="1">IFERROR(__xludf.DUMMYFUNCTION("""COMPUTED_VALUE"""),17.3)</f>
        <v>17.3</v>
      </c>
      <c r="F124" s="2" t="str">
        <f ca="1">IFERROR(__xludf.DUMMYFUNCTION("""COMPUTED_VALUE"""),"Full HD 1920x1080")</f>
        <v>Full HD 1920x1080</v>
      </c>
      <c r="G124" s="2" t="str">
        <f ca="1">IFERROR(__xludf.DUMMYFUNCTION("""COMPUTED_VALUE"""),"Intel Core i7 7700HQ 2.8GHz")</f>
        <v>Intel Core i7 7700HQ 2.8GHz</v>
      </c>
      <c r="H124" s="2" t="str">
        <f ca="1">IFERROR(__xludf.DUMMYFUNCTION("""COMPUTED_VALUE"""),"16GB")</f>
        <v>16GB</v>
      </c>
      <c r="I124" s="2" t="str">
        <f ca="1">IFERROR(__xludf.DUMMYFUNCTION("""COMPUTED_VALUE"""),"256GB SSD +  1TB HDD")</f>
        <v>256GB SSD +  1TB HDD</v>
      </c>
      <c r="J124" s="2" t="str">
        <f ca="1">IFERROR(__xludf.DUMMYFUNCTION("""COMPUTED_VALUE"""),"Nvidia GeForce GTX 1070")</f>
        <v>Nvidia GeForce GTX 1070</v>
      </c>
      <c r="K124" s="2" t="str">
        <f ca="1">IFERROR(__xludf.DUMMYFUNCTION("""COMPUTED_VALUE"""),"Windows 10")</f>
        <v>Windows 10</v>
      </c>
      <c r="L124" s="2" t="str">
        <f ca="1">IFERROR(__xludf.DUMMYFUNCTION("""COMPUTED_VALUE"""),"3.78kg")</f>
        <v>3.78kg</v>
      </c>
      <c r="M124" s="2">
        <f ca="1">IFERROR(__xludf.DUMMYFUNCTION("""COMPUTED_VALUE"""),2499)</f>
        <v>2499</v>
      </c>
    </row>
    <row r="125" spans="1:13">
      <c r="A125" s="2">
        <f ca="1">IFERROR(__xludf.DUMMYFUNCTION("""COMPUTED_VALUE"""),827)</f>
        <v>827</v>
      </c>
      <c r="B125" s="2" t="str">
        <f ca="1">IFERROR(__xludf.DUMMYFUNCTION("""COMPUTED_VALUE"""),"Dell")</f>
        <v>Dell</v>
      </c>
      <c r="C125" s="2" t="str">
        <f ca="1">IFERROR(__xludf.DUMMYFUNCTION("""COMPUTED_VALUE"""),"Alienware 17")</f>
        <v>Alienware 17</v>
      </c>
      <c r="D125" s="2" t="str">
        <f ca="1">IFERROR(__xludf.DUMMYFUNCTION("""COMPUTED_VALUE"""),"Gaming")</f>
        <v>Gaming</v>
      </c>
      <c r="E125" s="2">
        <f ca="1">IFERROR(__xludf.DUMMYFUNCTION("""COMPUTED_VALUE"""),17.3)</f>
        <v>17.3</v>
      </c>
      <c r="F125" s="2" t="str">
        <f ca="1">IFERROR(__xludf.DUMMYFUNCTION("""COMPUTED_VALUE"""),"IPS Panel Full HD 1920x1080")</f>
        <v>IPS Panel Full HD 1920x1080</v>
      </c>
      <c r="G125" s="2" t="str">
        <f ca="1">IFERROR(__xludf.DUMMYFUNCTION("""COMPUTED_VALUE"""),"Intel Core i7 7700HQ 2.8GHz")</f>
        <v>Intel Core i7 7700HQ 2.8GHz</v>
      </c>
      <c r="H125" s="2" t="str">
        <f ca="1">IFERROR(__xludf.DUMMYFUNCTION("""COMPUTED_VALUE"""),"16GB")</f>
        <v>16GB</v>
      </c>
      <c r="I125" s="2" t="str">
        <f ca="1">IFERROR(__xludf.DUMMYFUNCTION("""COMPUTED_VALUE"""),"128GB SSD +  1TB HDD")</f>
        <v>128GB SSD +  1TB HDD</v>
      </c>
      <c r="J125" s="2" t="str">
        <f ca="1">IFERROR(__xludf.DUMMYFUNCTION("""COMPUTED_VALUE"""),"Nvidia GeForce GTX 1060")</f>
        <v>Nvidia GeForce GTX 1060</v>
      </c>
      <c r="K125" s="2" t="str">
        <f ca="1">IFERROR(__xludf.DUMMYFUNCTION("""COMPUTED_VALUE"""),"Windows 10")</f>
        <v>Windows 10</v>
      </c>
      <c r="L125" s="2" t="str">
        <f ca="1">IFERROR(__xludf.DUMMYFUNCTION("""COMPUTED_VALUE"""),"4.36kg")</f>
        <v>4.36kg</v>
      </c>
      <c r="M125" s="2">
        <f ca="1">IFERROR(__xludf.DUMMYFUNCTION("""COMPUTED_VALUE"""),2505.02)</f>
        <v>2505.02</v>
      </c>
    </row>
    <row r="126" spans="1:13">
      <c r="A126" s="2">
        <f ca="1">IFERROR(__xludf.DUMMYFUNCTION("""COMPUTED_VALUE"""),1207)</f>
        <v>1207</v>
      </c>
      <c r="B126" s="2" t="str">
        <f ca="1">IFERROR(__xludf.DUMMYFUNCTION("""COMPUTED_VALUE"""),"Acer")</f>
        <v>Acer</v>
      </c>
      <c r="C126" s="2" t="str">
        <f ca="1">IFERROR(__xludf.DUMMYFUNCTION("""COMPUTED_VALUE"""),"Predator G9-793")</f>
        <v>Predator G9-793</v>
      </c>
      <c r="D126" s="2" t="str">
        <f ca="1">IFERROR(__xludf.DUMMYFUNCTION("""COMPUTED_VALUE"""),"Gaming")</f>
        <v>Gaming</v>
      </c>
      <c r="E126" s="2">
        <f ca="1">IFERROR(__xludf.DUMMYFUNCTION("""COMPUTED_VALUE"""),17.3)</f>
        <v>17.3</v>
      </c>
      <c r="F126" s="2" t="str">
        <f ca="1">IFERROR(__xludf.DUMMYFUNCTION("""COMPUTED_VALUE"""),"IPS Panel Full HD 1920x1080")</f>
        <v>IPS Panel Full HD 1920x1080</v>
      </c>
      <c r="G126" s="2" t="str">
        <f ca="1">IFERROR(__xludf.DUMMYFUNCTION("""COMPUTED_VALUE"""),"Intel Core i7 7700HQ 2.8GHz")</f>
        <v>Intel Core i7 7700HQ 2.8GHz</v>
      </c>
      <c r="H126" s="2" t="str">
        <f ca="1">IFERROR(__xludf.DUMMYFUNCTION("""COMPUTED_VALUE"""),"16GB")</f>
        <v>16GB</v>
      </c>
      <c r="I126" s="2" t="str">
        <f ca="1">IFERROR(__xludf.DUMMYFUNCTION("""COMPUTED_VALUE"""),"256GB SSD +  1TB HDD")</f>
        <v>256GB SSD +  1TB HDD</v>
      </c>
      <c r="J126" s="2" t="str">
        <f ca="1">IFERROR(__xludf.DUMMYFUNCTION("""COMPUTED_VALUE"""),"Nvidia GeForce GTX 1070")</f>
        <v>Nvidia GeForce GTX 1070</v>
      </c>
      <c r="K126" s="2" t="str">
        <f ca="1">IFERROR(__xludf.DUMMYFUNCTION("""COMPUTED_VALUE"""),"Windows 10")</f>
        <v>Windows 10</v>
      </c>
      <c r="L126" s="2" t="str">
        <f ca="1">IFERROR(__xludf.DUMMYFUNCTION("""COMPUTED_VALUE"""),"4.2kg")</f>
        <v>4.2kg</v>
      </c>
      <c r="M126" s="2">
        <f ca="1">IFERROR(__xludf.DUMMYFUNCTION("""COMPUTED_VALUE"""),2599)</f>
        <v>2599</v>
      </c>
    </row>
    <row r="127" spans="1:13">
      <c r="A127" s="2">
        <f ca="1">IFERROR(__xludf.DUMMYFUNCTION("""COMPUTED_VALUE"""),905)</f>
        <v>905</v>
      </c>
      <c r="B127" s="2" t="str">
        <f ca="1">IFERROR(__xludf.DUMMYFUNCTION("""COMPUTED_VALUE"""),"MSI")</f>
        <v>MSI</v>
      </c>
      <c r="C127" s="2" t="str">
        <f ca="1">IFERROR(__xludf.DUMMYFUNCTION("""COMPUTED_VALUE"""),"GS73VR Stealth")</f>
        <v>GS73VR Stealth</v>
      </c>
      <c r="D127" s="2" t="str">
        <f ca="1">IFERROR(__xludf.DUMMYFUNCTION("""COMPUTED_VALUE"""),"Gaming")</f>
        <v>Gaming</v>
      </c>
      <c r="E127" s="2">
        <f ca="1">IFERROR(__xludf.DUMMYFUNCTION("""COMPUTED_VALUE"""),17.3)</f>
        <v>17.3</v>
      </c>
      <c r="F127" s="2" t="str">
        <f ca="1">IFERROR(__xludf.DUMMYFUNCTION("""COMPUTED_VALUE"""),"IPS Panel 4K Ultra HD 3840x2160")</f>
        <v>IPS Panel 4K Ultra HD 3840x2160</v>
      </c>
      <c r="G127" s="2" t="str">
        <f ca="1">IFERROR(__xludf.DUMMYFUNCTION("""COMPUTED_VALUE"""),"Intel Core i7 6700HQ 2.6GHz")</f>
        <v>Intel Core i7 6700HQ 2.6GHz</v>
      </c>
      <c r="H127" s="2" t="str">
        <f ca="1">IFERROR(__xludf.DUMMYFUNCTION("""COMPUTED_VALUE"""),"16GB")</f>
        <v>16GB</v>
      </c>
      <c r="I127" s="2" t="str">
        <f ca="1">IFERROR(__xludf.DUMMYFUNCTION("""COMPUTED_VALUE"""),"512GB SSD +  2TB HDD")</f>
        <v>512GB SSD +  2TB HDD</v>
      </c>
      <c r="J127" s="2" t="str">
        <f ca="1">IFERROR(__xludf.DUMMYFUNCTION("""COMPUTED_VALUE"""),"Nvidia GeForce GTX 1060")</f>
        <v>Nvidia GeForce GTX 1060</v>
      </c>
      <c r="K127" s="2" t="str">
        <f ca="1">IFERROR(__xludf.DUMMYFUNCTION("""COMPUTED_VALUE"""),"Windows 10")</f>
        <v>Windows 10</v>
      </c>
      <c r="L127" s="2" t="str">
        <f ca="1">IFERROR(__xludf.DUMMYFUNCTION("""COMPUTED_VALUE"""),"2.43kg")</f>
        <v>2.43kg</v>
      </c>
      <c r="M127" s="2">
        <f ca="1">IFERROR(__xludf.DUMMYFUNCTION("""COMPUTED_VALUE"""),2649)</f>
        <v>2649</v>
      </c>
    </row>
    <row r="128" spans="1:13">
      <c r="A128" s="2">
        <f ca="1">IFERROR(__xludf.DUMMYFUNCTION("""COMPUTED_VALUE"""),584)</f>
        <v>584</v>
      </c>
      <c r="B128" s="2" t="str">
        <f ca="1">IFERROR(__xludf.DUMMYFUNCTION("""COMPUTED_VALUE"""),"Lenovo")</f>
        <v>Lenovo</v>
      </c>
      <c r="C128" s="2" t="str">
        <f ca="1">IFERROR(__xludf.DUMMYFUNCTION("""COMPUTED_VALUE"""),"IdeaPad Y910-17ISK")</f>
        <v>IdeaPad Y910-17ISK</v>
      </c>
      <c r="D128" s="2" t="str">
        <f ca="1">IFERROR(__xludf.DUMMYFUNCTION("""COMPUTED_VALUE"""),"Gaming")</f>
        <v>Gaming</v>
      </c>
      <c r="E128" s="2">
        <f ca="1">IFERROR(__xludf.DUMMYFUNCTION("""COMPUTED_VALUE"""),17.3)</f>
        <v>17.3</v>
      </c>
      <c r="F128" s="2" t="str">
        <f ca="1">IFERROR(__xludf.DUMMYFUNCTION("""COMPUTED_VALUE"""),"IPS Panel Full HD 1920x1080")</f>
        <v>IPS Panel Full HD 1920x1080</v>
      </c>
      <c r="G128" s="2" t="str">
        <f ca="1">IFERROR(__xludf.DUMMYFUNCTION("""COMPUTED_VALUE"""),"Intel Core i7 6820HK 2.7GHz")</f>
        <v>Intel Core i7 6820HK 2.7GHz</v>
      </c>
      <c r="H128" s="2" t="str">
        <f ca="1">IFERROR(__xludf.DUMMYFUNCTION("""COMPUTED_VALUE"""),"32GB")</f>
        <v>32GB</v>
      </c>
      <c r="I128" s="2" t="str">
        <f ca="1">IFERROR(__xludf.DUMMYFUNCTION("""COMPUTED_VALUE"""),"256GB SSD +  1TB HDD")</f>
        <v>256GB SSD +  1TB HDD</v>
      </c>
      <c r="J128" s="2" t="str">
        <f ca="1">IFERROR(__xludf.DUMMYFUNCTION("""COMPUTED_VALUE"""),"Nvidia GeForce GTX 1070")</f>
        <v>Nvidia GeForce GTX 1070</v>
      </c>
      <c r="K128" s="2" t="str">
        <f ca="1">IFERROR(__xludf.DUMMYFUNCTION("""COMPUTED_VALUE"""),"Windows 10")</f>
        <v>Windows 10</v>
      </c>
      <c r="L128" s="2" t="str">
        <f ca="1">IFERROR(__xludf.DUMMYFUNCTION("""COMPUTED_VALUE"""),"4.6kg")</f>
        <v>4.6kg</v>
      </c>
      <c r="M128" s="2">
        <f ca="1">IFERROR(__xludf.DUMMYFUNCTION("""COMPUTED_VALUE"""),2663)</f>
        <v>2663</v>
      </c>
    </row>
    <row r="129" spans="1:13">
      <c r="A129" s="2">
        <f ca="1">IFERROR(__xludf.DUMMYFUNCTION("""COMPUTED_VALUE"""),559)</f>
        <v>559</v>
      </c>
      <c r="B129" s="2" t="str">
        <f ca="1">IFERROR(__xludf.DUMMYFUNCTION("""COMPUTED_VALUE"""),"Dell")</f>
        <v>Dell</v>
      </c>
      <c r="C129" s="2" t="str">
        <f ca="1">IFERROR(__xludf.DUMMYFUNCTION("""COMPUTED_VALUE"""),"Alienware 17")</f>
        <v>Alienware 17</v>
      </c>
      <c r="D129" s="2" t="str">
        <f ca="1">IFERROR(__xludf.DUMMYFUNCTION("""COMPUTED_VALUE"""),"Gaming")</f>
        <v>Gaming</v>
      </c>
      <c r="E129" s="2">
        <f ca="1">IFERROR(__xludf.DUMMYFUNCTION("""COMPUTED_VALUE"""),17.3)</f>
        <v>17.3</v>
      </c>
      <c r="F129" s="2" t="str">
        <f ca="1">IFERROR(__xludf.DUMMYFUNCTION("""COMPUTED_VALUE"""),"IPS Panel Full HD 1920x1080")</f>
        <v>IPS Panel Full HD 1920x1080</v>
      </c>
      <c r="G129" s="2" t="str">
        <f ca="1">IFERROR(__xludf.DUMMYFUNCTION("""COMPUTED_VALUE"""),"Intel Core i7 7700HQ 2.8GHz")</f>
        <v>Intel Core i7 7700HQ 2.8GHz</v>
      </c>
      <c r="H129" s="2" t="str">
        <f ca="1">IFERROR(__xludf.DUMMYFUNCTION("""COMPUTED_VALUE"""),"16GB")</f>
        <v>16GB</v>
      </c>
      <c r="I129" s="2" t="str">
        <f ca="1">IFERROR(__xludf.DUMMYFUNCTION("""COMPUTED_VALUE"""),"256GB SSD +  1TB HDD")</f>
        <v>256GB SSD +  1TB HDD</v>
      </c>
      <c r="J129" s="2" t="str">
        <f ca="1">IFERROR(__xludf.DUMMYFUNCTION("""COMPUTED_VALUE"""),"Nvidia GeForce GTX 1070")</f>
        <v>Nvidia GeForce GTX 1070</v>
      </c>
      <c r="K129" s="2" t="str">
        <f ca="1">IFERROR(__xludf.DUMMYFUNCTION("""COMPUTED_VALUE"""),"Windows 10")</f>
        <v>Windows 10</v>
      </c>
      <c r="L129" s="2" t="str">
        <f ca="1">IFERROR(__xludf.DUMMYFUNCTION("""COMPUTED_VALUE"""),"4.42kg")</f>
        <v>4.42kg</v>
      </c>
      <c r="M129" s="2">
        <f ca="1">IFERROR(__xludf.DUMMYFUNCTION("""COMPUTED_VALUE"""),2699)</f>
        <v>2699</v>
      </c>
    </row>
    <row r="130" spans="1:13">
      <c r="A130" s="2">
        <f ca="1">IFERROR(__xludf.DUMMYFUNCTION("""COMPUTED_VALUE"""),585)</f>
        <v>585</v>
      </c>
      <c r="B130" s="2" t="str">
        <f ca="1">IFERROR(__xludf.DUMMYFUNCTION("""COMPUTED_VALUE"""),"MSI")</f>
        <v>MSI</v>
      </c>
      <c r="C130" s="2" t="str">
        <f ca="1">IFERROR(__xludf.DUMMYFUNCTION("""COMPUTED_VALUE"""),"GT73VR Titan")</f>
        <v>GT73VR Titan</v>
      </c>
      <c r="D130" s="2" t="str">
        <f ca="1">IFERROR(__xludf.DUMMYFUNCTION("""COMPUTED_VALUE"""),"Gaming")</f>
        <v>Gaming</v>
      </c>
      <c r="E130" s="2">
        <f ca="1">IFERROR(__xludf.DUMMYFUNCTION("""COMPUTED_VALUE"""),17.3)</f>
        <v>17.3</v>
      </c>
      <c r="F130" s="2" t="str">
        <f ca="1">IFERROR(__xludf.DUMMYFUNCTION("""COMPUTED_VALUE"""),"Full HD 1920x1080")</f>
        <v>Full HD 1920x1080</v>
      </c>
      <c r="G130" s="2" t="str">
        <f ca="1">IFERROR(__xludf.DUMMYFUNCTION("""COMPUTED_VALUE"""),"Intel Core i7 7820HK 2.9GHz")</f>
        <v>Intel Core i7 7820HK 2.9GHz</v>
      </c>
      <c r="H130" s="2" t="str">
        <f ca="1">IFERROR(__xludf.DUMMYFUNCTION("""COMPUTED_VALUE"""),"16GB")</f>
        <v>16GB</v>
      </c>
      <c r="I130" s="2" t="str">
        <f ca="1">IFERROR(__xludf.DUMMYFUNCTION("""COMPUTED_VALUE"""),"512GB SSD +  1TB HDD")</f>
        <v>512GB SSD +  1TB HDD</v>
      </c>
      <c r="J130" s="2" t="str">
        <f ca="1">IFERROR(__xludf.DUMMYFUNCTION("""COMPUTED_VALUE"""),"Nvidia GeForce GTX 1070")</f>
        <v>Nvidia GeForce GTX 1070</v>
      </c>
      <c r="K130" s="2" t="str">
        <f ca="1">IFERROR(__xludf.DUMMYFUNCTION("""COMPUTED_VALUE"""),"Windows 10")</f>
        <v>Windows 10</v>
      </c>
      <c r="L130" s="2" t="str">
        <f ca="1">IFERROR(__xludf.DUMMYFUNCTION("""COMPUTED_VALUE"""),"4.14kg")</f>
        <v>4.14kg</v>
      </c>
      <c r="M130" s="2">
        <f ca="1">IFERROR(__xludf.DUMMYFUNCTION("""COMPUTED_VALUE"""),2729)</f>
        <v>2729</v>
      </c>
    </row>
    <row r="131" spans="1:13">
      <c r="A131" s="2">
        <f ca="1">IFERROR(__xludf.DUMMYFUNCTION("""COMPUTED_VALUE"""),1131)</f>
        <v>1131</v>
      </c>
      <c r="B131" s="2" t="str">
        <f ca="1">IFERROR(__xludf.DUMMYFUNCTION("""COMPUTED_VALUE"""),"Lenovo")</f>
        <v>Lenovo</v>
      </c>
      <c r="C131" s="2" t="str">
        <f ca="1">IFERROR(__xludf.DUMMYFUNCTION("""COMPUTED_VALUE"""),"IdeaPad Y900-17ISK")</f>
        <v>IdeaPad Y900-17ISK</v>
      </c>
      <c r="D131" s="2" t="str">
        <f ca="1">IFERROR(__xludf.DUMMYFUNCTION("""COMPUTED_VALUE"""),"Gaming")</f>
        <v>Gaming</v>
      </c>
      <c r="E131" s="2">
        <f ca="1">IFERROR(__xludf.DUMMYFUNCTION("""COMPUTED_VALUE"""),17.3)</f>
        <v>17.3</v>
      </c>
      <c r="F131" s="2" t="str">
        <f ca="1">IFERROR(__xludf.DUMMYFUNCTION("""COMPUTED_VALUE"""),"IPS Panel Full HD 1920x1080")</f>
        <v>IPS Panel Full HD 1920x1080</v>
      </c>
      <c r="G131" s="2" t="str">
        <f ca="1">IFERROR(__xludf.DUMMYFUNCTION("""COMPUTED_VALUE"""),"Intel Core i7 6820HK 2.7GHz")</f>
        <v>Intel Core i7 6820HK 2.7GHz</v>
      </c>
      <c r="H131" s="2" t="str">
        <f ca="1">IFERROR(__xludf.DUMMYFUNCTION("""COMPUTED_VALUE"""),"16GB")</f>
        <v>16GB</v>
      </c>
      <c r="I131" s="2" t="str">
        <f ca="1">IFERROR(__xludf.DUMMYFUNCTION("""COMPUTED_VALUE"""),"256GB SSD +  1.0TB Hybrid")</f>
        <v>256GB SSD +  1.0TB Hybrid</v>
      </c>
      <c r="J131" s="2" t="str">
        <f ca="1">IFERROR(__xludf.DUMMYFUNCTION("""COMPUTED_VALUE"""),"Nvidia GeForce GTX 980M")</f>
        <v>Nvidia GeForce GTX 980M</v>
      </c>
      <c r="K131" s="2" t="str">
        <f ca="1">IFERROR(__xludf.DUMMYFUNCTION("""COMPUTED_VALUE"""),"Windows 10")</f>
        <v>Windows 10</v>
      </c>
      <c r="L131" s="2" t="str">
        <f ca="1">IFERROR(__xludf.DUMMYFUNCTION("""COMPUTED_VALUE"""),"4.6kg")</f>
        <v>4.6kg</v>
      </c>
      <c r="M131" s="2">
        <f ca="1">IFERROR(__xludf.DUMMYFUNCTION("""COMPUTED_VALUE"""),2749.99)</f>
        <v>2749.99</v>
      </c>
    </row>
    <row r="132" spans="1:13">
      <c r="A132" s="2">
        <f ca="1">IFERROR(__xludf.DUMMYFUNCTION("""COMPUTED_VALUE"""),953)</f>
        <v>953</v>
      </c>
      <c r="B132" s="2" t="str">
        <f ca="1">IFERROR(__xludf.DUMMYFUNCTION("""COMPUTED_VALUE"""),"Dell")</f>
        <v>Dell</v>
      </c>
      <c r="C132" s="2" t="str">
        <f ca="1">IFERROR(__xludf.DUMMYFUNCTION("""COMPUTED_VALUE"""),"Alienware 17")</f>
        <v>Alienware 17</v>
      </c>
      <c r="D132" s="2" t="str">
        <f ca="1">IFERROR(__xludf.DUMMYFUNCTION("""COMPUTED_VALUE"""),"Gaming")</f>
        <v>Gaming</v>
      </c>
      <c r="E132" s="2">
        <f ca="1">IFERROR(__xludf.DUMMYFUNCTION("""COMPUTED_VALUE"""),17.3)</f>
        <v>17.3</v>
      </c>
      <c r="F132" s="2" t="str">
        <f ca="1">IFERROR(__xludf.DUMMYFUNCTION("""COMPUTED_VALUE"""),"2560x1440")</f>
        <v>2560x1440</v>
      </c>
      <c r="G132" s="2" t="str">
        <f ca="1">IFERROR(__xludf.DUMMYFUNCTION("""COMPUTED_VALUE"""),"Intel Core i7 6820HK 2.7GHz")</f>
        <v>Intel Core i7 6820HK 2.7GHz</v>
      </c>
      <c r="H132" s="2" t="str">
        <f ca="1">IFERROR(__xludf.DUMMYFUNCTION("""COMPUTED_VALUE"""),"16GB")</f>
        <v>16GB</v>
      </c>
      <c r="I132" s="2" t="str">
        <f ca="1">IFERROR(__xludf.DUMMYFUNCTION("""COMPUTED_VALUE"""),"512GB SSD +  1TB HDD")</f>
        <v>512GB SSD +  1TB HDD</v>
      </c>
      <c r="J132" s="2" t="str">
        <f ca="1">IFERROR(__xludf.DUMMYFUNCTION("""COMPUTED_VALUE"""),"Nvidia GeForce GTX 1080")</f>
        <v>Nvidia GeForce GTX 1080</v>
      </c>
      <c r="K132" s="2" t="str">
        <f ca="1">IFERROR(__xludf.DUMMYFUNCTION("""COMPUTED_VALUE"""),"Windows 10")</f>
        <v>Windows 10</v>
      </c>
      <c r="L132" s="2" t="str">
        <f ca="1">IFERROR(__xludf.DUMMYFUNCTION("""COMPUTED_VALUE"""),"4.36kg")</f>
        <v>4.36kg</v>
      </c>
      <c r="M132" s="2">
        <f ca="1">IFERROR(__xludf.DUMMYFUNCTION("""COMPUTED_VALUE"""),2758)</f>
        <v>2758</v>
      </c>
    </row>
    <row r="133" spans="1:13">
      <c r="A133" s="2">
        <f ca="1">IFERROR(__xludf.DUMMYFUNCTION("""COMPUTED_VALUE"""),181)</f>
        <v>181</v>
      </c>
      <c r="B133" s="2" t="str">
        <f ca="1">IFERROR(__xludf.DUMMYFUNCTION("""COMPUTED_VALUE"""),"MSI")</f>
        <v>MSI</v>
      </c>
      <c r="C133" s="2" t="str">
        <f ca="1">IFERROR(__xludf.DUMMYFUNCTION("""COMPUTED_VALUE"""),"GT80S 6QF-074US")</f>
        <v>GT80S 6QF-074US</v>
      </c>
      <c r="D133" s="2" t="str">
        <f ca="1">IFERROR(__xludf.DUMMYFUNCTION("""COMPUTED_VALUE"""),"Gaming")</f>
        <v>Gaming</v>
      </c>
      <c r="E133" s="2">
        <f ca="1">IFERROR(__xludf.DUMMYFUNCTION("""COMPUTED_VALUE"""),18.4)</f>
        <v>18.399999999999999</v>
      </c>
      <c r="F133" s="2" t="str">
        <f ca="1">IFERROR(__xludf.DUMMYFUNCTION("""COMPUTED_VALUE"""),"Full HD 1920x1080")</f>
        <v>Full HD 1920x1080</v>
      </c>
      <c r="G133" s="2" t="str">
        <f ca="1">IFERROR(__xludf.DUMMYFUNCTION("""COMPUTED_VALUE"""),"Intel Core i7 6920HQ 2.9GHz")</f>
        <v>Intel Core i7 6920HQ 2.9GHz</v>
      </c>
      <c r="H133" s="2" t="str">
        <f ca="1">IFERROR(__xludf.DUMMYFUNCTION("""COMPUTED_VALUE"""),"32GB")</f>
        <v>32GB</v>
      </c>
      <c r="I133" s="2" t="str">
        <f ca="1">IFERROR(__xludf.DUMMYFUNCTION("""COMPUTED_VALUE"""),"512GB SSD +  1TB HDD")</f>
        <v>512GB SSD +  1TB HDD</v>
      </c>
      <c r="J133" s="2" t="str">
        <f ca="1">IFERROR(__xludf.DUMMYFUNCTION("""COMPUTED_VALUE"""),"Nvidia GTX 980 SLI")</f>
        <v>Nvidia GTX 980 SLI</v>
      </c>
      <c r="K133" s="2" t="str">
        <f ca="1">IFERROR(__xludf.DUMMYFUNCTION("""COMPUTED_VALUE"""),"Windows 10")</f>
        <v>Windows 10</v>
      </c>
      <c r="L133" s="2" t="str">
        <f ca="1">IFERROR(__xludf.DUMMYFUNCTION("""COMPUTED_VALUE"""),"4.4kg")</f>
        <v>4.4kg</v>
      </c>
      <c r="M133" s="2">
        <f ca="1">IFERROR(__xludf.DUMMYFUNCTION("""COMPUTED_VALUE"""),2799)</f>
        <v>2799</v>
      </c>
    </row>
    <row r="134" spans="1:13">
      <c r="A134" s="2">
        <f ca="1">IFERROR(__xludf.DUMMYFUNCTION("""COMPUTED_VALUE"""),431)</f>
        <v>431</v>
      </c>
      <c r="B134" s="2" t="str">
        <f ca="1">IFERROR(__xludf.DUMMYFUNCTION("""COMPUTED_VALUE"""),"Dell")</f>
        <v>Dell</v>
      </c>
      <c r="C134" s="2" t="str">
        <f ca="1">IFERROR(__xludf.DUMMYFUNCTION("""COMPUTED_VALUE"""),"Alienware 17")</f>
        <v>Alienware 17</v>
      </c>
      <c r="D134" s="2" t="str">
        <f ca="1">IFERROR(__xludf.DUMMYFUNCTION("""COMPUTED_VALUE"""),"Gaming")</f>
        <v>Gaming</v>
      </c>
      <c r="E134" s="2">
        <f ca="1">IFERROR(__xludf.DUMMYFUNCTION("""COMPUTED_VALUE"""),17.3)</f>
        <v>17.3</v>
      </c>
      <c r="F134" s="2" t="str">
        <f ca="1">IFERROR(__xludf.DUMMYFUNCTION("""COMPUTED_VALUE"""),"IPS Panel 2560x1440")</f>
        <v>IPS Panel 2560x1440</v>
      </c>
      <c r="G134" s="2" t="str">
        <f ca="1">IFERROR(__xludf.DUMMYFUNCTION("""COMPUTED_VALUE"""),"Intel Core i7 7820HK 2.9GHz")</f>
        <v>Intel Core i7 7820HK 2.9GHz</v>
      </c>
      <c r="H134" s="2" t="str">
        <f ca="1">IFERROR(__xludf.DUMMYFUNCTION("""COMPUTED_VALUE"""),"16GB")</f>
        <v>16GB</v>
      </c>
      <c r="I134" s="2" t="str">
        <f ca="1">IFERROR(__xludf.DUMMYFUNCTION("""COMPUTED_VALUE"""),"256GB SSD +  1TB HDD")</f>
        <v>256GB SSD +  1TB HDD</v>
      </c>
      <c r="J134" s="2" t="str">
        <f ca="1">IFERROR(__xludf.DUMMYFUNCTION("""COMPUTED_VALUE"""),"Nvidia GeForce GTX 1070")</f>
        <v>Nvidia GeForce GTX 1070</v>
      </c>
      <c r="K134" s="2" t="str">
        <f ca="1">IFERROR(__xludf.DUMMYFUNCTION("""COMPUTED_VALUE"""),"Windows 10")</f>
        <v>Windows 10</v>
      </c>
      <c r="L134" s="2" t="str">
        <f ca="1">IFERROR(__xludf.DUMMYFUNCTION("""COMPUTED_VALUE"""),"4.42kg")</f>
        <v>4.42kg</v>
      </c>
      <c r="M134" s="2">
        <f ca="1">IFERROR(__xludf.DUMMYFUNCTION("""COMPUTED_VALUE"""),2799)</f>
        <v>2799</v>
      </c>
    </row>
    <row r="135" spans="1:13">
      <c r="A135" s="2">
        <f ca="1">IFERROR(__xludf.DUMMYFUNCTION("""COMPUTED_VALUE"""),658)</f>
        <v>658</v>
      </c>
      <c r="B135" s="2" t="str">
        <f ca="1">IFERROR(__xludf.DUMMYFUNCTION("""COMPUTED_VALUE"""),"Asus")</f>
        <v>Asus</v>
      </c>
      <c r="C135" s="2" t="str">
        <f ca="1">IFERROR(__xludf.DUMMYFUNCTION("""COMPUTED_VALUE"""),"ROG G701VI")</f>
        <v>ROG G701VI</v>
      </c>
      <c r="D135" s="2" t="str">
        <f ca="1">IFERROR(__xludf.DUMMYFUNCTION("""COMPUTED_VALUE"""),"Gaming")</f>
        <v>Gaming</v>
      </c>
      <c r="E135" s="2">
        <f ca="1">IFERROR(__xludf.DUMMYFUNCTION("""COMPUTED_VALUE"""),17.3)</f>
        <v>17.3</v>
      </c>
      <c r="F135" s="2" t="str">
        <f ca="1">IFERROR(__xludf.DUMMYFUNCTION("""COMPUTED_VALUE"""),"IPS Panel Full HD 1920x1080")</f>
        <v>IPS Panel Full HD 1920x1080</v>
      </c>
      <c r="G135" s="2" t="str">
        <f ca="1">IFERROR(__xludf.DUMMYFUNCTION("""COMPUTED_VALUE"""),"Intel Core i7 6820HK 2.7GHz")</f>
        <v>Intel Core i7 6820HK 2.7GHz</v>
      </c>
      <c r="H135" s="2" t="str">
        <f ca="1">IFERROR(__xludf.DUMMYFUNCTION("""COMPUTED_VALUE"""),"32GB")</f>
        <v>32GB</v>
      </c>
      <c r="I135" s="2" t="str">
        <f ca="1">IFERROR(__xludf.DUMMYFUNCTION("""COMPUTED_VALUE"""),"512GB SSD")</f>
        <v>512GB SSD</v>
      </c>
      <c r="J135" s="2" t="str">
        <f ca="1">IFERROR(__xludf.DUMMYFUNCTION("""COMPUTED_VALUE"""),"Nvidia GeForce GTX 1080")</f>
        <v>Nvidia GeForce GTX 1080</v>
      </c>
      <c r="K135" s="2" t="str">
        <f ca="1">IFERROR(__xludf.DUMMYFUNCTION("""COMPUTED_VALUE"""),"Windows 10")</f>
        <v>Windows 10</v>
      </c>
      <c r="L135" s="2" t="str">
        <f ca="1">IFERROR(__xludf.DUMMYFUNCTION("""COMPUTED_VALUE"""),"3.8kg")</f>
        <v>3.8kg</v>
      </c>
      <c r="M135" s="2">
        <f ca="1">IFERROR(__xludf.DUMMYFUNCTION("""COMPUTED_VALUE"""),2799)</f>
        <v>2799</v>
      </c>
    </row>
    <row r="136" spans="1:13">
      <c r="A136" s="2">
        <f ca="1">IFERROR(__xludf.DUMMYFUNCTION("""COMPUTED_VALUE"""),986)</f>
        <v>986</v>
      </c>
      <c r="B136" s="2" t="str">
        <f ca="1">IFERROR(__xludf.DUMMYFUNCTION("""COMPUTED_VALUE"""),"Dell")</f>
        <v>Dell</v>
      </c>
      <c r="C136" s="2" t="str">
        <f ca="1">IFERROR(__xludf.DUMMYFUNCTION("""COMPUTED_VALUE"""),"Alienware 17")</f>
        <v>Alienware 17</v>
      </c>
      <c r="D136" s="2" t="str">
        <f ca="1">IFERROR(__xludf.DUMMYFUNCTION("""COMPUTED_VALUE"""),"Gaming")</f>
        <v>Gaming</v>
      </c>
      <c r="E136" s="2">
        <f ca="1">IFERROR(__xludf.DUMMYFUNCTION("""COMPUTED_VALUE"""),17.3)</f>
        <v>17.3</v>
      </c>
      <c r="F136" s="2" t="str">
        <f ca="1">IFERROR(__xludf.DUMMYFUNCTION("""COMPUTED_VALUE"""),"Full HD 1920x1080")</f>
        <v>Full HD 1920x1080</v>
      </c>
      <c r="G136" s="2" t="str">
        <f ca="1">IFERROR(__xludf.DUMMYFUNCTION("""COMPUTED_VALUE"""),"Intel Core i7 6700HQ 2.6GHz")</f>
        <v>Intel Core i7 6700HQ 2.6GHz</v>
      </c>
      <c r="H136" s="2" t="str">
        <f ca="1">IFERROR(__xludf.DUMMYFUNCTION("""COMPUTED_VALUE"""),"32GB")</f>
        <v>32GB</v>
      </c>
      <c r="I136" s="2" t="str">
        <f ca="1">IFERROR(__xludf.DUMMYFUNCTION("""COMPUTED_VALUE"""),"256GB SSD +  1TB HDD")</f>
        <v>256GB SSD +  1TB HDD</v>
      </c>
      <c r="J136" s="2" t="str">
        <f ca="1">IFERROR(__xludf.DUMMYFUNCTION("""COMPUTED_VALUE"""),"Nvidia GeForce GTX 1070")</f>
        <v>Nvidia GeForce GTX 1070</v>
      </c>
      <c r="K136" s="2" t="str">
        <f ca="1">IFERROR(__xludf.DUMMYFUNCTION("""COMPUTED_VALUE"""),"Windows 10")</f>
        <v>Windows 10</v>
      </c>
      <c r="L136" s="2" t="str">
        <f ca="1">IFERROR(__xludf.DUMMYFUNCTION("""COMPUTED_VALUE"""),"4.42kg")</f>
        <v>4.42kg</v>
      </c>
      <c r="M136" s="2">
        <f ca="1">IFERROR(__xludf.DUMMYFUNCTION("""COMPUTED_VALUE"""),2800)</f>
        <v>2800</v>
      </c>
    </row>
    <row r="137" spans="1:13">
      <c r="A137" s="2">
        <f ca="1">IFERROR(__xludf.DUMMYFUNCTION("""COMPUTED_VALUE"""),302)</f>
        <v>302</v>
      </c>
      <c r="B137" s="2" t="str">
        <f ca="1">IFERROR(__xludf.DUMMYFUNCTION("""COMPUTED_VALUE"""),"Dell")</f>
        <v>Dell</v>
      </c>
      <c r="C137" s="2" t="str">
        <f ca="1">IFERROR(__xludf.DUMMYFUNCTION("""COMPUTED_VALUE"""),"Precision 7720")</f>
        <v>Precision 7720</v>
      </c>
      <c r="D137" s="2" t="str">
        <f ca="1">IFERROR(__xludf.DUMMYFUNCTION("""COMPUTED_VALUE"""),"Workstation")</f>
        <v>Workstation</v>
      </c>
      <c r="E137" s="2">
        <f ca="1">IFERROR(__xludf.DUMMYFUNCTION("""COMPUTED_VALUE"""),17.3)</f>
        <v>17.3</v>
      </c>
      <c r="F137" s="2" t="str">
        <f ca="1">IFERROR(__xludf.DUMMYFUNCTION("""COMPUTED_VALUE"""),"Full HD 1920x1080")</f>
        <v>Full HD 1920x1080</v>
      </c>
      <c r="G137" s="2" t="str">
        <f ca="1">IFERROR(__xludf.DUMMYFUNCTION("""COMPUTED_VALUE"""),"Intel Core i7 7820HQ 2.9GHz")</f>
        <v>Intel Core i7 7820HQ 2.9GHz</v>
      </c>
      <c r="H137" s="2" t="str">
        <f ca="1">IFERROR(__xludf.DUMMYFUNCTION("""COMPUTED_VALUE"""),"16GB")</f>
        <v>16GB</v>
      </c>
      <c r="I137" s="2" t="str">
        <f ca="1">IFERROR(__xludf.DUMMYFUNCTION("""COMPUTED_VALUE"""),"256GB SSD")</f>
        <v>256GB SSD</v>
      </c>
      <c r="J137" s="2" t="str">
        <f ca="1">IFERROR(__xludf.DUMMYFUNCTION("""COMPUTED_VALUE"""),"Nvidia Quadro M1200")</f>
        <v>Nvidia Quadro M1200</v>
      </c>
      <c r="K137" s="2" t="str">
        <f ca="1">IFERROR(__xludf.DUMMYFUNCTION("""COMPUTED_VALUE"""),"Windows 10")</f>
        <v>Windows 10</v>
      </c>
      <c r="L137" s="2" t="str">
        <f ca="1">IFERROR(__xludf.DUMMYFUNCTION("""COMPUTED_VALUE"""),"3.42kg")</f>
        <v>3.42kg</v>
      </c>
      <c r="M137" s="2">
        <f ca="1">IFERROR(__xludf.DUMMYFUNCTION("""COMPUTED_VALUE"""),2884.86)</f>
        <v>2884.86</v>
      </c>
    </row>
    <row r="138" spans="1:13">
      <c r="A138" s="2">
        <f ca="1">IFERROR(__xludf.DUMMYFUNCTION("""COMPUTED_VALUE"""),252)</f>
        <v>252</v>
      </c>
      <c r="B138" s="2" t="str">
        <f ca="1">IFERROR(__xludf.DUMMYFUNCTION("""COMPUTED_VALUE"""),"Asus")</f>
        <v>Asus</v>
      </c>
      <c r="C138" s="2" t="str">
        <f ca="1">IFERROR(__xludf.DUMMYFUNCTION("""COMPUTED_VALUE"""),"Rog G701VIK-BA060T")</f>
        <v>Rog G701VIK-BA060T</v>
      </c>
      <c r="D138" s="2" t="str">
        <f ca="1">IFERROR(__xludf.DUMMYFUNCTION("""COMPUTED_VALUE"""),"Gaming")</f>
        <v>Gaming</v>
      </c>
      <c r="E138" s="2">
        <f ca="1">IFERROR(__xludf.DUMMYFUNCTION("""COMPUTED_VALUE"""),17.3)</f>
        <v>17.3</v>
      </c>
      <c r="F138" s="2" t="str">
        <f ca="1">IFERROR(__xludf.DUMMYFUNCTION("""COMPUTED_VALUE"""),"Full HD 1920x1080")</f>
        <v>Full HD 1920x1080</v>
      </c>
      <c r="G138" s="2" t="str">
        <f ca="1">IFERROR(__xludf.DUMMYFUNCTION("""COMPUTED_VALUE"""),"Intel Core i7 7820HK 2.9GHz")</f>
        <v>Intel Core i7 7820HK 2.9GHz</v>
      </c>
      <c r="H138" s="2" t="str">
        <f ca="1">IFERROR(__xludf.DUMMYFUNCTION("""COMPUTED_VALUE"""),"16GB")</f>
        <v>16GB</v>
      </c>
      <c r="I138" s="2" t="str">
        <f ca="1">IFERROR(__xludf.DUMMYFUNCTION("""COMPUTED_VALUE"""),"256GB SSD")</f>
        <v>256GB SSD</v>
      </c>
      <c r="J138" s="2" t="str">
        <f ca="1">IFERROR(__xludf.DUMMYFUNCTION("""COMPUTED_VALUE"""),"Nvidia GeForce GTX 1080")</f>
        <v>Nvidia GeForce GTX 1080</v>
      </c>
      <c r="K138" s="2" t="str">
        <f ca="1">IFERROR(__xludf.DUMMYFUNCTION("""COMPUTED_VALUE"""),"Windows 10")</f>
        <v>Windows 10</v>
      </c>
      <c r="L138" s="2" t="str">
        <f ca="1">IFERROR(__xludf.DUMMYFUNCTION("""COMPUTED_VALUE"""),"3.6kg")</f>
        <v>3.6kg</v>
      </c>
      <c r="M138" s="2">
        <f ca="1">IFERROR(__xludf.DUMMYFUNCTION("""COMPUTED_VALUE"""),2999)</f>
        <v>2999</v>
      </c>
    </row>
    <row r="139" spans="1:13">
      <c r="A139" s="2">
        <f ca="1">IFERROR(__xludf.DUMMYFUNCTION("""COMPUTED_VALUE"""),570)</f>
        <v>570</v>
      </c>
      <c r="B139" s="2" t="str">
        <f ca="1">IFERROR(__xludf.DUMMYFUNCTION("""COMPUTED_VALUE"""),"Lenovo")</f>
        <v>Lenovo</v>
      </c>
      <c r="C139" s="2" t="str">
        <f ca="1">IFERROR(__xludf.DUMMYFUNCTION("""COMPUTED_VALUE"""),"Thinkpad P71")</f>
        <v>Thinkpad P71</v>
      </c>
      <c r="D139" s="2" t="str">
        <f ca="1">IFERROR(__xludf.DUMMYFUNCTION("""COMPUTED_VALUE"""),"Notebook")</f>
        <v>Notebook</v>
      </c>
      <c r="E139" s="2">
        <f ca="1">IFERROR(__xludf.DUMMYFUNCTION("""COMPUTED_VALUE"""),17.3)</f>
        <v>17.3</v>
      </c>
      <c r="F139" s="2" t="str">
        <f ca="1">IFERROR(__xludf.DUMMYFUNCTION("""COMPUTED_VALUE"""),"IPS Panel Full HD 1920x1080")</f>
        <v>IPS Panel Full HD 1920x1080</v>
      </c>
      <c r="G139" s="2" t="str">
        <f ca="1">IFERROR(__xludf.DUMMYFUNCTION("""COMPUTED_VALUE"""),"Intel Core i7 7700HQ 2.8GHz")</f>
        <v>Intel Core i7 7700HQ 2.8GHz</v>
      </c>
      <c r="H139" s="2" t="str">
        <f ca="1">IFERROR(__xludf.DUMMYFUNCTION("""COMPUTED_VALUE"""),"8GB")</f>
        <v>8GB</v>
      </c>
      <c r="I139" s="2" t="str">
        <f ca="1">IFERROR(__xludf.DUMMYFUNCTION("""COMPUTED_VALUE"""),"256GB SSD")</f>
        <v>256GB SSD</v>
      </c>
      <c r="J139" s="2" t="str">
        <f ca="1">IFERROR(__xludf.DUMMYFUNCTION("""COMPUTED_VALUE"""),"Nvidia Quadro M620M")</f>
        <v>Nvidia Quadro M620M</v>
      </c>
      <c r="K139" s="2" t="str">
        <f ca="1">IFERROR(__xludf.DUMMYFUNCTION("""COMPUTED_VALUE"""),"Windows 10")</f>
        <v>Windows 10</v>
      </c>
      <c r="L139" s="2" t="str">
        <f ca="1">IFERROR(__xludf.DUMMYFUNCTION("""COMPUTED_VALUE"""),"3.4kg")</f>
        <v>3.4kg</v>
      </c>
      <c r="M139" s="2">
        <f ca="1">IFERROR(__xludf.DUMMYFUNCTION("""COMPUTED_VALUE"""),2999)</f>
        <v>2999</v>
      </c>
    </row>
    <row r="140" spans="1:13">
      <c r="A140" s="2">
        <f ca="1">IFERROR(__xludf.DUMMYFUNCTION("""COMPUTED_VALUE"""),537)</f>
        <v>537</v>
      </c>
      <c r="B140" s="2" t="str">
        <f ca="1">IFERROR(__xludf.DUMMYFUNCTION("""COMPUTED_VALUE"""),"Dell")</f>
        <v>Dell</v>
      </c>
      <c r="C140" s="2" t="str">
        <f ca="1">IFERROR(__xludf.DUMMYFUNCTION("""COMPUTED_VALUE"""),"Alienware 17")</f>
        <v>Alienware 17</v>
      </c>
      <c r="D140" s="2" t="str">
        <f ca="1">IFERROR(__xludf.DUMMYFUNCTION("""COMPUTED_VALUE"""),"Gaming")</f>
        <v>Gaming</v>
      </c>
      <c r="E140" s="2">
        <f ca="1">IFERROR(__xludf.DUMMYFUNCTION("""COMPUTED_VALUE"""),17.3)</f>
        <v>17.3</v>
      </c>
      <c r="F140" s="2" t="str">
        <f ca="1">IFERROR(__xludf.DUMMYFUNCTION("""COMPUTED_VALUE"""),"IPS Panel Full HD 1920x1080")</f>
        <v>IPS Panel Full HD 1920x1080</v>
      </c>
      <c r="G140" s="2" t="str">
        <f ca="1">IFERROR(__xludf.DUMMYFUNCTION("""COMPUTED_VALUE"""),"Intel Core i7 7700HQ 2.8GHz")</f>
        <v>Intel Core i7 7700HQ 2.8GHz</v>
      </c>
      <c r="H140" s="2" t="str">
        <f ca="1">IFERROR(__xludf.DUMMYFUNCTION("""COMPUTED_VALUE"""),"16GB")</f>
        <v>16GB</v>
      </c>
      <c r="I140" s="2" t="str">
        <f ca="1">IFERROR(__xludf.DUMMYFUNCTION("""COMPUTED_VALUE"""),"128GB SSD +  1TB HDD")</f>
        <v>128GB SSD +  1TB HDD</v>
      </c>
      <c r="J140" s="2" t="str">
        <f ca="1">IFERROR(__xludf.DUMMYFUNCTION("""COMPUTED_VALUE"""),"Nvidia GeForce GTX 1070")</f>
        <v>Nvidia GeForce GTX 1070</v>
      </c>
      <c r="K140" s="2" t="str">
        <f ca="1">IFERROR(__xludf.DUMMYFUNCTION("""COMPUTED_VALUE"""),"Windows 10")</f>
        <v>Windows 10</v>
      </c>
      <c r="L140" s="2" t="str">
        <f ca="1">IFERROR(__xludf.DUMMYFUNCTION("""COMPUTED_VALUE"""),"4.42kg")</f>
        <v>4.42kg</v>
      </c>
      <c r="M140" s="2">
        <f ca="1">IFERROR(__xludf.DUMMYFUNCTION("""COMPUTED_VALUE"""),3012.77)</f>
        <v>3012.77</v>
      </c>
    </row>
    <row r="141" spans="1:13">
      <c r="A141" s="2">
        <f ca="1">IFERROR(__xludf.DUMMYFUNCTION("""COMPUTED_VALUE"""),851)</f>
        <v>851</v>
      </c>
      <c r="B141" s="2" t="str">
        <f ca="1">IFERROR(__xludf.DUMMYFUNCTION("""COMPUTED_VALUE"""),"Dell")</f>
        <v>Dell</v>
      </c>
      <c r="C141" s="2" t="str">
        <f ca="1">IFERROR(__xludf.DUMMYFUNCTION("""COMPUTED_VALUE"""),"Alienware 17")</f>
        <v>Alienware 17</v>
      </c>
      <c r="D141" s="2" t="str">
        <f ca="1">IFERROR(__xludf.DUMMYFUNCTION("""COMPUTED_VALUE"""),"Gaming")</f>
        <v>Gaming</v>
      </c>
      <c r="E141" s="2">
        <f ca="1">IFERROR(__xludf.DUMMYFUNCTION("""COMPUTED_VALUE"""),17.3)</f>
        <v>17.3</v>
      </c>
      <c r="F141" s="2" t="str">
        <f ca="1">IFERROR(__xludf.DUMMYFUNCTION("""COMPUTED_VALUE"""),"IPS Panel Full HD 1920x1080")</f>
        <v>IPS Panel Full HD 1920x1080</v>
      </c>
      <c r="G141" s="2" t="str">
        <f ca="1">IFERROR(__xludf.DUMMYFUNCTION("""COMPUTED_VALUE"""),"Intel Core i7 7700HQ 2.8GHz")</f>
        <v>Intel Core i7 7700HQ 2.8GHz</v>
      </c>
      <c r="H141" s="2" t="str">
        <f ca="1">IFERROR(__xludf.DUMMYFUNCTION("""COMPUTED_VALUE"""),"32GB")</f>
        <v>32GB</v>
      </c>
      <c r="I141" s="2" t="str">
        <f ca="1">IFERROR(__xludf.DUMMYFUNCTION("""COMPUTED_VALUE"""),"512GB SSD +  1TB HDD")</f>
        <v>512GB SSD +  1TB HDD</v>
      </c>
      <c r="J141" s="2" t="str">
        <f ca="1">IFERROR(__xludf.DUMMYFUNCTION("""COMPUTED_VALUE"""),"Nvidia GeForce GTX 1070")</f>
        <v>Nvidia GeForce GTX 1070</v>
      </c>
      <c r="K141" s="2" t="str">
        <f ca="1">IFERROR(__xludf.DUMMYFUNCTION("""COMPUTED_VALUE"""),"Windows 10")</f>
        <v>Windows 10</v>
      </c>
      <c r="L141" s="2" t="str">
        <f ca="1">IFERROR(__xludf.DUMMYFUNCTION("""COMPUTED_VALUE"""),"4.42kg")</f>
        <v>4.42kg</v>
      </c>
      <c r="M141" s="2">
        <f ca="1">IFERROR(__xludf.DUMMYFUNCTION("""COMPUTED_VALUE"""),3072.89)</f>
        <v>3072.89</v>
      </c>
    </row>
    <row r="142" spans="1:13">
      <c r="A142" s="2">
        <f ca="1">IFERROR(__xludf.DUMMYFUNCTION("""COMPUTED_VALUE"""),667)</f>
        <v>667</v>
      </c>
      <c r="B142" s="2" t="str">
        <f ca="1">IFERROR(__xludf.DUMMYFUNCTION("""COMPUTED_VALUE"""),"Dell")</f>
        <v>Dell</v>
      </c>
      <c r="C142" s="2" t="str">
        <f ca="1">IFERROR(__xludf.DUMMYFUNCTION("""COMPUTED_VALUE"""),"Alienware 17")</f>
        <v>Alienware 17</v>
      </c>
      <c r="D142" s="2" t="str">
        <f ca="1">IFERROR(__xludf.DUMMYFUNCTION("""COMPUTED_VALUE"""),"Gaming")</f>
        <v>Gaming</v>
      </c>
      <c r="E142" s="2">
        <f ca="1">IFERROR(__xludf.DUMMYFUNCTION("""COMPUTED_VALUE"""),17.3)</f>
        <v>17.3</v>
      </c>
      <c r="F142" s="2" t="str">
        <f ca="1">IFERROR(__xludf.DUMMYFUNCTION("""COMPUTED_VALUE"""),"IPS Panel 4K Ultra HD 3840x2160")</f>
        <v>IPS Panel 4K Ultra HD 3840x2160</v>
      </c>
      <c r="G142" s="2" t="str">
        <f ca="1">IFERROR(__xludf.DUMMYFUNCTION("""COMPUTED_VALUE"""),"Intel Core i7 7700HQ 2.8GHz")</f>
        <v>Intel Core i7 7700HQ 2.8GHz</v>
      </c>
      <c r="H142" s="2" t="str">
        <f ca="1">IFERROR(__xludf.DUMMYFUNCTION("""COMPUTED_VALUE"""),"32GB")</f>
        <v>32GB</v>
      </c>
      <c r="I142" s="2" t="str">
        <f ca="1">IFERROR(__xludf.DUMMYFUNCTION("""COMPUTED_VALUE"""),"512GB SSD +  1TB HDD")</f>
        <v>512GB SSD +  1TB HDD</v>
      </c>
      <c r="J142" s="2" t="str">
        <f ca="1">IFERROR(__xludf.DUMMYFUNCTION("""COMPUTED_VALUE"""),"Nvidia GeForce GTX 1070")</f>
        <v>Nvidia GeForce GTX 1070</v>
      </c>
      <c r="K142" s="2" t="str">
        <f ca="1">IFERROR(__xludf.DUMMYFUNCTION("""COMPUTED_VALUE"""),"Windows 10")</f>
        <v>Windows 10</v>
      </c>
      <c r="L142" s="2" t="str">
        <f ca="1">IFERROR(__xludf.DUMMYFUNCTION("""COMPUTED_VALUE"""),"4.42kg")</f>
        <v>4.42kg</v>
      </c>
      <c r="M142" s="2">
        <f ca="1">IFERROR(__xludf.DUMMYFUNCTION("""COMPUTED_VALUE"""),3147.37)</f>
        <v>3147.37</v>
      </c>
    </row>
    <row r="143" spans="1:13">
      <c r="A143" s="2">
        <f ca="1">IFERROR(__xludf.DUMMYFUNCTION("""COMPUTED_VALUE"""),982)</f>
        <v>982</v>
      </c>
      <c r="B143" s="2" t="str">
        <f ca="1">IFERROR(__xludf.DUMMYFUNCTION("""COMPUTED_VALUE"""),"Dell")</f>
        <v>Dell</v>
      </c>
      <c r="C143" s="2" t="str">
        <f ca="1">IFERROR(__xludf.DUMMYFUNCTION("""COMPUTED_VALUE"""),"Alienware 17")</f>
        <v>Alienware 17</v>
      </c>
      <c r="D143" s="2" t="str">
        <f ca="1">IFERROR(__xludf.DUMMYFUNCTION("""COMPUTED_VALUE"""),"Gaming")</f>
        <v>Gaming</v>
      </c>
      <c r="E143" s="2">
        <f ca="1">IFERROR(__xludf.DUMMYFUNCTION("""COMPUTED_VALUE"""),17.3)</f>
        <v>17.3</v>
      </c>
      <c r="F143" s="2" t="str">
        <f ca="1">IFERROR(__xludf.DUMMYFUNCTION("""COMPUTED_VALUE"""),"IPS Panel Full HD 1920x1080")</f>
        <v>IPS Panel Full HD 1920x1080</v>
      </c>
      <c r="G143" s="2" t="str">
        <f ca="1">IFERROR(__xludf.DUMMYFUNCTION("""COMPUTED_VALUE"""),"Intel Core i7 7700HQ 2.8GHz")</f>
        <v>Intel Core i7 7700HQ 2.8GHz</v>
      </c>
      <c r="H143" s="2" t="str">
        <f ca="1">IFERROR(__xludf.DUMMYFUNCTION("""COMPUTED_VALUE"""),"32GB")</f>
        <v>32GB</v>
      </c>
      <c r="I143" s="2" t="str">
        <f ca="1">IFERROR(__xludf.DUMMYFUNCTION("""COMPUTED_VALUE"""),"256GB SSD +  1TB HDD")</f>
        <v>256GB SSD +  1TB HDD</v>
      </c>
      <c r="J143" s="2" t="str">
        <f ca="1">IFERROR(__xludf.DUMMYFUNCTION("""COMPUTED_VALUE"""),"Nvidia GeForce GTX 1070")</f>
        <v>Nvidia GeForce GTX 1070</v>
      </c>
      <c r="K143" s="2" t="str">
        <f ca="1">IFERROR(__xludf.DUMMYFUNCTION("""COMPUTED_VALUE"""),"Windows 10")</f>
        <v>Windows 10</v>
      </c>
      <c r="L143" s="2" t="str">
        <f ca="1">IFERROR(__xludf.DUMMYFUNCTION("""COMPUTED_VALUE"""),"4.42kg")</f>
        <v>4.42kg</v>
      </c>
      <c r="M143" s="2">
        <f ca="1">IFERROR(__xludf.DUMMYFUNCTION("""COMPUTED_VALUE"""),3149)</f>
        <v>3149</v>
      </c>
    </row>
    <row r="144" spans="1:13">
      <c r="A144" s="2">
        <f ca="1">IFERROR(__xludf.DUMMYFUNCTION("""COMPUTED_VALUE"""),969)</f>
        <v>969</v>
      </c>
      <c r="B144" s="2" t="str">
        <f ca="1">IFERROR(__xludf.DUMMYFUNCTION("""COMPUTED_VALUE"""),"Dell")</f>
        <v>Dell</v>
      </c>
      <c r="C144" s="2" t="str">
        <f ca="1">IFERROR(__xludf.DUMMYFUNCTION("""COMPUTED_VALUE"""),"Alienware 17")</f>
        <v>Alienware 17</v>
      </c>
      <c r="D144" s="2" t="str">
        <f ca="1">IFERROR(__xludf.DUMMYFUNCTION("""COMPUTED_VALUE"""),"Gaming")</f>
        <v>Gaming</v>
      </c>
      <c r="E144" s="2">
        <f ca="1">IFERROR(__xludf.DUMMYFUNCTION("""COMPUTED_VALUE"""),17.3)</f>
        <v>17.3</v>
      </c>
      <c r="F144" s="2" t="str">
        <f ca="1">IFERROR(__xludf.DUMMYFUNCTION("""COMPUTED_VALUE"""),"IPS Panel 4K Ultra HD 3840x2160")</f>
        <v>IPS Panel 4K Ultra HD 3840x2160</v>
      </c>
      <c r="G144" s="2" t="str">
        <f ca="1">IFERROR(__xludf.DUMMYFUNCTION("""COMPUTED_VALUE"""),"Intel Core i7 7700HQ 2.8GHz")</f>
        <v>Intel Core i7 7700HQ 2.8GHz</v>
      </c>
      <c r="H144" s="2" t="str">
        <f ca="1">IFERROR(__xludf.DUMMYFUNCTION("""COMPUTED_VALUE"""),"16GB")</f>
        <v>16GB</v>
      </c>
      <c r="I144" s="2" t="str">
        <f ca="1">IFERROR(__xludf.DUMMYFUNCTION("""COMPUTED_VALUE"""),"512GB SSD +  1TB HDD")</f>
        <v>512GB SSD +  1TB HDD</v>
      </c>
      <c r="J144" s="2" t="str">
        <f ca="1">IFERROR(__xludf.DUMMYFUNCTION("""COMPUTED_VALUE"""),"Nvidia GeForce GTX 1070")</f>
        <v>Nvidia GeForce GTX 1070</v>
      </c>
      <c r="K144" s="2" t="str">
        <f ca="1">IFERROR(__xludf.DUMMYFUNCTION("""COMPUTED_VALUE"""),"Windows 10")</f>
        <v>Windows 10</v>
      </c>
      <c r="L144" s="2" t="str">
        <f ca="1">IFERROR(__xludf.DUMMYFUNCTION("""COMPUTED_VALUE"""),"4.36kg")</f>
        <v>4.36kg</v>
      </c>
      <c r="M144" s="2">
        <f ca="1">IFERROR(__xludf.DUMMYFUNCTION("""COMPUTED_VALUE"""),3154)</f>
        <v>3154</v>
      </c>
    </row>
    <row r="145" spans="1:13">
      <c r="A145" s="2">
        <f ca="1">IFERROR(__xludf.DUMMYFUNCTION("""COMPUTED_VALUE"""),1096)</f>
        <v>1096</v>
      </c>
      <c r="B145" s="2" t="str">
        <f ca="1">IFERROR(__xludf.DUMMYFUNCTION("""COMPUTED_VALUE"""),"Lenovo")</f>
        <v>Lenovo</v>
      </c>
      <c r="C145" s="2" t="str">
        <f ca="1">IFERROR(__xludf.DUMMYFUNCTION("""COMPUTED_VALUE"""),"IdeaPad Y900-17ISK")</f>
        <v>IdeaPad Y900-17ISK</v>
      </c>
      <c r="D145" s="2" t="str">
        <f ca="1">IFERROR(__xludf.DUMMYFUNCTION("""COMPUTED_VALUE"""),"Gaming")</f>
        <v>Gaming</v>
      </c>
      <c r="E145" s="2">
        <f ca="1">IFERROR(__xludf.DUMMYFUNCTION("""COMPUTED_VALUE"""),17.3)</f>
        <v>17.3</v>
      </c>
      <c r="F145" s="2" t="str">
        <f ca="1">IFERROR(__xludf.DUMMYFUNCTION("""COMPUTED_VALUE"""),"IPS Panel Full HD 1920x1080")</f>
        <v>IPS Panel Full HD 1920x1080</v>
      </c>
      <c r="G145" s="2" t="str">
        <f ca="1">IFERROR(__xludf.DUMMYFUNCTION("""COMPUTED_VALUE"""),"Intel Core i7 6820HK 2.7GHz")</f>
        <v>Intel Core i7 6820HK 2.7GHz</v>
      </c>
      <c r="H145" s="2" t="str">
        <f ca="1">IFERROR(__xludf.DUMMYFUNCTION("""COMPUTED_VALUE"""),"32GB")</f>
        <v>32GB</v>
      </c>
      <c r="I145" s="2" t="str">
        <f ca="1">IFERROR(__xludf.DUMMYFUNCTION("""COMPUTED_VALUE"""),"512GB SSD +  1.0TB Hybrid")</f>
        <v>512GB SSD +  1.0TB Hybrid</v>
      </c>
      <c r="J145" s="2" t="str">
        <f ca="1">IFERROR(__xludf.DUMMYFUNCTION("""COMPUTED_VALUE"""),"Nvidia GeForce GTX 980M")</f>
        <v>Nvidia GeForce GTX 980M</v>
      </c>
      <c r="K145" s="2" t="str">
        <f ca="1">IFERROR(__xludf.DUMMYFUNCTION("""COMPUTED_VALUE"""),"Windows 10")</f>
        <v>Windows 10</v>
      </c>
      <c r="L145" s="2" t="str">
        <f ca="1">IFERROR(__xludf.DUMMYFUNCTION("""COMPUTED_VALUE"""),"4.6kg")</f>
        <v>4.6kg</v>
      </c>
      <c r="M145" s="2">
        <f ca="1">IFERROR(__xludf.DUMMYFUNCTION("""COMPUTED_VALUE"""),3240)</f>
        <v>3240</v>
      </c>
    </row>
    <row r="146" spans="1:13">
      <c r="A146" s="2">
        <f ca="1">IFERROR(__xludf.DUMMYFUNCTION("""COMPUTED_VALUE"""),789)</f>
        <v>789</v>
      </c>
      <c r="B146" s="2" t="str">
        <f ca="1">IFERROR(__xludf.DUMMYFUNCTION("""COMPUTED_VALUE"""),"Dell")</f>
        <v>Dell</v>
      </c>
      <c r="C146" s="2" t="str">
        <f ca="1">IFERROR(__xludf.DUMMYFUNCTION("""COMPUTED_VALUE"""),"Alienware 17")</f>
        <v>Alienware 17</v>
      </c>
      <c r="D146" s="2" t="str">
        <f ca="1">IFERROR(__xludf.DUMMYFUNCTION("""COMPUTED_VALUE"""),"Gaming")</f>
        <v>Gaming</v>
      </c>
      <c r="E146" s="2">
        <f ca="1">IFERROR(__xludf.DUMMYFUNCTION("""COMPUTED_VALUE"""),17.3)</f>
        <v>17.3</v>
      </c>
      <c r="F146" s="2" t="str">
        <f ca="1">IFERROR(__xludf.DUMMYFUNCTION("""COMPUTED_VALUE"""),"IPS Panel Full HD 1920x1080")</f>
        <v>IPS Panel Full HD 1920x1080</v>
      </c>
      <c r="G146" s="2" t="str">
        <f ca="1">IFERROR(__xludf.DUMMYFUNCTION("""COMPUTED_VALUE"""),"Intel Core i7 7700HQ 2.8GHz")</f>
        <v>Intel Core i7 7700HQ 2.8GHz</v>
      </c>
      <c r="H146" s="2" t="str">
        <f ca="1">IFERROR(__xludf.DUMMYFUNCTION("""COMPUTED_VALUE"""),"32GB")</f>
        <v>32GB</v>
      </c>
      <c r="I146" s="2" t="str">
        <f ca="1">IFERROR(__xludf.DUMMYFUNCTION("""COMPUTED_VALUE"""),"1TB SSD +  1TB HDD")</f>
        <v>1TB SSD +  1TB HDD</v>
      </c>
      <c r="J146" s="2" t="str">
        <f ca="1">IFERROR(__xludf.DUMMYFUNCTION("""COMPUTED_VALUE"""),"Nvidia GeForce GTX 1070M")</f>
        <v>Nvidia GeForce GTX 1070M</v>
      </c>
      <c r="K146" s="2" t="str">
        <f ca="1">IFERROR(__xludf.DUMMYFUNCTION("""COMPUTED_VALUE"""),"Windows 10")</f>
        <v>Windows 10</v>
      </c>
      <c r="L146" s="2" t="str">
        <f ca="1">IFERROR(__xludf.DUMMYFUNCTION("""COMPUTED_VALUE"""),"4.42kg")</f>
        <v>4.42kg</v>
      </c>
      <c r="M146" s="2">
        <f ca="1">IFERROR(__xludf.DUMMYFUNCTION("""COMPUTED_VALUE"""),3588.8)</f>
        <v>3588.8</v>
      </c>
    </row>
    <row r="147" spans="1:13">
      <c r="A147" s="2">
        <f ca="1">IFERROR(__xludf.DUMMYFUNCTION("""COMPUTED_VALUE"""),731)</f>
        <v>731</v>
      </c>
      <c r="B147" s="2" t="str">
        <f ca="1">IFERROR(__xludf.DUMMYFUNCTION("""COMPUTED_VALUE"""),"Dell")</f>
        <v>Dell</v>
      </c>
      <c r="C147" s="2" t="str">
        <f ca="1">IFERROR(__xludf.DUMMYFUNCTION("""COMPUTED_VALUE"""),"Alienware 17")</f>
        <v>Alienware 17</v>
      </c>
      <c r="D147" s="2" t="str">
        <f ca="1">IFERROR(__xludf.DUMMYFUNCTION("""COMPUTED_VALUE"""),"Gaming")</f>
        <v>Gaming</v>
      </c>
      <c r="E147" s="2">
        <f ca="1">IFERROR(__xludf.DUMMYFUNCTION("""COMPUTED_VALUE"""),17.3)</f>
        <v>17.3</v>
      </c>
      <c r="F147" s="2" t="str">
        <f ca="1">IFERROR(__xludf.DUMMYFUNCTION("""COMPUTED_VALUE"""),"4K Ultra HD 3840x2160")</f>
        <v>4K Ultra HD 3840x2160</v>
      </c>
      <c r="G147" s="2" t="str">
        <f ca="1">IFERROR(__xludf.DUMMYFUNCTION("""COMPUTED_VALUE"""),"Intel Core i7 7700HQ 2.8GHz")</f>
        <v>Intel Core i7 7700HQ 2.8GHz</v>
      </c>
      <c r="H147" s="2" t="str">
        <f ca="1">IFERROR(__xludf.DUMMYFUNCTION("""COMPUTED_VALUE"""),"32GB")</f>
        <v>32GB</v>
      </c>
      <c r="I147" s="2" t="str">
        <f ca="1">IFERROR(__xludf.DUMMYFUNCTION("""COMPUTED_VALUE"""),"1TB SSD +  1TB HDD")</f>
        <v>1TB SSD +  1TB HDD</v>
      </c>
      <c r="J147" s="2" t="str">
        <f ca="1">IFERROR(__xludf.DUMMYFUNCTION("""COMPUTED_VALUE"""),"Nvidia GeForce GTX 1070")</f>
        <v>Nvidia GeForce GTX 1070</v>
      </c>
      <c r="K147" s="2" t="str">
        <f ca="1">IFERROR(__xludf.DUMMYFUNCTION("""COMPUTED_VALUE"""),"Windows 10")</f>
        <v>Windows 10</v>
      </c>
      <c r="L147" s="2" t="str">
        <f ca="1">IFERROR(__xludf.DUMMYFUNCTION("""COMPUTED_VALUE"""),"4.36kg")</f>
        <v>4.36kg</v>
      </c>
      <c r="M147" s="2">
        <f ca="1">IFERROR(__xludf.DUMMYFUNCTION("""COMPUTED_VALUE"""),3659.4)</f>
        <v>3659.4</v>
      </c>
    </row>
    <row r="148" spans="1:13">
      <c r="A148" s="2">
        <f ca="1">IFERROR(__xludf.DUMMYFUNCTION("""COMPUTED_VALUE"""),243)</f>
        <v>243</v>
      </c>
      <c r="B148" s="2" t="str">
        <f ca="1">IFERROR(__xludf.DUMMYFUNCTION("""COMPUTED_VALUE"""),"Asus")</f>
        <v>Asus</v>
      </c>
      <c r="C148" s="2" t="str">
        <f ca="1">IFERROR(__xludf.DUMMYFUNCTION("""COMPUTED_VALUE"""),"ROG G703VI-E5062T")</f>
        <v>ROG G703VI-E5062T</v>
      </c>
      <c r="D148" s="2" t="str">
        <f ca="1">IFERROR(__xludf.DUMMYFUNCTION("""COMPUTED_VALUE"""),"Gaming")</f>
        <v>Gaming</v>
      </c>
      <c r="E148" s="2">
        <f ca="1">IFERROR(__xludf.DUMMYFUNCTION("""COMPUTED_VALUE"""),17.3)</f>
        <v>17.3</v>
      </c>
      <c r="F148" s="2" t="str">
        <f ca="1">IFERROR(__xludf.DUMMYFUNCTION("""COMPUTED_VALUE"""),"Full HD 1920x1080")</f>
        <v>Full HD 1920x1080</v>
      </c>
      <c r="G148" s="2" t="str">
        <f ca="1">IFERROR(__xludf.DUMMYFUNCTION("""COMPUTED_VALUE"""),"Intel Core i7 7820HK 2.9GHz")</f>
        <v>Intel Core i7 7820HK 2.9GHz</v>
      </c>
      <c r="H148" s="2" t="str">
        <f ca="1">IFERROR(__xludf.DUMMYFUNCTION("""COMPUTED_VALUE"""),"32GB")</f>
        <v>32GB</v>
      </c>
      <c r="I148" s="2" t="str">
        <f ca="1">IFERROR(__xludf.DUMMYFUNCTION("""COMPUTED_VALUE"""),"512GB SSD +  1TB HDD")</f>
        <v>512GB SSD +  1TB HDD</v>
      </c>
      <c r="J148" s="2" t="str">
        <f ca="1">IFERROR(__xludf.DUMMYFUNCTION("""COMPUTED_VALUE"""),"Nvidia GeForce GTX 1080")</f>
        <v>Nvidia GeForce GTX 1080</v>
      </c>
      <c r="K148" s="2" t="str">
        <f ca="1">IFERROR(__xludf.DUMMYFUNCTION("""COMPUTED_VALUE"""),"Windows 10")</f>
        <v>Windows 10</v>
      </c>
      <c r="L148" s="2" t="str">
        <f ca="1">IFERROR(__xludf.DUMMYFUNCTION("""COMPUTED_VALUE"""),"4.7kg")</f>
        <v>4.7kg</v>
      </c>
      <c r="M148" s="2">
        <f ca="1">IFERROR(__xludf.DUMMYFUNCTION("""COMPUTED_VALUE"""),3890)</f>
        <v>3890</v>
      </c>
    </row>
    <row r="149" spans="1:13">
      <c r="A149" s="2">
        <f ca="1">IFERROR(__xludf.DUMMYFUNCTION("""COMPUTED_VALUE"""),1081)</f>
        <v>1081</v>
      </c>
      <c r="B149" s="2" t="str">
        <f ca="1">IFERROR(__xludf.DUMMYFUNCTION("""COMPUTED_VALUE"""),"Asus")</f>
        <v>Asus</v>
      </c>
      <c r="C149" s="2" t="str">
        <f ca="1">IFERROR(__xludf.DUMMYFUNCTION("""COMPUTED_VALUE"""),"ROG G701VO")</f>
        <v>ROG G701VO</v>
      </c>
      <c r="D149" s="2" t="str">
        <f ca="1">IFERROR(__xludf.DUMMYFUNCTION("""COMPUTED_VALUE"""),"Gaming")</f>
        <v>Gaming</v>
      </c>
      <c r="E149" s="2">
        <f ca="1">IFERROR(__xludf.DUMMYFUNCTION("""COMPUTED_VALUE"""),17.3)</f>
        <v>17.3</v>
      </c>
      <c r="F149" s="2" t="str">
        <f ca="1">IFERROR(__xludf.DUMMYFUNCTION("""COMPUTED_VALUE"""),"IPS Panel Full HD 1920x1080")</f>
        <v>IPS Panel Full HD 1920x1080</v>
      </c>
      <c r="G149" s="2" t="str">
        <f ca="1">IFERROR(__xludf.DUMMYFUNCTION("""COMPUTED_VALUE"""),"Intel Core i7 6820HK 2.7GHz")</f>
        <v>Intel Core i7 6820HK 2.7GHz</v>
      </c>
      <c r="H149" s="2" t="str">
        <f ca="1">IFERROR(__xludf.DUMMYFUNCTION("""COMPUTED_VALUE"""),"64GB")</f>
        <v>64GB</v>
      </c>
      <c r="I149" s="2" t="str">
        <f ca="1">IFERROR(__xludf.DUMMYFUNCTION("""COMPUTED_VALUE"""),"1TB SSD")</f>
        <v>1TB SSD</v>
      </c>
      <c r="J149" s="2" t="str">
        <f ca="1">IFERROR(__xludf.DUMMYFUNCTION("""COMPUTED_VALUE"""),"Nvidia GeForce GTX 980 ")</f>
        <v xml:space="preserve">Nvidia GeForce GTX 980 </v>
      </c>
      <c r="K149" s="2" t="str">
        <f ca="1">IFERROR(__xludf.DUMMYFUNCTION("""COMPUTED_VALUE"""),"Windows 10")</f>
        <v>Windows 10</v>
      </c>
      <c r="L149" s="2" t="str">
        <f ca="1">IFERROR(__xludf.DUMMYFUNCTION("""COMPUTED_VALUE"""),"3.58kg")</f>
        <v>3.58kg</v>
      </c>
      <c r="M149" s="2">
        <f ca="1">IFERROR(__xludf.DUMMYFUNCTION("""COMPUTED_VALUE"""),3975)</f>
        <v>3975</v>
      </c>
    </row>
    <row r="150" spans="1:13">
      <c r="A150" s="2">
        <f ca="1">IFERROR(__xludf.DUMMYFUNCTION("""COMPUTED_VALUE"""),839)</f>
        <v>839</v>
      </c>
      <c r="B150" s="2" t="str">
        <f ca="1">IFERROR(__xludf.DUMMYFUNCTION("""COMPUTED_VALUE"""),"Razer")</f>
        <v>Razer</v>
      </c>
      <c r="C150" s="2" t="str">
        <f ca="1">IFERROR(__xludf.DUMMYFUNCTION("""COMPUTED_VALUE"""),"Blade Pro")</f>
        <v>Blade Pro</v>
      </c>
      <c r="D150" s="2" t="str">
        <f ca="1">IFERROR(__xludf.DUMMYFUNCTION("""COMPUTED_VALUE"""),"Gaming")</f>
        <v>Gaming</v>
      </c>
      <c r="E150" s="2">
        <f ca="1">IFERROR(__xludf.DUMMYFUNCTION("""COMPUTED_VALUE"""),17.3)</f>
        <v>17.3</v>
      </c>
      <c r="F150" s="2" t="str">
        <f ca="1">IFERROR(__xludf.DUMMYFUNCTION("""COMPUTED_VALUE"""),"4K Ultra HD / Touchscreen 3840x2160")</f>
        <v>4K Ultra HD / Touchscreen 3840x2160</v>
      </c>
      <c r="G150" s="2" t="str">
        <f ca="1">IFERROR(__xludf.DUMMYFUNCTION("""COMPUTED_VALUE"""),"Intel Core i7 7820HK 2.9GHz")</f>
        <v>Intel Core i7 7820HK 2.9GHz</v>
      </c>
      <c r="H150" s="2" t="str">
        <f ca="1">IFERROR(__xludf.DUMMYFUNCTION("""COMPUTED_VALUE"""),"32GB")</f>
        <v>32GB</v>
      </c>
      <c r="I150" s="2" t="str">
        <f ca="1">IFERROR(__xludf.DUMMYFUNCTION("""COMPUTED_VALUE"""),"512GB SSD")</f>
        <v>512GB SSD</v>
      </c>
      <c r="J150" s="2" t="str">
        <f ca="1">IFERROR(__xludf.DUMMYFUNCTION("""COMPUTED_VALUE"""),"Nvidia GeForce GTX 1080")</f>
        <v>Nvidia GeForce GTX 1080</v>
      </c>
      <c r="K150" s="2" t="str">
        <f ca="1">IFERROR(__xludf.DUMMYFUNCTION("""COMPUTED_VALUE"""),"Windows 10")</f>
        <v>Windows 10</v>
      </c>
      <c r="L150" s="2" t="str">
        <f ca="1">IFERROR(__xludf.DUMMYFUNCTION("""COMPUTED_VALUE"""),"3.49kg")</f>
        <v>3.49kg</v>
      </c>
      <c r="M150" s="2">
        <f ca="1">IFERROR(__xludf.DUMMYFUNCTION("""COMPUTED_VALUE"""),5499)</f>
        <v>5499</v>
      </c>
    </row>
    <row r="151" spans="1:13">
      <c r="A151" s="2">
        <f ca="1">IFERROR(__xludf.DUMMYFUNCTION("""COMPUTED_VALUE"""),200)</f>
        <v>200</v>
      </c>
      <c r="B151" s="2" t="str">
        <f ca="1">IFERROR(__xludf.DUMMYFUNCTION("""COMPUTED_VALUE"""),"Razer")</f>
        <v>Razer</v>
      </c>
      <c r="C151" s="2" t="str">
        <f ca="1">IFERROR(__xludf.DUMMYFUNCTION("""COMPUTED_VALUE"""),"Blade Pro")</f>
        <v>Blade Pro</v>
      </c>
      <c r="D151" s="2" t="str">
        <f ca="1">IFERROR(__xludf.DUMMYFUNCTION("""COMPUTED_VALUE"""),"Gaming")</f>
        <v>Gaming</v>
      </c>
      <c r="E151" s="2">
        <f ca="1">IFERROR(__xludf.DUMMYFUNCTION("""COMPUTED_VALUE"""),17.3)</f>
        <v>17.3</v>
      </c>
      <c r="F151" s="2" t="str">
        <f ca="1">IFERROR(__xludf.DUMMYFUNCTION("""COMPUTED_VALUE"""),"4K Ultra HD / Touchscreen 3840x2160")</f>
        <v>4K Ultra HD / Touchscreen 3840x2160</v>
      </c>
      <c r="G151" s="2" t="str">
        <f ca="1">IFERROR(__xludf.DUMMYFUNCTION("""COMPUTED_VALUE"""),"Intel Core i7 7820HK 2.9GHz")</f>
        <v>Intel Core i7 7820HK 2.9GHz</v>
      </c>
      <c r="H151" s="2" t="str">
        <f ca="1">IFERROR(__xludf.DUMMYFUNCTION("""COMPUTED_VALUE"""),"32GB")</f>
        <v>32GB</v>
      </c>
      <c r="I151" s="2" t="str">
        <f ca="1">IFERROR(__xludf.DUMMYFUNCTION("""COMPUTED_VALUE"""),"1TB SSD")</f>
        <v>1TB SSD</v>
      </c>
      <c r="J151" s="2" t="str">
        <f ca="1">IFERROR(__xludf.DUMMYFUNCTION("""COMPUTED_VALUE"""),"Nvidia GeForce GTX 1080")</f>
        <v>Nvidia GeForce GTX 1080</v>
      </c>
      <c r="K151" s="2" t="str">
        <f ca="1">IFERROR(__xludf.DUMMYFUNCTION("""COMPUTED_VALUE"""),"Windows 10")</f>
        <v>Windows 10</v>
      </c>
      <c r="L151" s="2" t="str">
        <f ca="1">IFERROR(__xludf.DUMMYFUNCTION("""COMPUTED_VALUE"""),"3.49kg")</f>
        <v>3.49kg</v>
      </c>
      <c r="M151" s="2">
        <f ca="1">IFERROR(__xludf.DUMMYFUNCTION("""COMPUTED_VALUE"""),6099)</f>
        <v>6099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20"/>
  <sheetViews>
    <sheetView tabSelected="1" workbookViewId="0"/>
  </sheetViews>
  <sheetFormatPr defaultColWidth="11.25" defaultRowHeight="15" customHeight="1"/>
  <sheetData>
    <row r="1" spans="1:2">
      <c r="A1" s="2" t="str">
        <f ca="1">IFERROR(__xludf.DUMMYFUNCTION("query(laptop_price!A1:M1304, ""select B, avg(E) group by B"")"),"Company")</f>
        <v>Company</v>
      </c>
      <c r="B1" s="2" t="str">
        <f ca="1">IFERROR(__xludf.DUMMYFUNCTION("""COMPUTED_VALUE"""),"avg Inches")</f>
        <v>avg Inches</v>
      </c>
    </row>
    <row r="2" spans="1:2">
      <c r="A2" s="2" t="str">
        <f ca="1">IFERROR(__xludf.DUMMYFUNCTION("""COMPUTED_VALUE"""),"Acer")</f>
        <v>Acer</v>
      </c>
      <c r="B2" s="2">
        <f ca="1">IFERROR(__xludf.DUMMYFUNCTION("""COMPUTED_VALUE"""),15.0631067961164)</f>
        <v>15.063106796116401</v>
      </c>
    </row>
    <row r="3" spans="1:2">
      <c r="A3" s="2" t="str">
        <f ca="1">IFERROR(__xludf.DUMMYFUNCTION("""COMPUTED_VALUE"""),"Apple")</f>
        <v>Apple</v>
      </c>
      <c r="B3" s="2">
        <f ca="1">IFERROR(__xludf.DUMMYFUNCTION("""COMPUTED_VALUE"""),13.247619047619)</f>
        <v>13.247619047619001</v>
      </c>
    </row>
    <row r="4" spans="1:2">
      <c r="A4" s="2" t="str">
        <f ca="1">IFERROR(__xludf.DUMMYFUNCTION("""COMPUTED_VALUE"""),"Asus")</f>
        <v>Asus</v>
      </c>
      <c r="B4" s="2">
        <f ca="1">IFERROR(__xludf.DUMMYFUNCTION("""COMPUTED_VALUE"""),15.4499999999999)</f>
        <v>15.4499999999999</v>
      </c>
    </row>
    <row r="5" spans="1:2">
      <c r="A5" s="2" t="str">
        <f ca="1">IFERROR(__xludf.DUMMYFUNCTION("""COMPUTED_VALUE"""),"Chuwi")</f>
        <v>Chuwi</v>
      </c>
      <c r="B5" s="2">
        <f ca="1">IFERROR(__xludf.DUMMYFUNCTION("""COMPUTED_VALUE"""),14.5)</f>
        <v>14.5</v>
      </c>
    </row>
    <row r="6" spans="1:2">
      <c r="A6" s="2" t="str">
        <f ca="1">IFERROR(__xludf.DUMMYFUNCTION("""COMPUTED_VALUE"""),"Dell")</f>
        <v>Dell</v>
      </c>
      <c r="B6" s="2">
        <f ca="1">IFERROR(__xludf.DUMMYFUNCTION("""COMPUTED_VALUE"""),15.1360269360269)</f>
        <v>15.1360269360269</v>
      </c>
    </row>
    <row r="7" spans="1:2">
      <c r="A7" s="2" t="str">
        <f ca="1">IFERROR(__xludf.DUMMYFUNCTION("""COMPUTED_VALUE"""),"Fujitsu")</f>
        <v>Fujitsu</v>
      </c>
      <c r="B7" s="2">
        <f ca="1">IFERROR(__xludf.DUMMYFUNCTION("""COMPUTED_VALUE"""),15.6)</f>
        <v>15.6</v>
      </c>
    </row>
    <row r="8" spans="1:2">
      <c r="A8" s="2" t="str">
        <f ca="1">IFERROR(__xludf.DUMMYFUNCTION("""COMPUTED_VALUE"""),"Google")</f>
        <v>Google</v>
      </c>
      <c r="B8" s="2">
        <f ca="1">IFERROR(__xludf.DUMMYFUNCTION("""COMPUTED_VALUE"""),12.3)</f>
        <v>12.3</v>
      </c>
    </row>
    <row r="9" spans="1:2">
      <c r="A9" s="2" t="str">
        <f ca="1">IFERROR(__xludf.DUMMYFUNCTION("""COMPUTED_VALUE"""),"HP")</f>
        <v>HP</v>
      </c>
      <c r="B9" s="2">
        <f ca="1">IFERROR(__xludf.DUMMYFUNCTION("""COMPUTED_VALUE"""),14.9430656934306)</f>
        <v>14.943065693430601</v>
      </c>
    </row>
    <row r="10" spans="1:2">
      <c r="A10" s="2" t="str">
        <f ca="1">IFERROR(__xludf.DUMMYFUNCTION("""COMPUTED_VALUE"""),"Huawei")</f>
        <v>Huawei</v>
      </c>
      <c r="B10" s="2">
        <f ca="1">IFERROR(__xludf.DUMMYFUNCTION("""COMPUTED_VALUE"""),13)</f>
        <v>13</v>
      </c>
    </row>
    <row r="11" spans="1:2">
      <c r="A11" s="2" t="str">
        <f ca="1">IFERROR(__xludf.DUMMYFUNCTION("""COMPUTED_VALUE"""),"LG")</f>
        <v>LG</v>
      </c>
      <c r="B11" s="2">
        <f ca="1">IFERROR(__xludf.DUMMYFUNCTION("""COMPUTED_VALUE"""),15.0666666666666)</f>
        <v>15.066666666666601</v>
      </c>
    </row>
    <row r="12" spans="1:2">
      <c r="A12" s="2" t="str">
        <f ca="1">IFERROR(__xludf.DUMMYFUNCTION("""COMPUTED_VALUE"""),"Lenovo")</f>
        <v>Lenovo</v>
      </c>
      <c r="B12" s="2">
        <f ca="1">IFERROR(__xludf.DUMMYFUNCTION("""COMPUTED_VALUE"""),14.8727272727272)</f>
        <v>14.8727272727272</v>
      </c>
    </row>
    <row r="13" spans="1:2">
      <c r="A13" s="2" t="str">
        <f ca="1">IFERROR(__xludf.DUMMYFUNCTION("""COMPUTED_VALUE"""),"MSI")</f>
        <v>MSI</v>
      </c>
      <c r="B13" s="2">
        <f ca="1">IFERROR(__xludf.DUMMYFUNCTION("""COMPUTED_VALUE"""),16.4425925925925)</f>
        <v>16.442592592592501</v>
      </c>
    </row>
    <row r="14" spans="1:2">
      <c r="A14" s="2" t="str">
        <f ca="1">IFERROR(__xludf.DUMMYFUNCTION("""COMPUTED_VALUE"""),"Mediacom")</f>
        <v>Mediacom</v>
      </c>
      <c r="B14" s="2">
        <f ca="1">IFERROR(__xludf.DUMMYFUNCTION("""COMPUTED_VALUE"""),13.4571428571428)</f>
        <v>13.4571428571428</v>
      </c>
    </row>
    <row r="15" spans="1:2">
      <c r="A15" s="2" t="str">
        <f ca="1">IFERROR(__xludf.DUMMYFUNCTION("""COMPUTED_VALUE"""),"Microsoft")</f>
        <v>Microsoft</v>
      </c>
      <c r="B15" s="2">
        <f ca="1">IFERROR(__xludf.DUMMYFUNCTION("""COMPUTED_VALUE"""),13.5)</f>
        <v>13.5</v>
      </c>
    </row>
    <row r="16" spans="1:2">
      <c r="A16" s="2" t="str">
        <f ca="1">IFERROR(__xludf.DUMMYFUNCTION("""COMPUTED_VALUE"""),"Razer")</f>
        <v>Razer</v>
      </c>
      <c r="B16" s="2">
        <f ca="1">IFERROR(__xludf.DUMMYFUNCTION("""COMPUTED_VALUE"""),14.5142857142857)</f>
        <v>14.5142857142857</v>
      </c>
    </row>
    <row r="17" spans="1:2">
      <c r="A17" s="2" t="str">
        <f ca="1">IFERROR(__xludf.DUMMYFUNCTION("""COMPUTED_VALUE"""),"Samsung")</f>
        <v>Samsung</v>
      </c>
      <c r="B17" s="2">
        <f ca="1">IFERROR(__xludf.DUMMYFUNCTION("""COMPUTED_VALUE"""),13.8222222222222)</f>
        <v>13.8222222222222</v>
      </c>
    </row>
    <row r="18" spans="1:2">
      <c r="A18" s="2" t="str">
        <f ca="1">IFERROR(__xludf.DUMMYFUNCTION("""COMPUTED_VALUE"""),"Toshiba")</f>
        <v>Toshiba</v>
      </c>
      <c r="B18" s="2">
        <f ca="1">IFERROR(__xludf.DUMMYFUNCTION("""COMPUTED_VALUE"""),14.3541666666666)</f>
        <v>14.3541666666666</v>
      </c>
    </row>
    <row r="19" spans="1:2">
      <c r="A19" s="2" t="str">
        <f ca="1">IFERROR(__xludf.DUMMYFUNCTION("""COMPUTED_VALUE"""),"Vero")</f>
        <v>Vero</v>
      </c>
      <c r="B19" s="2">
        <f ca="1">IFERROR(__xludf.DUMMYFUNCTION("""COMPUTED_VALUE"""),13.825)</f>
        <v>13.824999999999999</v>
      </c>
    </row>
    <row r="20" spans="1:2">
      <c r="A20" s="2" t="str">
        <f ca="1">IFERROR(__xludf.DUMMYFUNCTION("""COMPUTED_VALUE"""),"Xiaomi")</f>
        <v>Xiaomi</v>
      </c>
      <c r="B20" s="2">
        <f ca="1">IFERROR(__xludf.DUMMYFUNCTION("""COMPUTED_VALUE"""),14.45)</f>
        <v>14.45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laptop_price</vt:lpstr>
      <vt:lpstr>SQL Queries-Select </vt:lpstr>
      <vt:lpstr>Select Ram=8GB</vt:lpstr>
      <vt:lpstr>Inches&gt;17 for Windows 10-Order </vt:lpstr>
      <vt:lpstr>Average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Urvashi Jain</cp:lastModifiedBy>
  <dcterms:modified xsi:type="dcterms:W3CDTF">2023-04-26T16:24:14Z</dcterms:modified>
</cp:coreProperties>
</file>