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1.xml" ContentType="application/vnd.openxmlformats-officedocument.drawing+xml"/>
  <Override PartName="/xl/tables/table17.xml" ContentType="application/vnd.openxmlformats-officedocument.spreadsheetml.table+xml"/>
  <Override PartName="/xl/queryTables/queryTable1.xml" ContentType="application/vnd.openxmlformats-officedocument.spreadsheetml.queryTable+xml"/>
  <Override PartName="/xl/tables/table18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4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5.xml" ContentType="application/vnd.openxmlformats-officedocument.drawing+xml"/>
  <Override PartName="/xl/tables/table25.xml" ContentType="application/vnd.openxmlformats-officedocument.spreadsheetml.table+xml"/>
  <Override PartName="/xl/drawings/drawing16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17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18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19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0F660D3-B326-4795-9321-4439772103FA}" xr6:coauthVersionLast="47" xr6:coauthVersionMax="47" xr10:uidLastSave="{00000000-0000-0000-0000-000000000000}"/>
  <bookViews>
    <workbookView xWindow="-120" yWindow="-120" windowWidth="20730" windowHeight="11040" tabRatio="760" xr2:uid="{4ED6A248-79E9-4374-85BF-4CF7D76EB3A8}"/>
  </bookViews>
  <sheets>
    <sheet name="AND" sheetId="1" r:id="rId1"/>
    <sheet name="OR" sheetId="18" r:id="rId2"/>
    <sheet name="AVERAGE" sheetId="2" r:id="rId3"/>
    <sheet name="AVERAGEIF" sheetId="3" r:id="rId4"/>
    <sheet name="AVERAGEIFS" sheetId="4" r:id="rId5"/>
    <sheet name="CONCATENATE" sheetId="5" r:id="rId6"/>
    <sheet name="COUNT" sheetId="6" r:id="rId7"/>
    <sheet name="COUNTA" sheetId="7" r:id="rId8"/>
    <sheet name="COUNTBLANK" sheetId="8" r:id="rId9"/>
    <sheet name="COUNTIF" sheetId="9" r:id="rId10"/>
    <sheet name="COUNTIFS" sheetId="11" r:id="rId11"/>
    <sheet name="IF" sheetId="14" r:id="rId12"/>
    <sheet name="MAX" sheetId="16" r:id="rId13"/>
    <sheet name="MIN" sheetId="17" r:id="rId14"/>
    <sheet name="SUM" sheetId="19" r:id="rId15"/>
    <sheet name="SUMIF" sheetId="20" r:id="rId16"/>
    <sheet name="SUMIFS" sheetId="21" r:id="rId17"/>
    <sheet name="HLOOKUP" sheetId="13" r:id="rId18"/>
    <sheet name="VLOOKUP" sheetId="22" r:id="rId19"/>
  </sheets>
  <externalReferences>
    <externalReference r:id="rId20"/>
  </externalReferences>
  <definedNames>
    <definedName name="ExternalData_1" localSheetId="10" hidden="1">COUNTIFS!$A$5:$C$18</definedName>
    <definedName name="ExternalData_2" localSheetId="10" hidden="1">COUNTIFS!$F$10:$H$14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2" l="1"/>
  <c r="D36" i="22"/>
  <c r="D31" i="22"/>
  <c r="D30" i="22"/>
  <c r="D29" i="22"/>
  <c r="D24" i="22"/>
  <c r="D22" i="22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F9" i="20"/>
  <c r="F8" i="20"/>
  <c r="F7" i="20"/>
  <c r="D15" i="19"/>
  <c r="D14" i="18"/>
  <c r="D13" i="18"/>
  <c r="D12" i="18"/>
  <c r="D11" i="18"/>
  <c r="D10" i="18"/>
  <c r="D9" i="18"/>
  <c r="D8" i="18"/>
  <c r="D7" i="18"/>
  <c r="D6" i="18"/>
  <c r="F11" i="17"/>
  <c r="F11" i="16"/>
  <c r="C17" i="14"/>
  <c r="C16" i="14"/>
  <c r="C15" i="14"/>
  <c r="C14" i="14"/>
  <c r="C13" i="14"/>
  <c r="C12" i="14"/>
  <c r="C11" i="14"/>
  <c r="C10" i="14"/>
  <c r="C9" i="14"/>
  <c r="C8" i="14"/>
  <c r="D23" i="13"/>
  <c r="D19" i="13"/>
  <c r="D15" i="13"/>
  <c r="H14" i="11"/>
  <c r="H13" i="11"/>
  <c r="H12" i="11"/>
  <c r="H11" i="11"/>
  <c r="F20" i="9"/>
  <c r="F19" i="9"/>
  <c r="F18" i="9"/>
  <c r="F17" i="9"/>
  <c r="F16" i="9"/>
  <c r="F15" i="9"/>
  <c r="F14" i="9"/>
  <c r="F13" i="9"/>
  <c r="F12" i="9"/>
  <c r="F11" i="9"/>
  <c r="F10" i="9"/>
  <c r="H8" i="8"/>
  <c r="H11" i="8"/>
  <c r="H10" i="8"/>
  <c r="H9" i="8"/>
  <c r="G12" i="7"/>
  <c r="F12" i="7"/>
  <c r="G11" i="7"/>
  <c r="F11" i="7"/>
  <c r="G10" i="7"/>
  <c r="F10" i="7"/>
  <c r="G9" i="7"/>
  <c r="G9" i="6"/>
  <c r="G10" i="6"/>
  <c r="G12" i="6"/>
  <c r="F12" i="6"/>
  <c r="G11" i="6"/>
  <c r="F11" i="6"/>
  <c r="F10" i="6"/>
  <c r="D7" i="5"/>
  <c r="D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H9" i="4"/>
  <c r="H8" i="4"/>
  <c r="H7" i="4"/>
  <c r="H6" i="4"/>
  <c r="F10" i="3"/>
  <c r="F9" i="3"/>
  <c r="F8" i="3"/>
  <c r="F11" i="2"/>
  <c r="F10" i="2"/>
  <c r="F9" i="2"/>
  <c r="F8" i="2"/>
  <c r="F7" i="2"/>
  <c r="F6" i="2"/>
  <c r="D14" i="1"/>
  <c r="D13" i="1"/>
  <c r="D12" i="1"/>
  <c r="D11" i="1"/>
  <c r="D10" i="1"/>
  <c r="D9" i="1"/>
  <c r="D8" i="1"/>
  <c r="D7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7BFEBF-2F0F-433D-9EC0-9E1D90A8298A}" keepAlive="1" name="Query - Table17" description="Connection to the 'Table17' query in the workbook." type="5" refreshedVersion="8" background="1" saveData="1">
    <dbPr connection="Provider=Microsoft.Mashup.OleDb.1;Data Source=$Workbook$;Location=Table17;Extended Properties=&quot;&quot;" command="SELECT * FROM [Table17]"/>
  </connection>
  <connection id="2" xr16:uid="{24298361-FA81-4FB7-A388-BC65CE8E7625}" keepAlive="1" name="Query - Table17 (2)" description="Connection to the 'Table17 (2)' query in the workbook." type="5" refreshedVersion="8" background="1" saveData="1">
    <dbPr connection="Provider=Microsoft.Mashup.OleDb.1;Data Source=$Workbook$;Location=&quot;Table17 (2)&quot;;Extended Properties=&quot;&quot;" command="SELECT * FROM [Table17 (2)]"/>
  </connection>
  <connection id="3" xr16:uid="{CF716246-D2B5-452D-B3C3-9A460A3DA981}" keepAlive="1" name="Query - Table20" description="Connection to the 'Table20' query in the workbook." type="5" refreshedVersion="8" background="1" saveData="1">
    <dbPr connection="Provider=Microsoft.Mashup.OleDb.1;Data Source=$Workbook$;Location=Table20;Extended Properties=&quot;&quot;" command="SELECT * FROM [Table20]"/>
  </connection>
  <connection id="4" xr16:uid="{0F0F121E-9C18-43ED-9D3E-7A274DC6B4A5}" keepAlive="1" name="Query - Table20 (2)" description="Connection to the 'Table20 (2)' query in the workbook." type="5" refreshedVersion="8" background="1" saveData="1">
    <dbPr connection="Provider=Microsoft.Mashup.OleDb.1;Data Source=$Workbook$;Location=&quot;Table20 (2)&quot;;Extended Properties=&quot;&quot;" command="SELECT * FROM [Table20 (2)]"/>
  </connection>
</connections>
</file>

<file path=xl/sharedStrings.xml><?xml version="1.0" encoding="utf-8"?>
<sst xmlns="http://schemas.openxmlformats.org/spreadsheetml/2006/main" count="1043" uniqueCount="272">
  <si>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</si>
  <si>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</si>
  <si>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</si>
  <si>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</si>
  <si>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</si>
  <si>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</si>
  <si>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</si>
  <si>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</si>
  <si>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</si>
  <si>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</si>
  <si>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</si>
  <si>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</si>
  <si>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</si>
  <si>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</si>
  <si>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</si>
  <si>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</si>
  <si>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</si>
  <si>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</si>
  <si>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</si>
  <si>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</si>
  <si>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</si>
  <si>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</si>
  <si>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</si>
  <si>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</si>
  <si>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</si>
  <si>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</si>
  <si>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</si>
  <si>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</si>
  <si>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Bulbasaur</t>
  </si>
  <si>
    <t>Column1</t>
  </si>
  <si>
    <t>Column2</t>
  </si>
  <si>
    <t xml:space="preserve">    Ivysaur</t>
  </si>
  <si>
    <t>Type</t>
  </si>
  <si>
    <t>Average Speed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</si>
  <si>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</si>
  <si>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</si>
  <si>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</si>
  <si>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</si>
  <si>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</si>
  <si>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</si>
  <si>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</si>
  <si>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Defense</t>
  </si>
  <si>
    <t>Generation</t>
  </si>
  <si>
    <t>Gen.</t>
  </si>
  <si>
    <t>Average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</si>
  <si>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</si>
  <si>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</si>
  <si>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</si>
  <si>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</si>
  <si>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</si>
  <si>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</si>
  <si>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</si>
  <si>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</si>
  <si>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</si>
  <si>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</si>
  <si>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</si>
  <si>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</si>
  <si>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</si>
  <si>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</si>
  <si>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</si>
  <si>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</si>
  <si>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</si>
  <si>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</si>
  <si>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</si>
  <si>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</si>
  <si>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</si>
  <si>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</si>
  <si>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</si>
  <si>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</si>
  <si>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</si>
  <si>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</si>
  <si>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</si>
  <si>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</si>
  <si>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</si>
  <si>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</si>
  <si>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</si>
  <si>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</si>
  <si>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</si>
  <si>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</si>
  <si>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CONCATENATE Function</t>
  </si>
  <si>
    <t>Type 2</t>
  </si>
  <si>
    <t>COUNT</t>
  </si>
  <si>
    <t>Name</t>
  </si>
  <si>
    <t>Steel</t>
  </si>
  <si>
    <t>Ice</t>
  </si>
  <si>
    <t>Ground</t>
  </si>
  <si>
    <t>Flying</t>
  </si>
  <si>
    <t>COLUMNS</t>
  </si>
  <si>
    <t>COUNTA</t>
  </si>
  <si>
    <t>Columns</t>
  </si>
  <si>
    <t>COUNTBLANK</t>
  </si>
  <si>
    <t>Total Stats</t>
  </si>
  <si>
    <t>COUNTIF</t>
  </si>
  <si>
    <t>Caterpie</t>
  </si>
  <si>
    <t>Metapod</t>
  </si>
  <si>
    <t>Butterfree</t>
  </si>
  <si>
    <t>Weddle</t>
  </si>
  <si>
    <t>COUNTIFS</t>
  </si>
  <si>
    <t>Employee ID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</si>
  <si>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</si>
  <si>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</si>
  <si>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</si>
  <si>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</si>
  <si>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</si>
  <si>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</si>
  <si>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</si>
  <si>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</si>
  <si>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</si>
  <si>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</si>
  <si>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</si>
  <si>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</si>
  <si>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</si>
  <si>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</si>
  <si>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</si>
  <si>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</si>
  <si>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</si>
  <si>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</si>
  <si>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</si>
  <si>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</si>
  <si>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</si>
  <si>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</si>
  <si>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</si>
  <si>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</si>
  <si>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</si>
  <si>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</si>
  <si>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</si>
  <si>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</si>
  <si>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</si>
  <si>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Column3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</si>
  <si>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</si>
  <si>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</si>
  <si>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</si>
  <si>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</si>
  <si>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Car Parking Charges</t>
  </si>
  <si>
    <t>Car Reg</t>
  </si>
  <si>
    <t>No. Hrs Parked</t>
  </si>
  <si>
    <t>Parking Charge</t>
  </si>
  <si>
    <t>DA12 NEJ</t>
  </si>
  <si>
    <t>If park &gt;6 hours, pay £3.50 pr hr</t>
  </si>
  <si>
    <t>MA16 BVW</t>
  </si>
  <si>
    <t>Anything less pay £1 pr hr</t>
  </si>
  <si>
    <t>DD11 SFD</t>
  </si>
  <si>
    <t>MA14 NHG</t>
  </si>
  <si>
    <t>Threshold</t>
  </si>
  <si>
    <t>YK14 BHH</t>
  </si>
  <si>
    <t>Long Hour Fee</t>
  </si>
  <si>
    <t>DY15 FLB</t>
  </si>
  <si>
    <t>Short Hour Fee</t>
  </si>
  <si>
    <t>MM12 SWL</t>
  </si>
  <si>
    <t>MA16 GKW</t>
  </si>
  <si>
    <t>FS12 DSD</t>
  </si>
  <si>
    <t>DA11 SBM</t>
  </si>
  <si>
    <t>MAX</t>
  </si>
  <si>
    <t>MIN</t>
  </si>
  <si>
    <t>Water Type OR more than 60 Defense</t>
  </si>
  <si>
    <t>Total</t>
  </si>
  <si>
    <t>Total Sum</t>
  </si>
  <si>
    <t xml:space="preserve">Document Date </t>
  </si>
  <si>
    <t>Supplier</t>
  </si>
  <si>
    <t>Reference</t>
  </si>
  <si>
    <t>Description</t>
  </si>
  <si>
    <t>Tax Inclusuve Amount</t>
  </si>
  <si>
    <t>Tax Code</t>
  </si>
  <si>
    <t xml:space="preserve">Bank Code </t>
  </si>
  <si>
    <t>Account Code</t>
  </si>
  <si>
    <t>Payment Date</t>
  </si>
  <si>
    <t>XY Solution</t>
  </si>
  <si>
    <t>S77782</t>
  </si>
  <si>
    <t xml:space="preserve">Opening Balance </t>
  </si>
  <si>
    <t>A</t>
  </si>
  <si>
    <t>B1</t>
  </si>
  <si>
    <t>BS-500</t>
  </si>
  <si>
    <t>IS Communcation</t>
  </si>
  <si>
    <t>Invoice EXP22</t>
  </si>
  <si>
    <t xml:space="preserve">Internet Service Provider </t>
  </si>
  <si>
    <t>IS-380</t>
  </si>
  <si>
    <t>Newscorp</t>
  </si>
  <si>
    <t>I381119</t>
  </si>
  <si>
    <t>Subscription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</si>
  <si>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</si>
  <si>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</si>
  <si>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</si>
  <si>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</si>
  <si>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</si>
  <si>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</si>
  <si>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</si>
  <si>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</si>
  <si>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</si>
  <si>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SUMIFS</t>
  </si>
  <si>
    <t>B2</t>
  </si>
  <si>
    <t>IAS Accountants</t>
  </si>
  <si>
    <t>Invoice</t>
  </si>
  <si>
    <t>Book Keeping</t>
  </si>
  <si>
    <t>IS-305</t>
  </si>
  <si>
    <t>City Lodge</t>
  </si>
  <si>
    <t>Accomodation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</si>
  <si>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</si>
  <si>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</si>
  <si>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</si>
  <si>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</si>
  <si>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</si>
  <si>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</si>
  <si>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</si>
  <si>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</si>
  <si>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</si>
  <si>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</si>
  <si>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Inter Account Transfer</t>
  </si>
  <si>
    <t>Transfer</t>
  </si>
  <si>
    <t>E</t>
  </si>
  <si>
    <t>BS-399</t>
  </si>
  <si>
    <t>Furniture City</t>
  </si>
  <si>
    <t>Furniture</t>
  </si>
  <si>
    <t>GF Supplies</t>
  </si>
  <si>
    <t>Consumables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</si>
  <si>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</si>
  <si>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</si>
  <si>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</si>
  <si>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</si>
  <si>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</si>
  <si>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</si>
  <si>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</si>
  <si>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</si>
  <si>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Inland Revenue</t>
  </si>
  <si>
    <t>Sales Tax</t>
  </si>
  <si>
    <t>PR Properties</t>
  </si>
  <si>
    <t>Rent</t>
  </si>
  <si>
    <t>IS-350</t>
  </si>
  <si>
    <t>Petty Cash Reimbursement</t>
  </si>
  <si>
    <t>IS Communication</t>
  </si>
  <si>
    <t>Invoice Exp23</t>
  </si>
  <si>
    <t>Pr Properties</t>
  </si>
  <si>
    <t>Training Inc</t>
  </si>
  <si>
    <t>Course</t>
  </si>
  <si>
    <t>Waltons</t>
  </si>
  <si>
    <t>Stationery</t>
  </si>
  <si>
    <t>Return</t>
  </si>
  <si>
    <t>BS-600</t>
  </si>
  <si>
    <t>04-26-2011</t>
  </si>
  <si>
    <t>BS-100</t>
  </si>
  <si>
    <t>IN1179</t>
  </si>
  <si>
    <t>IS-325</t>
  </si>
  <si>
    <t>Invoice EXP24</t>
  </si>
  <si>
    <t>IS-385</t>
  </si>
  <si>
    <t>S50037</t>
  </si>
  <si>
    <t>IS-370</t>
  </si>
  <si>
    <t>Below is a list of the employees who work in your company:</t>
  </si>
  <si>
    <t>Location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</si>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</sst>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0" xfId="0" applyNumberFormat="1"/>
    <xf numFmtId="0" fontId="0" fillId="0" borderId="7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8" xfId="0" applyFont="1" applyBorder="1"/>
    <xf numFmtId="0" fontId="6" fillId="0" borderId="8" xfId="0" applyFont="1" applyBorder="1"/>
    <xf numFmtId="0" fontId="4" fillId="0" borderId="8" xfId="0" applyFont="1" applyBorder="1"/>
    <xf numFmtId="0" fontId="4" fillId="0" borderId="12" xfId="0" applyFont="1" applyBorder="1" applyAlignment="1">
      <alignment horizontal="right"/>
    </xf>
    <xf numFmtId="0" fontId="4" fillId="0" borderId="12" xfId="0" applyFont="1" applyBorder="1"/>
    <xf numFmtId="0" fontId="4" fillId="0" borderId="6" xfId="0" applyFont="1" applyBorder="1"/>
    <xf numFmtId="0" fontId="2" fillId="0" borderId="0" xfId="0" applyFont="1"/>
    <xf numFmtId="0" fontId="7" fillId="0" borderId="0" xfId="0" applyFont="1"/>
    <xf numFmtId="0" fontId="0" fillId="0" borderId="10" xfId="0" applyBorder="1"/>
    <xf numFmtId="0" fontId="0" fillId="0" borderId="11" xfId="0" applyBorder="1" applyAlignment="1">
      <alignment horizontal="center"/>
    </xf>
    <xf numFmtId="164" fontId="0" fillId="0" borderId="12" xfId="0" applyNumberFormat="1" applyBorder="1"/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6" xfId="0" applyNumberFormat="1" applyBorder="1"/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right" vertical="center" wrapText="1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top"/>
    </xf>
    <xf numFmtId="0" fontId="9" fillId="0" borderId="0" xfId="0" applyFont="1"/>
    <xf numFmtId="0" fontId="9" fillId="0" borderId="0" xfId="0" applyFont="1"/>
    <xf numFmtId="0" fontId="8" fillId="0" borderId="0" xfId="0" applyFont="1"/>
    <xf numFmtId="0" fontId="9" fillId="0" borderId="14" xfId="0" applyFont="1" applyBorder="1"/>
    <xf numFmtId="0" fontId="9" fillId="0" borderId="15" xfId="0" applyFont="1" applyBorder="1"/>
    <xf numFmtId="0" fontId="8" fillId="0" borderId="14" xfId="0" applyFont="1" applyBorder="1" applyAlignment="1">
      <alignment horizontal="left"/>
    </xf>
    <xf numFmtId="0" fontId="8" fillId="0" borderId="14" xfId="0" applyFont="1" applyBorder="1"/>
    <xf numFmtId="0" fontId="8" fillId="0" borderId="14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16" xfId="0" applyFont="1" applyBorder="1" applyAlignment="1">
      <alignment horizontal="left"/>
    </xf>
    <xf numFmtId="0" fontId="8" fillId="0" borderId="16" xfId="0" applyFont="1" applyBorder="1"/>
    <xf numFmtId="0" fontId="8" fillId="0" borderId="16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/>
    <xf numFmtId="0" fontId="8" fillId="0" borderId="0" xfId="0" applyFont="1" applyAlignment="1">
      <alignment horizontal="left"/>
    </xf>
  </cellXfs>
  <cellStyles count="1">
    <cellStyle name="Normal" xfId="0" builtinId="0"/>
  </cellStyles>
  <dxfs count="8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top" textRotation="0" wrapText="0" indent="0" justifyLastLine="0" shrinkToFit="0" readingOrder="0"/>
    </dxf>
    <dxf>
      <numFmt numFmtId="2" formatCode="0.00"/>
    </dxf>
    <dxf>
      <numFmt numFmtId="19" formatCode="dd/mm/yyyy"/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&quot;£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95251</xdr:rowOff>
    </xdr:from>
    <xdr:to>
      <xdr:col>3</xdr:col>
      <xdr:colOff>1800225</xdr:colOff>
      <xdr:row>2</xdr:row>
      <xdr:rowOff>171451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A71399C-8FFA-BB01-1822-9E9E2B2B0118}"/>
            </a:ext>
          </a:extLst>
        </xdr:cNvPr>
        <xdr:cNvSpPr/>
      </xdr:nvSpPr>
      <xdr:spPr>
        <a:xfrm>
          <a:off x="333375" y="95251"/>
          <a:ext cx="3629025" cy="4572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AND Function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104775</xdr:rowOff>
    </xdr:from>
    <xdr:to>
      <xdr:col>5</xdr:col>
      <xdr:colOff>523875</xdr:colOff>
      <xdr:row>2</xdr:row>
      <xdr:rowOff>133350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2E3244B-722B-4C82-B1F5-F842335DF24E}"/>
            </a:ext>
          </a:extLst>
        </xdr:cNvPr>
        <xdr:cNvSpPr/>
      </xdr:nvSpPr>
      <xdr:spPr>
        <a:xfrm>
          <a:off x="581025" y="104775"/>
          <a:ext cx="3629025" cy="4095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COUNTIF Function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142875</xdr:rowOff>
    </xdr:from>
    <xdr:to>
      <xdr:col>7</xdr:col>
      <xdr:colOff>9525</xdr:colOff>
      <xdr:row>2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B1A0AB2-A67D-4094-BBA5-2DE6659DCD84}"/>
            </a:ext>
          </a:extLst>
        </xdr:cNvPr>
        <xdr:cNvSpPr/>
      </xdr:nvSpPr>
      <xdr:spPr>
        <a:xfrm>
          <a:off x="1323975" y="142875"/>
          <a:ext cx="3629025" cy="4095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COUNTIFS</a:t>
          </a:r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104775</xdr:rowOff>
    </xdr:from>
    <xdr:to>
      <xdr:col>4</xdr:col>
      <xdr:colOff>1666875</xdr:colOff>
      <xdr:row>2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3D918FB-7D1B-404E-B1CD-2DC81E610425}"/>
            </a:ext>
          </a:extLst>
        </xdr:cNvPr>
        <xdr:cNvSpPr/>
      </xdr:nvSpPr>
      <xdr:spPr>
        <a:xfrm>
          <a:off x="1600200" y="104775"/>
          <a:ext cx="3762375" cy="4476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IF</a:t>
          </a:r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95250</xdr:rowOff>
    </xdr:from>
    <xdr:to>
      <xdr:col>6</xdr:col>
      <xdr:colOff>323850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59636D0-B3CB-449A-8B8A-D0B654F10DCC}"/>
            </a:ext>
          </a:extLst>
        </xdr:cNvPr>
        <xdr:cNvSpPr/>
      </xdr:nvSpPr>
      <xdr:spPr>
        <a:xfrm>
          <a:off x="609600" y="95250"/>
          <a:ext cx="3762375" cy="4476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MAX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161925</xdr:rowOff>
    </xdr:from>
    <xdr:to>
      <xdr:col>6</xdr:col>
      <xdr:colOff>285750</xdr:colOff>
      <xdr:row>3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5F1E34-7B6C-4CF6-A869-6F94FAA494AF}"/>
            </a:ext>
          </a:extLst>
        </xdr:cNvPr>
        <xdr:cNvSpPr/>
      </xdr:nvSpPr>
      <xdr:spPr>
        <a:xfrm>
          <a:off x="476250" y="161925"/>
          <a:ext cx="3762375" cy="4476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MIN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133350</xdr:rowOff>
    </xdr:from>
    <xdr:to>
      <xdr:col>5</xdr:col>
      <xdr:colOff>514350</xdr:colOff>
      <xdr:row>3</xdr:row>
      <xdr:rowOff>9525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95A1BC-5DD4-4E01-B038-DC97B075FC83}"/>
            </a:ext>
          </a:extLst>
        </xdr:cNvPr>
        <xdr:cNvSpPr/>
      </xdr:nvSpPr>
      <xdr:spPr>
        <a:xfrm>
          <a:off x="295275" y="133350"/>
          <a:ext cx="3762375" cy="4476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SUM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142875</xdr:rowOff>
    </xdr:from>
    <xdr:to>
      <xdr:col>6</xdr:col>
      <xdr:colOff>390525</xdr:colOff>
      <xdr:row>3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4A17B02-BDE3-4851-94D5-C42F3B4710EF}"/>
            </a:ext>
          </a:extLst>
        </xdr:cNvPr>
        <xdr:cNvSpPr/>
      </xdr:nvSpPr>
      <xdr:spPr>
        <a:xfrm>
          <a:off x="342900" y="142875"/>
          <a:ext cx="3762375" cy="4476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SUMIF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123825</xdr:rowOff>
    </xdr:from>
    <xdr:to>
      <xdr:col>10</xdr:col>
      <xdr:colOff>38100</xdr:colOff>
      <xdr:row>3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4DB8B7D-1805-408B-B6C0-D9BFACBD0CAD}"/>
            </a:ext>
          </a:extLst>
        </xdr:cNvPr>
        <xdr:cNvSpPr/>
      </xdr:nvSpPr>
      <xdr:spPr>
        <a:xfrm>
          <a:off x="2371725" y="123825"/>
          <a:ext cx="8410575" cy="4857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SUMIFS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133350</xdr:rowOff>
    </xdr:from>
    <xdr:to>
      <xdr:col>9</xdr:col>
      <xdr:colOff>533400</xdr:colOff>
      <xdr:row>3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1DC8DFC-39FE-4AF0-B0C3-3830277C5890}"/>
            </a:ext>
          </a:extLst>
        </xdr:cNvPr>
        <xdr:cNvSpPr/>
      </xdr:nvSpPr>
      <xdr:spPr>
        <a:xfrm>
          <a:off x="2190750" y="133350"/>
          <a:ext cx="7781925" cy="4857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HLOOKUP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133350</xdr:rowOff>
    </xdr:from>
    <xdr:to>
      <xdr:col>8</xdr:col>
      <xdr:colOff>523875</xdr:colOff>
      <xdr:row>3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C8306CC-FA96-4507-9136-0AA723CFE997}"/>
            </a:ext>
          </a:extLst>
        </xdr:cNvPr>
        <xdr:cNvSpPr/>
      </xdr:nvSpPr>
      <xdr:spPr>
        <a:xfrm>
          <a:off x="495300" y="133350"/>
          <a:ext cx="7781925" cy="4857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VLOOKUP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152400</xdr:rowOff>
    </xdr:from>
    <xdr:to>
      <xdr:col>3</xdr:col>
      <xdr:colOff>1981200</xdr:colOff>
      <xdr:row>3</xdr:row>
      <xdr:rowOff>28575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163D200-C17D-4BF5-88E4-017E7BEF2D57}"/>
            </a:ext>
          </a:extLst>
        </xdr:cNvPr>
        <xdr:cNvSpPr/>
      </xdr:nvSpPr>
      <xdr:spPr>
        <a:xfrm>
          <a:off x="447675" y="152400"/>
          <a:ext cx="3762375" cy="4476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OR </a:t>
          </a:r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 Function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133350</xdr:rowOff>
    </xdr:from>
    <xdr:to>
      <xdr:col>5</xdr:col>
      <xdr:colOff>190500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6DFD37E-2A91-4A3A-B0D5-14C62F52BB18}"/>
            </a:ext>
          </a:extLst>
        </xdr:cNvPr>
        <xdr:cNvSpPr/>
      </xdr:nvSpPr>
      <xdr:spPr>
        <a:xfrm>
          <a:off x="466725" y="133350"/>
          <a:ext cx="3629025" cy="4095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AVERAGE Function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123825</xdr:rowOff>
    </xdr:from>
    <xdr:to>
      <xdr:col>5</xdr:col>
      <xdr:colOff>561975</xdr:colOff>
      <xdr:row>2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266F18F-7E75-445C-8EC7-A046517A60B6}"/>
            </a:ext>
          </a:extLst>
        </xdr:cNvPr>
        <xdr:cNvSpPr/>
      </xdr:nvSpPr>
      <xdr:spPr>
        <a:xfrm>
          <a:off x="409575" y="123825"/>
          <a:ext cx="3629025" cy="4095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AVERAGEIF Function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66675</xdr:rowOff>
    </xdr:from>
    <xdr:to>
      <xdr:col>6</xdr:col>
      <xdr:colOff>419100</xdr:colOff>
      <xdr:row>2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342F86D-0B8B-4ED5-A3B5-339750EF8AB1}"/>
            </a:ext>
          </a:extLst>
        </xdr:cNvPr>
        <xdr:cNvSpPr/>
      </xdr:nvSpPr>
      <xdr:spPr>
        <a:xfrm>
          <a:off x="1038225" y="66675"/>
          <a:ext cx="3629025" cy="4095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AVERAGEIFS Function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</xdr:row>
      <xdr:rowOff>9525</xdr:rowOff>
    </xdr:from>
    <xdr:to>
      <xdr:col>3</xdr:col>
      <xdr:colOff>1924050</xdr:colOff>
      <xdr:row>3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69B12E7-276E-489E-BD99-331ABA312863}"/>
            </a:ext>
          </a:extLst>
        </xdr:cNvPr>
        <xdr:cNvSpPr/>
      </xdr:nvSpPr>
      <xdr:spPr>
        <a:xfrm>
          <a:off x="628650" y="200025"/>
          <a:ext cx="3629025" cy="4095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CONCATENATE Function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0</xdr:row>
      <xdr:rowOff>133350</xdr:rowOff>
    </xdr:from>
    <xdr:to>
      <xdr:col>6</xdr:col>
      <xdr:colOff>0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661EFC9-2B4F-4DCE-9271-C22FF300F327}"/>
            </a:ext>
          </a:extLst>
        </xdr:cNvPr>
        <xdr:cNvSpPr/>
      </xdr:nvSpPr>
      <xdr:spPr>
        <a:xfrm>
          <a:off x="771525" y="133350"/>
          <a:ext cx="3629025" cy="4095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COUNT Function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123825</xdr:rowOff>
    </xdr:from>
    <xdr:to>
      <xdr:col>6</xdr:col>
      <xdr:colOff>533400</xdr:colOff>
      <xdr:row>2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4C49EEF-07D6-479A-BB72-790029AF73E6}"/>
            </a:ext>
          </a:extLst>
        </xdr:cNvPr>
        <xdr:cNvSpPr/>
      </xdr:nvSpPr>
      <xdr:spPr>
        <a:xfrm>
          <a:off x="1219200" y="123825"/>
          <a:ext cx="3629025" cy="4095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COUNTA Function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133350</xdr:rowOff>
    </xdr:from>
    <xdr:to>
      <xdr:col>7</xdr:col>
      <xdr:colOff>285750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8BC7B40-5594-42DA-9ED2-24432A40FA33}"/>
            </a:ext>
          </a:extLst>
        </xdr:cNvPr>
        <xdr:cNvSpPr/>
      </xdr:nvSpPr>
      <xdr:spPr>
        <a:xfrm>
          <a:off x="1552575" y="133350"/>
          <a:ext cx="3629025" cy="4095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 panose="020B0004020202020204" pitchFamily="34" charset="0"/>
            </a:rPr>
            <a:t>COUNTBLANK Function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44743\Desktop\TOPS_DA%20ASSIGNMENT_SOFT%20SKILL%20ASSIGNMENT_PROJECTS\TOPS_DA_PROJECTS\Data_Analytics_EXCEL_Project\EXCEL_Functions_Project\COUNTBLANK_Function.xlsx" TargetMode="External"/><Relationship Id="rId1" Type="http://schemas.openxmlformats.org/officeDocument/2006/relationships/externalLinkPath" Target="/Users/44743/Desktop/TOPS_DA%20ASSIGNMENT_SOFT%20SKILL%20ASSIGNMENT_PROJECTS/TOPS_DA_PROJECTS/Data_Analytics_EXCEL_Project/EXCEL_Functions_Project/COUNTBLANK_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OUNTBLANK_Function"/>
    </sheet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4B4AD5-2E6E-4C4D-9B5E-6EC2E5FE2028}" autoFormatId="16" applyNumberFormats="0" applyBorderFormats="0" applyFontFormats="0" applyPatternFormats="0" applyAlignmentFormats="0" applyWidthHeightFormats="0">
  <queryTableRefresh nextId="4">
    <queryTableFields count="3">
      <queryTableField id="1" name="    Name" tableColumnId="4"/>
      <queryTableField id="2" name="Type 1" tableColumnId="2"/>
      <queryTableField id="3" name="Genera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D7B911C-B35A-4FAD-9C7C-8FF4D490E8A3}" autoFormatId="16" applyNumberFormats="0" applyBorderFormats="0" applyFontFormats="0" applyPatternFormats="0" applyAlignmentFormats="0" applyWidthHeightFormats="0">
  <queryTableRefresh nextId="4">
    <queryTableFields count="3">
      <queryTableField id="1" name="Type" tableColumnId="4"/>
      <queryTableField id="2" name="Gen." tableColumnId="2"/>
      <queryTableField id="3" name="COUNTIFS" tableColumnId="3"/>
    </queryTableFields>
  </queryTableRefresh>
</queryTable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295E32-21DA-45E2-8799-149CF6786CCA}" name="Table1" displayName="Table1" ref="A5:D14" totalsRowShown="0">
  <autoFilter ref="A5:D14" xr:uid="{80295E32-21DA-45E2-8799-149CF6786CCA}"/>
  <tableColumns count="4">
    <tableColumn id="1" xr3:uid="{0269D45F-680B-4C70-8AEE-0F3CB53D39BB}" name="    Name"/>
    <tableColumn id="2" xr3:uid="{C8196B50-F5C8-4B33-BC8D-908396F6D541}" name="Type 1"/>
    <tableColumn id="3" xr3:uid="{9EACBF33-FA12-44A1-80F3-9606505813F4}" name="Speed"/>
    <tableColumn id="4" xr3:uid="{8CC4459B-DBDD-4FCE-BBB7-9C00BD5BE12A}" name="Fire Type AND more than 70 Speed">
      <calculatedColumnFormula>AND(B6 = "Fire",C6&gt;70)</calculatedColumnFormula>
    </tableColumn>
  </tableColumns>
  <tableStyleInfo name="TableStyleLight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CA32EB-7547-4A32-A3E0-804E6D584D2C}" name="Table210" displayName="Table210" ref="F8:G12" totalsRowShown="0" tableBorderDxfId="72">
  <autoFilter ref="F8:G12" xr:uid="{5DCA32EB-7547-4A32-A3E0-804E6D584D2C}"/>
  <tableColumns count="2">
    <tableColumn id="1" xr3:uid="{A922203A-043D-4DF0-B802-9B31E07E4C5C}" name="COLUMNS"/>
    <tableColumn id="2" xr3:uid="{2C5A0333-C415-4FDA-A34F-006E7237A995}" name="COUNT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41A585-389E-4443-BB9E-BC96ED8C01B6}" name="Table111" displayName="Table111" ref="A5:D25" totalsRowShown="0" tableBorderDxfId="71">
  <autoFilter ref="A5:D25" xr:uid="{F241A585-389E-4443-BB9E-BC96ED8C01B6}"/>
  <tableColumns count="4">
    <tableColumn id="1" xr3:uid="{E541B487-4470-4050-8C46-A7B3210DC165}" name="    Name"/>
    <tableColumn id="2" xr3:uid="{C640D489-9AF3-4A4A-9213-457346B62529}" name="Type 1"/>
    <tableColumn id="3" xr3:uid="{2DAEF07E-9D1D-4B1D-8EA9-40CE2D8E7EDD}" name="Type 2"/>
    <tableColumn id="4" xr3:uid="{B78F5D8B-B984-45C8-8140-21FAFF03F1D7}" name="Total stats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9B2BBE-3107-470F-BD98-48211C679DAA}" name="Table3" displayName="Table3" ref="F8:G12" totalsRowShown="0" tableBorderDxfId="70">
  <autoFilter ref="F8:G12" xr:uid="{2D9B2BBE-3107-470F-BD98-48211C679DAA}"/>
  <tableColumns count="2">
    <tableColumn id="1" xr3:uid="{50944883-06E5-4D37-A350-86E03AD482AA}" name="Columns"/>
    <tableColumn id="2" xr3:uid="{D3FAB47B-C801-4523-953D-9729EDF7E9CF}" name="COUNTA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B1EA7F-C43A-4FD6-83D7-D69AA1D2E71F}" name="Table113" displayName="Table113" ref="A5:D25" totalsRowShown="0" tableBorderDxfId="69">
  <autoFilter ref="A5:D25" xr:uid="{B5B1EA7F-C43A-4FD6-83D7-D69AA1D2E71F}"/>
  <tableColumns count="4">
    <tableColumn id="1" xr3:uid="{5A74D0FE-D81D-4D7B-95FA-652539287DDA}" name="    Name"/>
    <tableColumn id="2" xr3:uid="{A2183463-CADC-4B04-9C07-6F63790E88B5}" name="Type 1"/>
    <tableColumn id="3" xr3:uid="{C7FB0F3D-5535-44BC-906E-E97C908F96BD}" name="Type 2"/>
    <tableColumn id="4" xr3:uid="{2C9A6F3B-1C6B-4CEA-B22B-A80C0E3D133E}" name="Total stats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65873E9-FD59-476B-98A1-B2F24DBC4B01}" name="Table214" displayName="Table214" ref="G7:H11" totalsRowShown="0" tableBorderDxfId="68">
  <autoFilter ref="G7:H11" xr:uid="{765873E9-FD59-476B-98A1-B2F24DBC4B01}"/>
  <tableColumns count="2">
    <tableColumn id="1" xr3:uid="{F682CC9F-6900-4DCF-9BF5-8844BF111EA0}" name="Columns"/>
    <tableColumn id="2" xr3:uid="{C2935B23-5CB5-4572-B80C-97495FE4BE0F}" name="COUNTBLANK" dataDxfId="67">
      <calculatedColumnFormula>COUNTBLANK([1]!Table1[Type 1])</calculatedColumnFormula>
    </tableColumn>
  </tableColumns>
  <tableStyleInfo name="TableStyleLight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8B6598C-673E-4474-89DB-C5EDBC2D6898}" name="Table115" displayName="Table115" ref="E9:F20" totalsRowShown="0" tableBorderDxfId="66">
  <autoFilter ref="E9:F20" xr:uid="{D8B6598C-673E-4474-89DB-C5EDBC2D6898}"/>
  <tableColumns count="2">
    <tableColumn id="1" xr3:uid="{8CDEC7AC-8DF3-4ECF-A4DD-532F54AEE425}" name="Columns"/>
    <tableColumn id="2" xr3:uid="{8BFCEE89-FFA7-4168-8657-8ADC70FBB041}" name="COUNTIF" dataDxfId="65">
      <calculatedColumnFormula>COUNTIF(Table216[Type 1],Table115[[#This Row],[Columns]])</calculatedColumnFormula>
    </tableColumn>
  </tableColumns>
  <tableStyleInfo name="TableStyleLight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6646FE-E000-4C4E-B8B9-78FC9D0676CA}" name="Table216" displayName="Table216" ref="A5:C25" totalsRowShown="0" tableBorderDxfId="64">
  <autoFilter ref="A5:C25" xr:uid="{296646FE-E000-4C4E-B8B9-78FC9D0676CA}"/>
  <tableColumns count="3">
    <tableColumn id="1" xr3:uid="{D4093ABC-D182-4040-9F04-2E8B42F9E4F3}" name="    Name"/>
    <tableColumn id="2" xr3:uid="{FC214EB4-5C07-4E79-B9BB-E23BCEFC5A14}" name="Type 1"/>
    <tableColumn id="3" xr3:uid="{0263A4CF-A126-4C1D-B0F2-8D70F25DC73B}" name="Total stats"/>
  </tableColumns>
  <tableStyleInfo name="TableStyleLight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C616FED-978F-43D3-83D8-87A6358B7016}" name="Table17_2" displayName="Table17_2" ref="A5:C18" tableType="queryTable" totalsRowShown="0" headerRowDxfId="60" dataDxfId="59">
  <autoFilter ref="A5:C18" xr:uid="{6C616FED-978F-43D3-83D8-87A6358B7016}"/>
  <tableColumns count="3">
    <tableColumn id="4" xr3:uid="{D4BD212F-7CD6-40F8-B500-56C762916B43}" uniqueName="4" name="    Name" queryTableFieldId="1" dataDxfId="63"/>
    <tableColumn id="2" xr3:uid="{E9DE0BAE-1B59-4EC3-BCD2-C5BCBFF4A8FD}" uniqueName="2" name="Type 1" queryTableFieldId="2" dataDxfId="62"/>
    <tableColumn id="3" xr3:uid="{6DDE4362-AEA5-43B3-94B8-92A6AA61AD73}" uniqueName="3" name="Generation" queryTableFieldId="3" dataDxfId="61"/>
  </tableColumns>
  <tableStyleInfo name="TableStyleLight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0D101CE-8E42-4FA2-90D5-149D747CCC67}" name="Table20_223" displayName="Table20_223" ref="F10:H14" tableType="queryTable" totalsRowShown="0">
  <autoFilter ref="F10:H14" xr:uid="{E0D101CE-8E42-4FA2-90D5-149D747CCC67}"/>
  <tableColumns count="3">
    <tableColumn id="4" xr3:uid="{77B99726-2DAD-4690-A09A-1E9BC89EF8F7}" uniqueName="4" name="Type" queryTableFieldId="1" dataDxfId="58"/>
    <tableColumn id="2" xr3:uid="{007286F2-0D9F-4BC2-8390-6A0CE1BD5ECB}" uniqueName="2" name="Gen." queryTableFieldId="2" dataDxfId="57"/>
    <tableColumn id="3" xr3:uid="{CA1BC5CB-9140-459D-B312-3EB96F162DC8}" uniqueName="3" name="COUNTIFS" queryTableFieldId="3" dataDxfId="56"/>
  </tableColumns>
  <tableStyleInfo name="TableStyleLight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B64D8B1-0E6E-4467-B58D-E60CD153542F}" name="Table119" displayName="Table119" ref="E7:F13" totalsRowShown="0" tableBorderDxfId="36">
  <autoFilter ref="E7:F13" xr:uid="{0B64D8B1-0E6E-4467-B58D-E60CD153542F}"/>
  <tableColumns count="2">
    <tableColumn id="1" xr3:uid="{511C3FD4-82B1-457F-9F15-B9B05AEEA34D}" name="Column1"/>
    <tableColumn id="2" xr3:uid="{52F0D2D0-41C9-4C03-A25E-2F9E355B70B2}" name="Column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9C858E8-A97A-4A1D-AF99-806A70065E5B}" name="Table127" displayName="Table127" ref="A5:D14" totalsRowShown="0" tableBorderDxfId="21">
  <autoFilter ref="A5:D14" xr:uid="{99C858E8-A97A-4A1D-AF99-806A70065E5B}"/>
  <tableColumns count="4">
    <tableColumn id="1" xr3:uid="{695FDAF6-BE1C-4531-A092-D8AA535CAE6E}" name="    Name"/>
    <tableColumn id="2" xr3:uid="{C4CC6D9C-FF2B-47B4-972E-7FC01A2FFE6E}" name="Type 1"/>
    <tableColumn id="3" xr3:uid="{C3639B24-5BBF-46B8-8443-9A293875932D}" name="Defense"/>
    <tableColumn id="4" xr3:uid="{BA7FB558-4CD1-4AE2-B255-CD675164A531}" name="Water Type OR more than 60 Defense">
      <calculatedColumnFormula>OR(B6="Water",C6&gt;60)</calculatedColumnFormula>
    </tableColumn>
  </tableColumns>
  <tableStyleInfo name="TableStyleLight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9E471D8-83C3-40DB-93D7-5D27D55E3F02}" name="Table220" displayName="Table220" ref="A5:C17" totalsRowShown="0" tableBorderDxfId="35">
  <autoFilter ref="A5:C17" xr:uid="{C9E471D8-83C3-40DB-93D7-5D27D55E3F02}"/>
  <tableColumns count="3">
    <tableColumn id="1" xr3:uid="{F4A06A88-B9A6-42EF-BEA7-8BB3A5B75F9A}" name="Column1" dataDxfId="34"/>
    <tableColumn id="2" xr3:uid="{7B5EB950-C8EA-4993-B30B-36FBD85FFB78}" name="Column2" dataDxfId="33"/>
    <tableColumn id="3" xr3:uid="{1604D6D6-11AC-48BD-B285-D828B6DECF39}" name="Column3" dataDxfId="32">
      <calculatedColumnFormula>IF(B6&gt;6,3.5*B6,1*B6)</calculatedColumnFormula>
    </tableColumn>
  </tableColumns>
  <tableStyleInfo name="TableStyleLight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B7E422D-4A45-4F9D-9DC9-666088660AC1}" name="Table123" displayName="Table123" ref="A5:D25" totalsRowShown="0" headerRowDxfId="31" dataDxfId="30" tableBorderDxfId="29">
  <autoFilter ref="A5:D25" xr:uid="{AB7E422D-4A45-4F9D-9DC9-666088660AC1}"/>
  <tableColumns count="4">
    <tableColumn id="1" xr3:uid="{3E6D2031-7DAB-43A2-819F-BA3BE136C760}" name="    Name" dataDxfId="28"/>
    <tableColumn id="2" xr3:uid="{988310EF-99DA-44AE-9B1C-59803D0E47D2}" name="Type 1" dataDxfId="27"/>
    <tableColumn id="3" xr3:uid="{225CE4FB-F33E-497A-88B6-7F0E89FF06D3}" name="Type 2" dataDxfId="26"/>
    <tableColumn id="4" xr3:uid="{A3E18217-4A4F-473E-9BBB-D5A3D02E1609}" name="Total stats" dataDxfId="25"/>
  </tableColumns>
  <tableStyleInfo name="TableStyleLight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73160DA-DA72-468B-8741-8813647687AE}" name="Table224" displayName="Table224" ref="F10:F11" totalsRowShown="0" tableBorderDxfId="24">
  <autoFilter ref="F10:F11" xr:uid="{273160DA-DA72-468B-8741-8813647687AE}"/>
  <tableColumns count="1">
    <tableColumn id="1" xr3:uid="{9430B4F9-81FF-4CE6-A5CB-618EE57BBF57}" name="MAX">
      <calculatedColumnFormula>MAX(D6:D25)</calculatedColumnFormula>
    </tableColumn>
  </tableColumns>
  <tableStyleInfo name="TableStyleLight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6DF00D3-045D-4878-AD60-1745002C56FE}" name="Table125" displayName="Table125" ref="A5:D25" totalsRowShown="0" tableBorderDxfId="23">
  <autoFilter ref="A5:D25" xr:uid="{06DF00D3-045D-4878-AD60-1745002C56FE}"/>
  <tableColumns count="4">
    <tableColumn id="1" xr3:uid="{6A1AD2FC-D2AD-4D00-8E6F-D6CCE913621A}" name="    Name"/>
    <tableColumn id="2" xr3:uid="{B2A8B3FD-9FB0-44E4-8732-EAD40AF0C7C0}" name="Type 1"/>
    <tableColumn id="3" xr3:uid="{9A1EC162-B736-4B03-9057-A55C6B15F1C5}" name="Type 2"/>
    <tableColumn id="4" xr3:uid="{DBEE506D-6C0A-4874-98EB-466ECC05D98D}" name="Total stats"/>
  </tableColumns>
  <tableStyleInfo name="TableStyleLight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5B68DE6-7008-42E6-AB27-6A415769A0B3}" name="Table226" displayName="Table226" ref="F10:F11" totalsRowShown="0" tableBorderDxfId="22">
  <autoFilter ref="F10:F11" xr:uid="{65B68DE6-7008-42E6-AB27-6A415769A0B3}"/>
  <tableColumns count="1">
    <tableColumn id="1" xr3:uid="{25005C99-1780-4A1D-B0EA-D95C1BD83C2C}" name="MIN">
      <calculatedColumnFormula>MIN(D6:D25)</calculatedColumnFormula>
    </tableColumn>
  </tableColumns>
  <tableStyleInfo name="TableStyleLight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EA87CD3-78A2-46F0-8364-F50C30D52BEA}" name="Table128" displayName="Table128" ref="A5:D15" totalsRowCount="1">
  <autoFilter ref="A5:D14" xr:uid="{6EA87CD3-78A2-46F0-8364-F50C30D52BEA}"/>
  <tableColumns count="4">
    <tableColumn id="1" xr3:uid="{60EDA205-6A8C-4D10-9746-8AE2C9443A38}" name="    Name" totalsRowLabel="Total"/>
    <tableColumn id="2" xr3:uid="{F2743D72-D161-4393-8A5B-32B9673F380D}" name="Type 1"/>
    <tableColumn id="3" xr3:uid="{2F30BFB3-BF56-4A58-9BAA-2BC4FE51A2CF}" name="Type 2"/>
    <tableColumn id="4" xr3:uid="{636AEA7D-79F7-40F6-BA59-416D1258D7C3}" name="Total stats" totalsRowFunction="custom">
      <totalsRowFormula>SUM(Table128[Total stats])</totalsRowFormula>
    </tableColumn>
  </tableColumns>
  <tableStyleInfo name="TableStyleLight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C3AB0AC-4301-443A-AA9D-9D406EB605E3}" name="Table129" displayName="Table129" ref="E6:F9" headerRowCount="0" totalsRowShown="0" tableBorderDxfId="20">
  <tableColumns count="2">
    <tableColumn id="1" xr3:uid="{9EAB6026-F867-4F0A-B0F8-67EAE894371C}" name="Column1"/>
    <tableColumn id="2" xr3:uid="{B450FAF0-387D-44DA-8DBC-A46A92704C36}" name="Column2"/>
  </tableColumns>
  <tableStyleInfo name="TableStyleLight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FC47CC6-0C61-40E5-A6EF-4222186074B4}" name="Table230" displayName="Table230" ref="A5:C14" totalsRowShown="0" tableBorderDxfId="19">
  <autoFilter ref="A5:C14" xr:uid="{3FC47CC6-0C61-40E5-A6EF-4222186074B4}"/>
  <tableColumns count="3">
    <tableColumn id="1" xr3:uid="{9A250F86-7C6B-4827-AD10-0ADEC866B6E5}" name="    Name"/>
    <tableColumn id="2" xr3:uid="{E099F8D2-454A-4A40-BD96-4EBFD103EF81}" name="Type 1"/>
    <tableColumn id="3" xr3:uid="{600FE954-0AC3-41E6-AE0B-BB57F841C6E8}" name="Total"/>
  </tableColumns>
  <tableStyleInfo name="TableStyleLight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AA0ED58-C862-4F1C-A1D0-B860E96F8BF0}" name="Table339" displayName="Table339" ref="A5:I52" totalsRowShown="0" tableBorderDxfId="18">
  <autoFilter ref="A5:I52" xr:uid="{DAA0ED58-C862-4F1C-A1D0-B860E96F8BF0}"/>
  <tableColumns count="9">
    <tableColumn id="1" xr3:uid="{F57173F6-B4D0-413D-BAF4-726683AB1F1B}" name="Document Date " dataDxfId="17"/>
    <tableColumn id="2" xr3:uid="{87097216-22CF-4698-BE35-74BEFF21275B}" name="Supplier"/>
    <tableColumn id="3" xr3:uid="{DA73A472-FD15-4DC0-8F29-56A79032F202}" name="Reference"/>
    <tableColumn id="4" xr3:uid="{D6B1D196-FF65-46A4-BC75-64ED9FC263A9}" name="Description"/>
    <tableColumn id="5" xr3:uid="{B51639EE-7511-4300-842F-AA4F28203D2B}" name="Tax Inclusuve Amount" dataDxfId="16"/>
    <tableColumn id="6" xr3:uid="{D3100BEA-F0F1-48B9-AD59-66D9A2C8DC0F}" name="Tax Code"/>
    <tableColumn id="7" xr3:uid="{1472ACFA-65A4-4146-A892-56CC0A925B4C}" name="Bank Code "/>
    <tableColumn id="8" xr3:uid="{9DC20C3B-52B1-4FB4-BC09-A8678D82B838}" name="Account Code"/>
    <tableColumn id="9" xr3:uid="{7F56DDCC-E460-45E6-8C42-54870B264D46}" name="Payment Date" dataDxfId="15"/>
  </tableColumns>
  <tableStyleInfo name="TableStyleLight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63A905D-5F70-4BFE-BDE8-028C5CAD1738}" name="Table4" displayName="Table4" ref="K10:M27" headerRowCount="0" totalsRowShown="0" tableBorderDxfId="14">
  <tableColumns count="3">
    <tableColumn id="1" xr3:uid="{14773B25-9627-4789-A29D-56112E00177E}" name="Column1"/>
    <tableColumn id="2" xr3:uid="{AF46AE62-CB08-4173-A486-EC68D8A14C2E}" name="Column2"/>
    <tableColumn id="3" xr3:uid="{19595793-983E-4737-80E5-F54A5D41CEC3}" name="Column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EDB242-1260-4E57-88CA-428A71C05F93}" name="Table13" displayName="Table13" ref="A5:F11" totalsRowShown="0">
  <autoFilter ref="A5:F11" xr:uid="{3DEDB242-1260-4E57-88CA-428A71C05F93}"/>
  <tableColumns count="6">
    <tableColumn id="1" xr3:uid="{24FE3C8E-1D13-488E-8C3A-B2D54DDE0959}" name="    Trainer"/>
    <tableColumn id="2" xr3:uid="{EAC9E1A1-7C79-45E1-BC75-014A9627A137}" name="Pokeball"/>
    <tableColumn id="3" xr3:uid="{2B408A2D-E318-410F-A196-0E59FD6EB35B}" name="Great Ball"/>
    <tableColumn id="4" xr3:uid="{9E395922-EA8A-4EFF-8807-F28B448E7CF0}" name="Ultraball"/>
    <tableColumn id="5" xr3:uid="{3B3FB503-22B9-427F-912D-EB1F56E76DEB}" name="Master Ball"/>
    <tableColumn id="6" xr3:uid="{0C77CC16-A875-4C5F-A067-FBA15F80DB7E}" name="Average">
      <calculatedColumnFormula>AVERAGE(B6:E6)</calculatedColumnFormula>
    </tableColumn>
  </tableColumns>
  <tableStyleInfo name="TableStyleLight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400829A-6781-4332-A9D1-D747F417EB8E}" name="Table34" displayName="Table34" ref="B5:L10" totalsRowShown="0" headerRowDxfId="55" dataDxfId="54" headerRowBorderDxfId="52" tableBorderDxfId="53" totalsRowBorderDxfId="51">
  <autoFilter ref="B5:L10" xr:uid="{8400829A-6781-4332-A9D1-D747F417EB8E}"/>
  <tableColumns count="11">
    <tableColumn id="1" xr3:uid="{D3447E96-2C3E-4768-9AD2-5DD8805C6944}" name="Employee ID" dataDxfId="50"/>
    <tableColumn id="2" xr3:uid="{4B8210AC-E20E-411E-9193-7E8EB9079248}" name="101" dataDxfId="49"/>
    <tableColumn id="3" xr3:uid="{3582D895-FD8B-4F53-AB10-E7A7F47E551D}" name="102" dataDxfId="48"/>
    <tableColumn id="4" xr3:uid="{9C73EF63-48B2-481B-ACAF-DAA161CA5C0D}" name="103" dataDxfId="47"/>
    <tableColumn id="5" xr3:uid="{97AB431C-1A04-4B64-B6FE-26A6710F4DC4}" name="104" dataDxfId="46"/>
    <tableColumn id="6" xr3:uid="{D41AC5E3-0DB1-431A-9603-F5894A1D6F28}" name="105" dataDxfId="45"/>
    <tableColumn id="7" xr3:uid="{E745CE43-E547-42D7-8ECC-19E3D98B7B45}" name="106" dataDxfId="44"/>
    <tableColumn id="8" xr3:uid="{817AF3FE-08AA-4F32-A7C0-FAE289368A7B}" name="107" dataDxfId="43"/>
    <tableColumn id="9" xr3:uid="{51DE1ECC-8027-488B-BB47-111F778CF992}" name="108" dataDxfId="42"/>
    <tableColumn id="10" xr3:uid="{C2D68530-FC6C-488E-AE3C-0160BE4B3CA6}" name="109" dataDxfId="41"/>
    <tableColumn id="11" xr3:uid="{AECAEE31-00B7-4077-A62E-6DAE9AF604F3}" name="110" dataDxfId="40"/>
  </tableColumns>
  <tableStyleInfo name="TableStyleLight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C84937F-5D03-4124-B409-8110692E51AF}" name="Table35" displayName="Table35" ref="B12:D23" totalsRowShown="0" tableBorderDxfId="39">
  <autoFilter ref="B12:D23" xr:uid="{7C84937F-5D03-4124-B409-8110692E51AF}"/>
  <tableColumns count="3">
    <tableColumn id="1" xr3:uid="{6BDB479A-6FFA-4F45-B0E0-8D4CF01EC919}" name="Column1" dataDxfId="38"/>
    <tableColumn id="2" xr3:uid="{2809985E-6131-430C-9600-E0A77302ACA5}" name="Column2" dataDxfId="37"/>
    <tableColumn id="3" xr3:uid="{27A8EF5C-0DD1-4C57-ACAA-D02EF234F67E}" name="Column3"/>
  </tableColumns>
  <tableStyleInfo name="TableStyleLight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E14C25A-133A-4938-B2FE-5C00CD9D4E85}" name="Table40" displayName="Table40" ref="B7:F19" totalsRowShown="0" headerRowDxfId="13" headerRowBorderDxfId="11" tableBorderDxfId="12">
  <autoFilter ref="B7:F19" xr:uid="{DE14C25A-133A-4938-B2FE-5C00CD9D4E85}"/>
  <tableColumns count="5">
    <tableColumn id="1" xr3:uid="{75543E10-8C97-489D-A450-E10F276A295F}" name="Employee ID" dataDxfId="10"/>
    <tableColumn id="2" xr3:uid="{8EAB6A75-96A9-4B9B-BABA-3ECD8D70429A}" name="Name" dataDxfId="9"/>
    <tableColumn id="3" xr3:uid="{DA4A73F8-57E6-4154-AB4E-144F07FC6EA5}" name="Location" dataDxfId="8"/>
    <tableColumn id="4" xr3:uid="{D4C67703-3F71-4399-98F0-35AB45040119}" name="Salary" dataDxfId="7"/>
    <tableColumn id="5" xr3:uid="{EB5D5AD8-6097-4E4E-97D7-4A7433809BB7}" name="Age" dataDxfId="6"/>
  </tableColumns>
  <tableStyleInfo name="TableStyleLight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4AF49A3-CB9A-4311-B5DB-0F6C52F3C141}" name="Table41" displayName="Table41" ref="B21:D37" totalsRowShown="0" headerRowDxfId="5" dataDxfId="4" tableBorderDxfId="3">
  <autoFilter ref="B21:D37" xr:uid="{14AF49A3-CB9A-4311-B5DB-0F6C52F3C141}"/>
  <tableColumns count="3">
    <tableColumn id="1" xr3:uid="{3A741F4C-AFB4-4F7C-9294-98EF6A9DA792}" name="Column1" dataDxfId="2"/>
    <tableColumn id="2" xr3:uid="{B7B3A3CD-5B1E-4173-BA5E-8252A7EA8946}" name="Column2" dataDxfId="1"/>
    <tableColumn id="3" xr3:uid="{D2919E64-0795-472D-8F70-BE1D5EB850CC}" name="Column3" dataDxfId="0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1B5949-9032-4257-96EC-78E030ECB7CA}" name="Table14" displayName="Table14" ref="A5:C14" totalsRowShown="0" headerRowDxfId="82" tableBorderDxfId="81">
  <autoFilter ref="A5:C14" xr:uid="{FC1B5949-9032-4257-96EC-78E030ECB7CA}"/>
  <tableColumns count="3">
    <tableColumn id="1" xr3:uid="{C8B659DF-FC44-4CA8-8DEF-9BB81BF943D5}" name="    Name"/>
    <tableColumn id="2" xr3:uid="{9C431448-FE84-4333-B813-CA109447FED0}" name="Type 1"/>
    <tableColumn id="3" xr3:uid="{18DA1C2C-303A-46FE-93BD-15BF735F9D2F}" name="Speed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62A9AF-3147-4E23-9959-DF589F696804}" name="Table2" displayName="Table2" ref="E6:F10" totalsRowShown="0" headerRowDxfId="80" tableBorderDxfId="79">
  <autoFilter ref="E6:F10" xr:uid="{C962A9AF-3147-4E23-9959-DF589F696804}"/>
  <tableColumns count="2">
    <tableColumn id="1" xr3:uid="{2D9D42B3-4C92-4FE2-A458-CF580BA4B96B}" name="Column1"/>
    <tableColumn id="2" xr3:uid="{5D253EE4-D9F1-4D9C-BE61-67A1A042DC34}" name="Column2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3ACEBE-DE89-4893-942A-FF009DFE84F0}" name="Table16" displayName="Table16" ref="A5:D17" totalsRowShown="0" tableBorderDxfId="78">
  <autoFilter ref="A5:D17" xr:uid="{A33ACEBE-DE89-4893-942A-FF009DFE84F0}"/>
  <tableColumns count="4">
    <tableColumn id="1" xr3:uid="{D02FC647-2CA3-4D11-B509-439BA4587316}" name="    Name"/>
    <tableColumn id="2" xr3:uid="{6AF0889B-055D-4277-9460-18D832B3CCB3}" name="Type 1"/>
    <tableColumn id="3" xr3:uid="{2BD517B0-0EB4-438E-9523-9FC92EC614B3}" name="Defense"/>
    <tableColumn id="4" xr3:uid="{7B115029-D9D6-4909-97E5-E2989336A2D1}" name="Generation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091533-4F7B-41DE-A280-6653FE6A7323}" name="Table27" displayName="Table27" ref="F5:H9" totalsRowShown="0" tableBorderDxfId="77">
  <autoFilter ref="F5:H9" xr:uid="{F6091533-4F7B-41DE-A280-6653FE6A7323}"/>
  <tableColumns count="3">
    <tableColumn id="1" xr3:uid="{BEB1853C-5472-45E7-B74F-E35EC6AE50F7}" name="Type"/>
    <tableColumn id="2" xr3:uid="{BD4B4740-DE04-4710-9AD5-18C8B850BC08}" name="Gen."/>
    <tableColumn id="3" xr3:uid="{09820513-F35C-44FA-9D68-486AFD93CB86}" name="Average Defense" dataDxfId="76">
      <calculatedColumnFormula>AVERAGEIFS(Table16[Defense],Table16[Type 1],Table27[[#This Row],[Type]],Table16[Generation],Table27[[#This Row],[Gen.]])</calculatedColumnFormula>
    </tableColumn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B1472E-7D76-408A-AEC1-FE009C8414EE}" name="Table18" displayName="Table18" ref="A5:D25" totalsRowShown="0" tableBorderDxfId="75">
  <autoFilter ref="A5:D25" xr:uid="{09B1472E-7D76-408A-AEC1-FE009C8414EE}"/>
  <tableColumns count="4">
    <tableColumn id="1" xr3:uid="{47C781F3-241C-4A0E-A18B-8BA0BFFC2FEB}" name="    Name"/>
    <tableColumn id="2" xr3:uid="{278EAD6C-A7ED-4A45-B524-57C7A25AA586}" name="Type 1"/>
    <tableColumn id="3" xr3:uid="{DD045DB6-AB51-40FA-929C-F8B43D8DBB8B}" name="Total stats"/>
    <tableColumn id="4" xr3:uid="{31847689-2315-4142-9A1A-54C107E14ED4}" name="CONCATENATE Function" dataDxfId="74">
      <calculatedColumnFormula>CONCATENATE("The   total   stats   of",A6,"   are  ",C6,".")</calculatedColumnFormula>
    </tableColumn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AE31A8-D9B4-4F2B-A9C3-B132FD40F4D0}" name="Table19" displayName="Table19" ref="A5:D25" totalsRowShown="0" tableBorderDxfId="73">
  <autoFilter ref="A5:D25" xr:uid="{E0AE31A8-D9B4-4F2B-A9C3-B132FD40F4D0}"/>
  <tableColumns count="4">
    <tableColumn id="1" xr3:uid="{E5F2B183-6B80-4C0C-9B0D-2614EB841FD9}" name="    Name"/>
    <tableColumn id="2" xr3:uid="{4F327C39-B57F-4ECB-8244-5D6965A09F71}" name="Type 1"/>
    <tableColumn id="3" xr3:uid="{E396D6A7-5263-457F-91DC-4038113A637B}" name="Type 2"/>
    <tableColumn id="4" xr3:uid="{6F10D0F1-2A42-45B8-B9A9-8DA889F748FF}" name="Total stats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B89A-26EB-4CE7-B496-93A410324FB7}">
  <dimension ref="A1:D14"/>
  <sheetViews>
    <sheetView showGridLines="0" tabSelected="1" workbookViewId="0">
      <selection activeCell="A16" sqref="A16"/>
    </sheetView>
  </sheetViews>
  <sheetFormatPr defaultRowHeight="15" x14ac:dyDescent="0.25"/>
  <cols>
    <col min="1" max="1" width="14.5703125" bestFit="1" customWidth="1"/>
    <col min="2" max="2" width="9" bestFit="1" customWidth="1"/>
    <col min="3" max="3" width="8.85546875" bestFit="1" customWidth="1"/>
    <col min="4" max="4" width="34.5703125" bestFit="1" customWidth="1"/>
  </cols>
  <sheetData>
    <row r="1" spans="1:4" x14ac:dyDescent="0.25">
      <c r="A1" s="6"/>
      <c r="B1" s="6"/>
      <c r="C1" s="6"/>
      <c r="D1" s="6"/>
    </row>
    <row r="2" spans="1:4" x14ac:dyDescent="0.25">
      <c r="A2" s="6"/>
      <c r="B2" s="6"/>
      <c r="C2" s="6"/>
      <c r="D2" s="6"/>
    </row>
    <row r="3" spans="1:4" x14ac:dyDescent="0.25">
      <c r="A3" s="6"/>
      <c r="B3" s="6"/>
      <c r="C3" s="6"/>
      <c r="D3" s="6"/>
    </row>
    <row r="4" spans="1:4" x14ac:dyDescent="0.25">
      <c r="A4" s="6"/>
      <c r="B4" s="6"/>
      <c r="C4" s="6"/>
      <c r="D4" s="6"/>
    </row>
    <row r="5" spans="1:4" x14ac:dyDescent="0.25">
      <c r="A5" s="1" t="s">
        <v>0</v>
      </c>
      <c r="B5" t="s">
        <v>1</v>
      </c>
      <c r="C5" t="s">
        <v>2</v>
      </c>
      <c r="D5" s="2" t="s">
        <v>3</v>
      </c>
    </row>
    <row r="6" spans="1:4" x14ac:dyDescent="0.25">
      <c r="A6" s="1" t="s">
        <v>4</v>
      </c>
      <c r="B6" t="s">
        <v>5</v>
      </c>
      <c r="C6">
        <v>45</v>
      </c>
      <c r="D6" s="2" t="b">
        <f t="shared" ref="D6:D14" si="0">AND(B6 = "Fire",C6&gt;70)</f>
        <v>0</v>
      </c>
    </row>
    <row r="7" spans="1:4" x14ac:dyDescent="0.25">
      <c r="A7" s="1" t="s">
        <v>6</v>
      </c>
      <c r="B7" t="s">
        <v>5</v>
      </c>
      <c r="C7">
        <v>60</v>
      </c>
      <c r="D7" s="2" t="b">
        <f t="shared" si="0"/>
        <v>0</v>
      </c>
    </row>
    <row r="8" spans="1:4" x14ac:dyDescent="0.25">
      <c r="A8" s="1" t="s">
        <v>7</v>
      </c>
      <c r="B8" t="s">
        <v>5</v>
      </c>
      <c r="C8">
        <v>80</v>
      </c>
      <c r="D8" s="2" t="b">
        <f t="shared" si="0"/>
        <v>0</v>
      </c>
    </row>
    <row r="9" spans="1:4" x14ac:dyDescent="0.25">
      <c r="A9" s="1" t="s">
        <v>8</v>
      </c>
      <c r="B9" t="s">
        <v>9</v>
      </c>
      <c r="C9">
        <v>65</v>
      </c>
      <c r="D9" s="2" t="b">
        <f t="shared" si="0"/>
        <v>0</v>
      </c>
    </row>
    <row r="10" spans="1:4" x14ac:dyDescent="0.25">
      <c r="A10" s="1" t="s">
        <v>10</v>
      </c>
      <c r="B10" t="s">
        <v>9</v>
      </c>
      <c r="C10">
        <v>80</v>
      </c>
      <c r="D10" s="2" t="b">
        <f t="shared" si="0"/>
        <v>1</v>
      </c>
    </row>
    <row r="11" spans="1:4" x14ac:dyDescent="0.25">
      <c r="A11" s="1" t="s">
        <v>11</v>
      </c>
      <c r="B11" t="s">
        <v>9</v>
      </c>
      <c r="C11">
        <v>100</v>
      </c>
      <c r="D11" s="2" t="b">
        <f t="shared" si="0"/>
        <v>1</v>
      </c>
    </row>
    <row r="12" spans="1:4" x14ac:dyDescent="0.25">
      <c r="A12" s="1" t="s">
        <v>12</v>
      </c>
      <c r="B12" t="s">
        <v>13</v>
      </c>
      <c r="C12">
        <v>43</v>
      </c>
      <c r="D12" s="2" t="b">
        <f t="shared" si="0"/>
        <v>0</v>
      </c>
    </row>
    <row r="13" spans="1:4" x14ac:dyDescent="0.25">
      <c r="A13" s="1" t="s">
        <v>14</v>
      </c>
      <c r="B13" t="s">
        <v>13</v>
      </c>
      <c r="C13">
        <v>58</v>
      </c>
      <c r="D13" s="2" t="b">
        <f t="shared" si="0"/>
        <v>0</v>
      </c>
    </row>
    <row r="14" spans="1:4" x14ac:dyDescent="0.25">
      <c r="A14" s="3" t="s">
        <v>15</v>
      </c>
      <c r="B14" s="4" t="s">
        <v>13</v>
      </c>
      <c r="C14" s="4">
        <v>78</v>
      </c>
      <c r="D14" s="5" t="b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B1D6-3767-448C-9F8F-C750E974D827}">
  <dimension ref="A5:F25"/>
  <sheetViews>
    <sheetView showGridLines="0" workbookViewId="0">
      <selection activeCell="H14" sqref="H14"/>
    </sheetView>
  </sheetViews>
  <sheetFormatPr defaultRowHeight="15" x14ac:dyDescent="0.25"/>
  <cols>
    <col min="1" max="1" width="13.7109375" bestFit="1" customWidth="1"/>
    <col min="2" max="2" width="9" bestFit="1" customWidth="1"/>
    <col min="3" max="3" width="12.28515625" bestFit="1" customWidth="1"/>
    <col min="5" max="5" width="11.140625" bestFit="1" customWidth="1"/>
    <col min="6" max="6" width="11.28515625" bestFit="1" customWidth="1"/>
  </cols>
  <sheetData>
    <row r="5" spans="1:6" x14ac:dyDescent="0.25">
      <c r="A5" t="s">
        <v>0</v>
      </c>
      <c r="B5" t="s">
        <v>1</v>
      </c>
      <c r="C5" t="s">
        <v>51</v>
      </c>
    </row>
    <row r="6" spans="1:6" x14ac:dyDescent="0.25">
      <c r="A6" t="s">
        <v>52</v>
      </c>
      <c r="B6" t="s">
        <v>53</v>
      </c>
      <c r="C6">
        <v>305</v>
      </c>
    </row>
    <row r="7" spans="1:6" x14ac:dyDescent="0.25">
      <c r="A7" t="s">
        <v>54</v>
      </c>
      <c r="B7" t="s">
        <v>13</v>
      </c>
      <c r="C7">
        <v>510</v>
      </c>
    </row>
    <row r="8" spans="1:6" x14ac:dyDescent="0.25">
      <c r="A8" t="s">
        <v>55</v>
      </c>
      <c r="B8" t="s">
        <v>5</v>
      </c>
      <c r="C8">
        <v>490</v>
      </c>
    </row>
    <row r="9" spans="1:6" x14ac:dyDescent="0.25">
      <c r="A9" t="s">
        <v>56</v>
      </c>
      <c r="B9" t="s">
        <v>13</v>
      </c>
      <c r="C9">
        <v>335</v>
      </c>
      <c r="E9" t="s">
        <v>89</v>
      </c>
      <c r="F9" t="s">
        <v>92</v>
      </c>
    </row>
    <row r="10" spans="1:6" x14ac:dyDescent="0.25">
      <c r="A10" t="s">
        <v>57</v>
      </c>
      <c r="B10" t="s">
        <v>58</v>
      </c>
      <c r="C10">
        <v>465</v>
      </c>
      <c r="E10" t="s">
        <v>5</v>
      </c>
      <c r="F10">
        <f>COUNTIF(Table216[Type 1],Table115[[#This Row],[Columns]])</f>
        <v>1</v>
      </c>
    </row>
    <row r="11" spans="1:6" x14ac:dyDescent="0.25">
      <c r="A11" t="s">
        <v>59</v>
      </c>
      <c r="B11" t="s">
        <v>13</v>
      </c>
      <c r="C11">
        <v>475</v>
      </c>
      <c r="E11" t="s">
        <v>13</v>
      </c>
      <c r="F11">
        <f>COUNTIF(Table216[Type 1],Table115[[#This Row],[Columns]])</f>
        <v>6</v>
      </c>
    </row>
    <row r="12" spans="1:6" x14ac:dyDescent="0.25">
      <c r="A12" t="s">
        <v>60</v>
      </c>
      <c r="B12" t="s">
        <v>13</v>
      </c>
      <c r="C12">
        <v>525</v>
      </c>
      <c r="E12" t="s">
        <v>58</v>
      </c>
      <c r="F12">
        <f>COUNTIF(Table216[Type 1],Table115[[#This Row],[Columns]])</f>
        <v>1</v>
      </c>
    </row>
    <row r="13" spans="1:6" x14ac:dyDescent="0.25">
      <c r="A13" t="s">
        <v>61</v>
      </c>
      <c r="B13" t="s">
        <v>62</v>
      </c>
      <c r="C13">
        <v>385</v>
      </c>
      <c r="E13" t="s">
        <v>53</v>
      </c>
      <c r="F13">
        <f>COUNTIF(Table216[Type 1],Table115[[#This Row],[Columns]])</f>
        <v>2</v>
      </c>
    </row>
    <row r="14" spans="1:6" x14ac:dyDescent="0.25">
      <c r="A14" t="s">
        <v>63</v>
      </c>
      <c r="B14" t="s">
        <v>64</v>
      </c>
      <c r="C14">
        <v>420</v>
      </c>
      <c r="E14" t="s">
        <v>62</v>
      </c>
      <c r="F14">
        <f>COUNTIF(Table216[Type 1],Table115[[#This Row],[Columns]])</f>
        <v>1</v>
      </c>
    </row>
    <row r="15" spans="1:6" x14ac:dyDescent="0.25">
      <c r="A15" t="s">
        <v>65</v>
      </c>
      <c r="B15" t="s">
        <v>66</v>
      </c>
      <c r="C15">
        <v>349</v>
      </c>
      <c r="E15" t="s">
        <v>64</v>
      </c>
      <c r="F15">
        <f>COUNTIF(Table216[Type 1],Table115[[#This Row],[Columns]])</f>
        <v>1</v>
      </c>
    </row>
    <row r="16" spans="1:6" x14ac:dyDescent="0.25">
      <c r="A16" t="s">
        <v>67</v>
      </c>
      <c r="B16" t="s">
        <v>66</v>
      </c>
      <c r="C16">
        <v>253</v>
      </c>
      <c r="E16" t="s">
        <v>66</v>
      </c>
      <c r="F16">
        <f>COUNTIF(Table216[Type 1],Table115[[#This Row],[Columns]])</f>
        <v>3</v>
      </c>
    </row>
    <row r="17" spans="1:6" x14ac:dyDescent="0.25">
      <c r="A17" t="s">
        <v>68</v>
      </c>
      <c r="B17" t="s">
        <v>69</v>
      </c>
      <c r="C17">
        <v>395</v>
      </c>
      <c r="E17" t="s">
        <v>69</v>
      </c>
      <c r="F17">
        <f>COUNTIF(Table216[Type 1],Table115[[#This Row],[Columns]])</f>
        <v>1</v>
      </c>
    </row>
    <row r="18" spans="1:6" x14ac:dyDescent="0.25">
      <c r="A18" t="s">
        <v>70</v>
      </c>
      <c r="B18" t="s">
        <v>66</v>
      </c>
      <c r="C18">
        <v>310</v>
      </c>
      <c r="E18" t="s">
        <v>73</v>
      </c>
      <c r="F18">
        <f>COUNTIF(Table216[Type 1],Table115[[#This Row],[Columns]])</f>
        <v>2</v>
      </c>
    </row>
    <row r="19" spans="1:6" x14ac:dyDescent="0.25">
      <c r="A19" t="s">
        <v>71</v>
      </c>
      <c r="B19" t="s">
        <v>13</v>
      </c>
      <c r="C19">
        <v>475</v>
      </c>
      <c r="E19" t="s">
        <v>9</v>
      </c>
      <c r="F19">
        <f>COUNTIF(Table216[Type 1],Table115[[#This Row],[Columns]])</f>
        <v>1</v>
      </c>
    </row>
    <row r="20" spans="1:6" x14ac:dyDescent="0.25">
      <c r="A20" t="s">
        <v>72</v>
      </c>
      <c r="B20" t="s">
        <v>73</v>
      </c>
      <c r="C20">
        <v>505</v>
      </c>
      <c r="E20" t="s">
        <v>77</v>
      </c>
      <c r="F20">
        <f>COUNTIF(Table216[Type 1],Table115[[#This Row],[Columns]])</f>
        <v>1</v>
      </c>
    </row>
    <row r="21" spans="1:6" x14ac:dyDescent="0.25">
      <c r="A21" t="s">
        <v>74</v>
      </c>
      <c r="B21" t="s">
        <v>53</v>
      </c>
      <c r="C21">
        <v>455</v>
      </c>
    </row>
    <row r="22" spans="1:6" x14ac:dyDescent="0.25">
      <c r="A22" t="s">
        <v>36</v>
      </c>
      <c r="B22" t="s">
        <v>9</v>
      </c>
      <c r="C22">
        <v>405</v>
      </c>
    </row>
    <row r="23" spans="1:6" x14ac:dyDescent="0.25">
      <c r="A23" t="s">
        <v>75</v>
      </c>
      <c r="B23" t="s">
        <v>73</v>
      </c>
      <c r="C23">
        <v>438</v>
      </c>
    </row>
    <row r="24" spans="1:6" x14ac:dyDescent="0.25">
      <c r="A24" t="s">
        <v>76</v>
      </c>
      <c r="B24" t="s">
        <v>77</v>
      </c>
      <c r="C24">
        <v>310</v>
      </c>
    </row>
    <row r="25" spans="1:6" x14ac:dyDescent="0.25">
      <c r="A25" t="s">
        <v>78</v>
      </c>
      <c r="B25" t="s">
        <v>13</v>
      </c>
      <c r="C25">
        <v>200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634E-CF78-4D48-90E6-4A00A1461295}">
  <dimension ref="A5:H18"/>
  <sheetViews>
    <sheetView showGridLines="0" workbookViewId="0">
      <selection activeCell="F6" sqref="F6"/>
    </sheetView>
  </sheetViews>
  <sheetFormatPr defaultRowHeight="15" x14ac:dyDescent="0.25"/>
  <cols>
    <col min="1" max="1" width="13.7109375" bestFit="1" customWidth="1"/>
    <col min="2" max="2" width="11.28515625" bestFit="1" customWidth="1"/>
    <col min="3" max="3" width="15.7109375" bestFit="1" customWidth="1"/>
    <col min="6" max="7" width="7.5703125" bestFit="1" customWidth="1"/>
    <col min="8" max="8" width="12.28515625" bestFit="1" customWidth="1"/>
  </cols>
  <sheetData>
    <row r="5" spans="1:8" x14ac:dyDescent="0.25">
      <c r="A5" s="12" t="s">
        <v>0</v>
      </c>
      <c r="B5" s="12" t="s">
        <v>1</v>
      </c>
      <c r="C5" s="12" t="s">
        <v>42</v>
      </c>
    </row>
    <row r="6" spans="1:8" x14ac:dyDescent="0.25">
      <c r="A6" s="12" t="s">
        <v>28</v>
      </c>
      <c r="B6" s="12" t="s">
        <v>5</v>
      </c>
      <c r="C6" s="12">
        <v>1</v>
      </c>
    </row>
    <row r="7" spans="1:8" x14ac:dyDescent="0.25">
      <c r="A7" s="12" t="s">
        <v>31</v>
      </c>
      <c r="B7" s="12" t="s">
        <v>5</v>
      </c>
      <c r="C7" s="12">
        <v>1</v>
      </c>
    </row>
    <row r="8" spans="1:8" x14ac:dyDescent="0.25">
      <c r="A8" s="12" t="s">
        <v>34</v>
      </c>
      <c r="B8" s="12" t="s">
        <v>5</v>
      </c>
      <c r="C8" s="12">
        <v>1</v>
      </c>
    </row>
    <row r="9" spans="1:8" x14ac:dyDescent="0.25">
      <c r="A9" s="12" t="s">
        <v>35</v>
      </c>
      <c r="B9" s="12" t="s">
        <v>9</v>
      </c>
      <c r="C9" s="12">
        <v>1</v>
      </c>
    </row>
    <row r="10" spans="1:8" x14ac:dyDescent="0.25">
      <c r="A10" s="12" t="s">
        <v>36</v>
      </c>
      <c r="B10" s="12" t="s">
        <v>9</v>
      </c>
      <c r="C10" s="12">
        <v>1</v>
      </c>
      <c r="F10" s="11" t="s">
        <v>32</v>
      </c>
      <c r="G10" s="11" t="s">
        <v>43</v>
      </c>
      <c r="H10" s="11" t="s">
        <v>97</v>
      </c>
    </row>
    <row r="11" spans="1:8" x14ac:dyDescent="0.25">
      <c r="A11" s="12" t="s">
        <v>37</v>
      </c>
      <c r="B11" s="12" t="s">
        <v>9</v>
      </c>
      <c r="C11" s="12">
        <v>1</v>
      </c>
      <c r="F11" s="11" t="s">
        <v>13</v>
      </c>
      <c r="G11" s="11">
        <v>1</v>
      </c>
      <c r="H11" s="11">
        <f>COUNTIFS(B6:B18,F11,C6:C18,G11)</f>
        <v>3</v>
      </c>
    </row>
    <row r="12" spans="1:8" x14ac:dyDescent="0.25">
      <c r="A12" s="12" t="s">
        <v>38</v>
      </c>
      <c r="B12" s="12" t="s">
        <v>13</v>
      </c>
      <c r="C12" s="12">
        <v>1</v>
      </c>
      <c r="F12" s="11" t="s">
        <v>9</v>
      </c>
      <c r="G12" s="11">
        <v>1</v>
      </c>
      <c r="H12" s="11">
        <f>COUNTIFS(B6:B18,F12,C6:C18,G12)</f>
        <v>3</v>
      </c>
    </row>
    <row r="13" spans="1:8" x14ac:dyDescent="0.25">
      <c r="A13" s="12" t="s">
        <v>39</v>
      </c>
      <c r="B13" s="12" t="s">
        <v>13</v>
      </c>
      <c r="C13" s="12">
        <v>1</v>
      </c>
      <c r="F13" s="11" t="s">
        <v>69</v>
      </c>
      <c r="G13" s="11">
        <v>1</v>
      </c>
      <c r="H13" s="11">
        <f>COUNTIFS(B6:B18,F13,C6:C18,G13)</f>
        <v>4</v>
      </c>
    </row>
    <row r="14" spans="1:8" x14ac:dyDescent="0.25">
      <c r="A14" s="12" t="s">
        <v>40</v>
      </c>
      <c r="B14" s="12" t="s">
        <v>13</v>
      </c>
      <c r="C14" s="12">
        <v>1</v>
      </c>
      <c r="F14" s="11" t="s">
        <v>5</v>
      </c>
      <c r="G14" s="11">
        <v>1</v>
      </c>
      <c r="H14" s="11">
        <f>COUNTIFS(B6:B18,F14,C6:C18,G14)</f>
        <v>3</v>
      </c>
    </row>
    <row r="15" spans="1:8" x14ac:dyDescent="0.25">
      <c r="A15" s="12" t="s">
        <v>93</v>
      </c>
      <c r="B15" s="12" t="s">
        <v>69</v>
      </c>
      <c r="C15" s="12">
        <v>1</v>
      </c>
    </row>
    <row r="16" spans="1:8" x14ac:dyDescent="0.25">
      <c r="A16" s="12" t="s">
        <v>94</v>
      </c>
      <c r="B16" s="12" t="s">
        <v>69</v>
      </c>
      <c r="C16" s="12">
        <v>1</v>
      </c>
    </row>
    <row r="17" spans="1:3" x14ac:dyDescent="0.25">
      <c r="A17" s="12" t="s">
        <v>95</v>
      </c>
      <c r="B17" s="12" t="s">
        <v>69</v>
      </c>
      <c r="C17" s="12">
        <v>1</v>
      </c>
    </row>
    <row r="18" spans="1:3" x14ac:dyDescent="0.25">
      <c r="A18" s="12" t="s">
        <v>96</v>
      </c>
      <c r="B18" s="12" t="s">
        <v>69</v>
      </c>
      <c r="C18" s="12">
        <v>1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02D-23B7-4777-979A-588A051C5AAF}">
  <dimension ref="A5:F17"/>
  <sheetViews>
    <sheetView showGridLines="0" workbookViewId="0">
      <selection activeCell="E17" sqref="E17"/>
    </sheetView>
  </sheetViews>
  <sheetFormatPr defaultRowHeight="15" x14ac:dyDescent="0.25"/>
  <cols>
    <col min="1" max="1" width="24" bestFit="1" customWidth="1"/>
    <col min="2" max="3" width="11.140625" bestFit="1" customWidth="1"/>
    <col min="5" max="5" width="28.7109375" bestFit="1" customWidth="1"/>
    <col min="6" max="6" width="11.140625" bestFit="1" customWidth="1"/>
  </cols>
  <sheetData>
    <row r="5" spans="1:6" x14ac:dyDescent="0.25">
      <c r="A5" s="32" t="s">
        <v>29</v>
      </c>
      <c r="B5" t="s">
        <v>30</v>
      </c>
      <c r="C5" t="s">
        <v>128</v>
      </c>
    </row>
    <row r="6" spans="1:6" ht="18.75" x14ac:dyDescent="0.3">
      <c r="A6" s="33" t="s">
        <v>133</v>
      </c>
    </row>
    <row r="7" spans="1:6" ht="30" x14ac:dyDescent="0.25">
      <c r="A7" s="41" t="s">
        <v>134</v>
      </c>
      <c r="B7" s="42" t="s">
        <v>135</v>
      </c>
      <c r="C7" s="43" t="s">
        <v>136</v>
      </c>
      <c r="E7" t="s">
        <v>29</v>
      </c>
      <c r="F7" t="s">
        <v>30</v>
      </c>
    </row>
    <row r="8" spans="1:6" x14ac:dyDescent="0.25">
      <c r="A8" s="34" t="s">
        <v>137</v>
      </c>
      <c r="B8" s="35">
        <v>6</v>
      </c>
      <c r="C8" s="36">
        <f>IF(B8&gt;6,3.5*B8,1*B8)</f>
        <v>6</v>
      </c>
      <c r="E8" t="s">
        <v>138</v>
      </c>
    </row>
    <row r="9" spans="1:6" x14ac:dyDescent="0.25">
      <c r="A9" s="34" t="s">
        <v>139</v>
      </c>
      <c r="B9" s="35">
        <v>12</v>
      </c>
      <c r="C9" s="36">
        <f t="shared" ref="C9:C17" si="0">IF(B9&gt;6,3.5*B9,1*B9)</f>
        <v>42</v>
      </c>
      <c r="E9" t="s">
        <v>140</v>
      </c>
    </row>
    <row r="10" spans="1:6" x14ac:dyDescent="0.25">
      <c r="A10" s="34" t="s">
        <v>141</v>
      </c>
      <c r="B10" s="35">
        <v>8</v>
      </c>
      <c r="C10" s="36">
        <f t="shared" si="0"/>
        <v>28</v>
      </c>
    </row>
    <row r="11" spans="1:6" x14ac:dyDescent="0.25">
      <c r="A11" s="34" t="s">
        <v>142</v>
      </c>
      <c r="B11" s="35">
        <v>11</v>
      </c>
      <c r="C11" s="36">
        <f t="shared" si="0"/>
        <v>38.5</v>
      </c>
      <c r="E11" t="s">
        <v>143</v>
      </c>
      <c r="F11" s="37">
        <v>6</v>
      </c>
    </row>
    <row r="12" spans="1:6" x14ac:dyDescent="0.25">
      <c r="A12" s="34" t="s">
        <v>144</v>
      </c>
      <c r="B12" s="35">
        <v>5</v>
      </c>
      <c r="C12" s="36">
        <f t="shared" si="0"/>
        <v>5</v>
      </c>
      <c r="E12" t="s">
        <v>145</v>
      </c>
      <c r="F12" s="38">
        <v>3.5</v>
      </c>
    </row>
    <row r="13" spans="1:6" x14ac:dyDescent="0.25">
      <c r="A13" s="34" t="s">
        <v>146</v>
      </c>
      <c r="B13" s="35">
        <v>3</v>
      </c>
      <c r="C13" s="36">
        <f t="shared" si="0"/>
        <v>3</v>
      </c>
      <c r="E13" t="s">
        <v>147</v>
      </c>
      <c r="F13" s="38">
        <v>1</v>
      </c>
    </row>
    <row r="14" spans="1:6" x14ac:dyDescent="0.25">
      <c r="A14" s="34" t="s">
        <v>148</v>
      </c>
      <c r="B14" s="35">
        <v>12</v>
      </c>
      <c r="C14" s="36">
        <f t="shared" si="0"/>
        <v>42</v>
      </c>
    </row>
    <row r="15" spans="1:6" x14ac:dyDescent="0.25">
      <c r="A15" s="34" t="s">
        <v>149</v>
      </c>
      <c r="B15" s="35">
        <v>7</v>
      </c>
      <c r="C15" s="36">
        <f t="shared" si="0"/>
        <v>24.5</v>
      </c>
    </row>
    <row r="16" spans="1:6" x14ac:dyDescent="0.25">
      <c r="A16" s="34" t="s">
        <v>150</v>
      </c>
      <c r="B16" s="35">
        <v>1</v>
      </c>
      <c r="C16" s="36">
        <f t="shared" si="0"/>
        <v>1</v>
      </c>
    </row>
    <row r="17" spans="1:3" x14ac:dyDescent="0.25">
      <c r="A17" s="8" t="s">
        <v>151</v>
      </c>
      <c r="B17" s="39">
        <v>6</v>
      </c>
      <c r="C17" s="40">
        <f t="shared" si="0"/>
        <v>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6E8B-5188-4011-BC23-B6E0A505D13C}">
  <dimension ref="A5:F25"/>
  <sheetViews>
    <sheetView showGridLines="0" workbookViewId="0">
      <selection activeCell="E7" sqref="E7"/>
    </sheetView>
  </sheetViews>
  <sheetFormatPr defaultRowHeight="15" x14ac:dyDescent="0.25"/>
  <cols>
    <col min="1" max="1" width="13.7109375" bestFit="1" customWidth="1"/>
    <col min="2" max="3" width="9" bestFit="1" customWidth="1"/>
    <col min="4" max="4" width="12.28515625" bestFit="1" customWidth="1"/>
    <col min="6" max="6" width="7.5703125" bestFit="1" customWidth="1"/>
  </cols>
  <sheetData>
    <row r="5" spans="1:6" x14ac:dyDescent="0.25">
      <c r="A5" t="s">
        <v>0</v>
      </c>
      <c r="B5" t="s">
        <v>1</v>
      </c>
      <c r="C5" t="s">
        <v>80</v>
      </c>
      <c r="D5" t="s">
        <v>51</v>
      </c>
    </row>
    <row r="6" spans="1:6" x14ac:dyDescent="0.25">
      <c r="A6" t="s">
        <v>52</v>
      </c>
      <c r="B6" t="s">
        <v>53</v>
      </c>
      <c r="D6">
        <v>305</v>
      </c>
    </row>
    <row r="7" spans="1:6" x14ac:dyDescent="0.25">
      <c r="A7" t="s">
        <v>54</v>
      </c>
      <c r="B7" t="s">
        <v>13</v>
      </c>
      <c r="C7" t="s">
        <v>53</v>
      </c>
      <c r="D7">
        <v>510</v>
      </c>
    </row>
    <row r="8" spans="1:6" x14ac:dyDescent="0.25">
      <c r="A8" t="s">
        <v>55</v>
      </c>
      <c r="B8" t="s">
        <v>5</v>
      </c>
      <c r="C8" t="s">
        <v>73</v>
      </c>
      <c r="D8">
        <v>490</v>
      </c>
    </row>
    <row r="9" spans="1:6" x14ac:dyDescent="0.25">
      <c r="A9" t="s">
        <v>56</v>
      </c>
      <c r="B9" t="s">
        <v>13</v>
      </c>
      <c r="C9" t="s">
        <v>73</v>
      </c>
      <c r="D9">
        <v>335</v>
      </c>
    </row>
    <row r="10" spans="1:6" x14ac:dyDescent="0.25">
      <c r="A10" t="s">
        <v>57</v>
      </c>
      <c r="B10" t="s">
        <v>58</v>
      </c>
      <c r="C10" t="s">
        <v>83</v>
      </c>
      <c r="D10">
        <v>465</v>
      </c>
      <c r="F10" t="s">
        <v>152</v>
      </c>
    </row>
    <row r="11" spans="1:6" x14ac:dyDescent="0.25">
      <c r="A11" t="s">
        <v>59</v>
      </c>
      <c r="B11" t="s">
        <v>13</v>
      </c>
      <c r="C11" t="s">
        <v>84</v>
      </c>
      <c r="D11">
        <v>475</v>
      </c>
      <c r="F11">
        <f>MAX(D6:D25)</f>
        <v>525</v>
      </c>
    </row>
    <row r="12" spans="1:6" x14ac:dyDescent="0.25">
      <c r="A12" t="s">
        <v>60</v>
      </c>
      <c r="B12" t="s">
        <v>13</v>
      </c>
      <c r="C12" t="s">
        <v>84</v>
      </c>
      <c r="D12">
        <v>525</v>
      </c>
    </row>
    <row r="13" spans="1:6" x14ac:dyDescent="0.25">
      <c r="A13" t="s">
        <v>61</v>
      </c>
      <c r="B13" t="s">
        <v>62</v>
      </c>
      <c r="C13" t="s">
        <v>85</v>
      </c>
      <c r="D13">
        <v>385</v>
      </c>
    </row>
    <row r="14" spans="1:6" x14ac:dyDescent="0.25">
      <c r="A14" t="s">
        <v>63</v>
      </c>
      <c r="B14" t="s">
        <v>64</v>
      </c>
      <c r="D14">
        <v>420</v>
      </c>
    </row>
    <row r="15" spans="1:6" x14ac:dyDescent="0.25">
      <c r="A15" t="s">
        <v>65</v>
      </c>
      <c r="B15" t="s">
        <v>66</v>
      </c>
      <c r="C15" t="s">
        <v>86</v>
      </c>
      <c r="D15">
        <v>349</v>
      </c>
    </row>
    <row r="16" spans="1:6" x14ac:dyDescent="0.25">
      <c r="A16" t="s">
        <v>67</v>
      </c>
      <c r="B16" t="s">
        <v>66</v>
      </c>
      <c r="D16">
        <v>253</v>
      </c>
    </row>
    <row r="17" spans="1:4" x14ac:dyDescent="0.25">
      <c r="A17" t="s">
        <v>68</v>
      </c>
      <c r="B17" t="s">
        <v>69</v>
      </c>
      <c r="C17" t="s">
        <v>73</v>
      </c>
      <c r="D17">
        <v>395</v>
      </c>
    </row>
    <row r="18" spans="1:4" x14ac:dyDescent="0.25">
      <c r="A18" t="s">
        <v>70</v>
      </c>
      <c r="B18" t="s">
        <v>66</v>
      </c>
      <c r="C18" t="s">
        <v>86</v>
      </c>
      <c r="D18">
        <v>310</v>
      </c>
    </row>
    <row r="19" spans="1:4" x14ac:dyDescent="0.25">
      <c r="A19" t="s">
        <v>71</v>
      </c>
      <c r="B19" t="s">
        <v>13</v>
      </c>
      <c r="D19">
        <v>475</v>
      </c>
    </row>
    <row r="20" spans="1:4" x14ac:dyDescent="0.25">
      <c r="A20" t="s">
        <v>72</v>
      </c>
      <c r="B20" t="s">
        <v>73</v>
      </c>
      <c r="C20" t="s">
        <v>85</v>
      </c>
      <c r="D20">
        <v>505</v>
      </c>
    </row>
    <row r="21" spans="1:4" x14ac:dyDescent="0.25">
      <c r="A21" t="s">
        <v>74</v>
      </c>
      <c r="B21" t="s">
        <v>53</v>
      </c>
      <c r="D21">
        <v>455</v>
      </c>
    </row>
    <row r="22" spans="1:4" x14ac:dyDescent="0.25">
      <c r="A22" t="s">
        <v>36</v>
      </c>
      <c r="B22" t="s">
        <v>9</v>
      </c>
      <c r="D22">
        <v>405</v>
      </c>
    </row>
    <row r="23" spans="1:4" x14ac:dyDescent="0.25">
      <c r="A23" t="s">
        <v>75</v>
      </c>
      <c r="B23" t="s">
        <v>73</v>
      </c>
      <c r="D23">
        <v>438</v>
      </c>
    </row>
    <row r="24" spans="1:4" x14ac:dyDescent="0.25">
      <c r="A24" t="s">
        <v>76</v>
      </c>
      <c r="B24" t="s">
        <v>77</v>
      </c>
      <c r="C24" t="s">
        <v>73</v>
      </c>
      <c r="D24">
        <v>310</v>
      </c>
    </row>
    <row r="25" spans="1:4" x14ac:dyDescent="0.25">
      <c r="A25" t="s">
        <v>78</v>
      </c>
      <c r="B25" t="s">
        <v>13</v>
      </c>
      <c r="D25">
        <v>200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8BDD-F09E-4C98-A4DE-7EC84B094CFD}">
  <dimension ref="A5:F25"/>
  <sheetViews>
    <sheetView showGridLines="0" workbookViewId="0">
      <selection activeCell="G17" sqref="G17"/>
    </sheetView>
  </sheetViews>
  <sheetFormatPr defaultRowHeight="15" x14ac:dyDescent="0.25"/>
  <cols>
    <col min="1" max="1" width="13.7109375" bestFit="1" customWidth="1"/>
    <col min="2" max="2" width="9" bestFit="1" customWidth="1"/>
  </cols>
  <sheetData>
    <row r="5" spans="1:6" x14ac:dyDescent="0.25">
      <c r="A5" t="s">
        <v>0</v>
      </c>
      <c r="B5" t="s">
        <v>1</v>
      </c>
      <c r="C5" t="s">
        <v>80</v>
      </c>
      <c r="D5" t="s">
        <v>51</v>
      </c>
    </row>
    <row r="6" spans="1:6" x14ac:dyDescent="0.25">
      <c r="A6" t="s">
        <v>52</v>
      </c>
      <c r="B6" t="s">
        <v>53</v>
      </c>
      <c r="D6">
        <v>305</v>
      </c>
    </row>
    <row r="7" spans="1:6" x14ac:dyDescent="0.25">
      <c r="A7" t="s">
        <v>54</v>
      </c>
      <c r="B7" t="s">
        <v>13</v>
      </c>
      <c r="C7" t="s">
        <v>53</v>
      </c>
      <c r="D7">
        <v>510</v>
      </c>
    </row>
    <row r="8" spans="1:6" x14ac:dyDescent="0.25">
      <c r="A8" t="s">
        <v>55</v>
      </c>
      <c r="B8" t="s">
        <v>5</v>
      </c>
      <c r="C8" t="s">
        <v>73</v>
      </c>
      <c r="D8">
        <v>490</v>
      </c>
    </row>
    <row r="9" spans="1:6" x14ac:dyDescent="0.25">
      <c r="A9" t="s">
        <v>56</v>
      </c>
      <c r="B9" t="s">
        <v>13</v>
      </c>
      <c r="C9" t="s">
        <v>73</v>
      </c>
      <c r="D9">
        <v>335</v>
      </c>
    </row>
    <row r="10" spans="1:6" x14ac:dyDescent="0.25">
      <c r="A10" t="s">
        <v>57</v>
      </c>
      <c r="B10" t="s">
        <v>58</v>
      </c>
      <c r="C10" t="s">
        <v>83</v>
      </c>
      <c r="D10">
        <v>465</v>
      </c>
      <c r="F10" t="s">
        <v>153</v>
      </c>
    </row>
    <row r="11" spans="1:6" x14ac:dyDescent="0.25">
      <c r="A11" t="s">
        <v>59</v>
      </c>
      <c r="B11" t="s">
        <v>13</v>
      </c>
      <c r="C11" t="s">
        <v>84</v>
      </c>
      <c r="D11">
        <v>475</v>
      </c>
      <c r="F11">
        <f>MIN(D6:D25)</f>
        <v>200</v>
      </c>
    </row>
    <row r="12" spans="1:6" x14ac:dyDescent="0.25">
      <c r="A12" t="s">
        <v>60</v>
      </c>
      <c r="B12" t="s">
        <v>13</v>
      </c>
      <c r="C12" t="s">
        <v>84</v>
      </c>
      <c r="D12">
        <v>525</v>
      </c>
    </row>
    <row r="13" spans="1:6" x14ac:dyDescent="0.25">
      <c r="A13" t="s">
        <v>61</v>
      </c>
      <c r="B13" t="s">
        <v>62</v>
      </c>
      <c r="C13" t="s">
        <v>85</v>
      </c>
      <c r="D13">
        <v>385</v>
      </c>
    </row>
    <row r="14" spans="1:6" x14ac:dyDescent="0.25">
      <c r="A14" t="s">
        <v>63</v>
      </c>
      <c r="B14" t="s">
        <v>64</v>
      </c>
      <c r="D14">
        <v>420</v>
      </c>
    </row>
    <row r="15" spans="1:6" x14ac:dyDescent="0.25">
      <c r="A15" t="s">
        <v>65</v>
      </c>
      <c r="B15" t="s">
        <v>66</v>
      </c>
      <c r="C15" t="s">
        <v>86</v>
      </c>
      <c r="D15">
        <v>349</v>
      </c>
    </row>
    <row r="16" spans="1:6" x14ac:dyDescent="0.25">
      <c r="A16" t="s">
        <v>67</v>
      </c>
      <c r="B16" t="s">
        <v>66</v>
      </c>
      <c r="D16">
        <v>253</v>
      </c>
    </row>
    <row r="17" spans="1:4" x14ac:dyDescent="0.25">
      <c r="A17" t="s">
        <v>68</v>
      </c>
      <c r="B17" t="s">
        <v>69</v>
      </c>
      <c r="C17" t="s">
        <v>73</v>
      </c>
      <c r="D17">
        <v>395</v>
      </c>
    </row>
    <row r="18" spans="1:4" x14ac:dyDescent="0.25">
      <c r="A18" t="s">
        <v>70</v>
      </c>
      <c r="B18" t="s">
        <v>66</v>
      </c>
      <c r="C18" t="s">
        <v>86</v>
      </c>
      <c r="D18">
        <v>310</v>
      </c>
    </row>
    <row r="19" spans="1:4" x14ac:dyDescent="0.25">
      <c r="A19" t="s">
        <v>71</v>
      </c>
      <c r="B19" t="s">
        <v>13</v>
      </c>
      <c r="D19">
        <v>475</v>
      </c>
    </row>
    <row r="20" spans="1:4" x14ac:dyDescent="0.25">
      <c r="A20" t="s">
        <v>72</v>
      </c>
      <c r="B20" t="s">
        <v>73</v>
      </c>
      <c r="C20" t="s">
        <v>85</v>
      </c>
      <c r="D20">
        <v>505</v>
      </c>
    </row>
    <row r="21" spans="1:4" x14ac:dyDescent="0.25">
      <c r="A21" t="s">
        <v>74</v>
      </c>
      <c r="B21" t="s">
        <v>53</v>
      </c>
      <c r="D21">
        <v>455</v>
      </c>
    </row>
    <row r="22" spans="1:4" x14ac:dyDescent="0.25">
      <c r="A22" t="s">
        <v>36</v>
      </c>
      <c r="B22" t="s">
        <v>9</v>
      </c>
      <c r="D22">
        <v>405</v>
      </c>
    </row>
    <row r="23" spans="1:4" x14ac:dyDescent="0.25">
      <c r="A23" t="s">
        <v>75</v>
      </c>
      <c r="B23" t="s">
        <v>73</v>
      </c>
      <c r="D23">
        <v>438</v>
      </c>
    </row>
    <row r="24" spans="1:4" x14ac:dyDescent="0.25">
      <c r="A24" t="s">
        <v>76</v>
      </c>
      <c r="B24" t="s">
        <v>77</v>
      </c>
      <c r="C24" t="s">
        <v>73</v>
      </c>
      <c r="D24">
        <v>310</v>
      </c>
    </row>
    <row r="25" spans="1:4" x14ac:dyDescent="0.25">
      <c r="A25" t="s">
        <v>78</v>
      </c>
      <c r="B25" t="s">
        <v>13</v>
      </c>
      <c r="D25">
        <v>200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0214-9204-428D-9F19-FD76C33E4ABE}">
  <dimension ref="A5:D15"/>
  <sheetViews>
    <sheetView showGridLines="0" workbookViewId="0">
      <selection activeCell="E10" sqref="E10"/>
    </sheetView>
  </sheetViews>
  <sheetFormatPr defaultRowHeight="15" x14ac:dyDescent="0.25"/>
  <cols>
    <col min="1" max="1" width="13.7109375" bestFit="1" customWidth="1"/>
    <col min="2" max="3" width="9" bestFit="1" customWidth="1"/>
    <col min="4" max="4" width="12.28515625" bestFit="1" customWidth="1"/>
  </cols>
  <sheetData>
    <row r="5" spans="1:4" x14ac:dyDescent="0.25">
      <c r="A5" t="s">
        <v>0</v>
      </c>
      <c r="B5" t="s">
        <v>1</v>
      </c>
      <c r="C5" t="s">
        <v>80</v>
      </c>
      <c r="D5" t="s">
        <v>51</v>
      </c>
    </row>
    <row r="6" spans="1:4" x14ac:dyDescent="0.25">
      <c r="A6" t="s">
        <v>52</v>
      </c>
      <c r="B6" t="s">
        <v>53</v>
      </c>
      <c r="D6">
        <v>305</v>
      </c>
    </row>
    <row r="7" spans="1:4" x14ac:dyDescent="0.25">
      <c r="A7" t="s">
        <v>57</v>
      </c>
      <c r="B7" t="s">
        <v>58</v>
      </c>
      <c r="C7" t="s">
        <v>83</v>
      </c>
      <c r="D7">
        <v>465</v>
      </c>
    </row>
    <row r="8" spans="1:4" x14ac:dyDescent="0.25">
      <c r="A8" t="s">
        <v>61</v>
      </c>
      <c r="B8" t="s">
        <v>62</v>
      </c>
      <c r="C8" t="s">
        <v>85</v>
      </c>
      <c r="D8">
        <v>385</v>
      </c>
    </row>
    <row r="9" spans="1:4" x14ac:dyDescent="0.25">
      <c r="A9" t="s">
        <v>63</v>
      </c>
      <c r="B9" t="s">
        <v>64</v>
      </c>
      <c r="D9">
        <v>420</v>
      </c>
    </row>
    <row r="10" spans="1:4" x14ac:dyDescent="0.25">
      <c r="A10" t="s">
        <v>65</v>
      </c>
      <c r="B10" t="s">
        <v>66</v>
      </c>
      <c r="C10" t="s">
        <v>86</v>
      </c>
      <c r="D10">
        <v>349</v>
      </c>
    </row>
    <row r="11" spans="1:4" x14ac:dyDescent="0.25">
      <c r="A11" t="s">
        <v>67</v>
      </c>
      <c r="B11" t="s">
        <v>66</v>
      </c>
      <c r="D11">
        <v>253</v>
      </c>
    </row>
    <row r="12" spans="1:4" x14ac:dyDescent="0.25">
      <c r="A12" t="s">
        <v>36</v>
      </c>
      <c r="B12" t="s">
        <v>9</v>
      </c>
      <c r="D12">
        <v>405</v>
      </c>
    </row>
    <row r="13" spans="1:4" x14ac:dyDescent="0.25">
      <c r="A13" t="s">
        <v>76</v>
      </c>
      <c r="B13" t="s">
        <v>77</v>
      </c>
      <c r="C13" t="s">
        <v>73</v>
      </c>
      <c r="D13">
        <v>310</v>
      </c>
    </row>
    <row r="14" spans="1:4" x14ac:dyDescent="0.25">
      <c r="A14" t="s">
        <v>78</v>
      </c>
      <c r="B14" t="s">
        <v>13</v>
      </c>
      <c r="D14">
        <v>200</v>
      </c>
    </row>
    <row r="15" spans="1:4" x14ac:dyDescent="0.25">
      <c r="A15" t="s">
        <v>155</v>
      </c>
      <c r="D15">
        <f>SUM(Table128[Total stats])</f>
        <v>3092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0B78-6100-44F5-8F62-84F1FF23C134}">
  <dimension ref="A5:F14"/>
  <sheetViews>
    <sheetView showGridLines="0" workbookViewId="0">
      <selection activeCell="K19" sqref="K19"/>
    </sheetView>
  </sheetViews>
  <sheetFormatPr defaultRowHeight="15" x14ac:dyDescent="0.25"/>
  <cols>
    <col min="1" max="1" width="13.7109375" bestFit="1" customWidth="1"/>
    <col min="2" max="2" width="9" bestFit="1" customWidth="1"/>
    <col min="3" max="3" width="7.7109375" bestFit="1" customWidth="1"/>
    <col min="5" max="5" width="6.42578125" bestFit="1" customWidth="1"/>
    <col min="6" max="6" width="9.7109375" bestFit="1" customWidth="1"/>
  </cols>
  <sheetData>
    <row r="5" spans="1:6" x14ac:dyDescent="0.25">
      <c r="A5" t="s">
        <v>0</v>
      </c>
      <c r="B5" t="s">
        <v>1</v>
      </c>
      <c r="C5" t="s">
        <v>155</v>
      </c>
    </row>
    <row r="6" spans="1:6" x14ac:dyDescent="0.25">
      <c r="A6" t="s">
        <v>28</v>
      </c>
      <c r="B6" t="s">
        <v>5</v>
      </c>
      <c r="C6">
        <v>318</v>
      </c>
      <c r="E6" s="10" t="s">
        <v>32</v>
      </c>
      <c r="F6" s="10" t="s">
        <v>156</v>
      </c>
    </row>
    <row r="7" spans="1:6" x14ac:dyDescent="0.25">
      <c r="A7" t="s">
        <v>31</v>
      </c>
      <c r="B7" t="s">
        <v>5</v>
      </c>
      <c r="C7">
        <v>405</v>
      </c>
      <c r="E7" t="s">
        <v>5</v>
      </c>
      <c r="F7">
        <f>SUMIF(Table230[Type 1],Table129[[#This Row],[Column1]],Table230[Total])</f>
        <v>1248</v>
      </c>
    </row>
    <row r="8" spans="1:6" x14ac:dyDescent="0.25">
      <c r="A8" t="s">
        <v>34</v>
      </c>
      <c r="B8" t="s">
        <v>5</v>
      </c>
      <c r="C8">
        <v>525</v>
      </c>
      <c r="E8" t="s">
        <v>9</v>
      </c>
      <c r="F8">
        <f>SUMIF(Table230[Type 1],Table129[[#This Row],[Column1]],Table230[Total])</f>
        <v>1248</v>
      </c>
    </row>
    <row r="9" spans="1:6" x14ac:dyDescent="0.25">
      <c r="A9" t="s">
        <v>35</v>
      </c>
      <c r="B9" t="s">
        <v>9</v>
      </c>
      <c r="C9">
        <v>309</v>
      </c>
      <c r="E9" t="s">
        <v>13</v>
      </c>
      <c r="F9">
        <f>SUMIF(Table230[Type 1],Table129[[#This Row],[Column1]],Table230[Total])</f>
        <v>1249</v>
      </c>
    </row>
    <row r="10" spans="1:6" x14ac:dyDescent="0.25">
      <c r="A10" t="s">
        <v>36</v>
      </c>
      <c r="B10" t="s">
        <v>9</v>
      </c>
      <c r="C10">
        <v>405</v>
      </c>
    </row>
    <row r="11" spans="1:6" x14ac:dyDescent="0.25">
      <c r="A11" t="s">
        <v>37</v>
      </c>
      <c r="B11" t="s">
        <v>9</v>
      </c>
      <c r="C11">
        <v>534</v>
      </c>
    </row>
    <row r="12" spans="1:6" x14ac:dyDescent="0.25">
      <c r="A12" t="s">
        <v>38</v>
      </c>
      <c r="B12" t="s">
        <v>13</v>
      </c>
      <c r="C12">
        <v>314</v>
      </c>
    </row>
    <row r="13" spans="1:6" x14ac:dyDescent="0.25">
      <c r="A13" t="s">
        <v>39</v>
      </c>
      <c r="B13" t="s">
        <v>13</v>
      </c>
      <c r="C13">
        <v>405</v>
      </c>
    </row>
    <row r="14" spans="1:6" x14ac:dyDescent="0.25">
      <c r="A14" t="s">
        <v>40</v>
      </c>
      <c r="B14" t="s">
        <v>13</v>
      </c>
      <c r="C14">
        <v>530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98F5-654D-49A1-B901-03FCC381C79B}">
  <dimension ref="A5:M52"/>
  <sheetViews>
    <sheetView showGridLines="0" workbookViewId="0">
      <selection activeCell="J7" sqref="J7"/>
    </sheetView>
  </sheetViews>
  <sheetFormatPr defaultRowHeight="15" x14ac:dyDescent="0.25"/>
  <cols>
    <col min="1" max="1" width="17.5703125" bestFit="1" customWidth="1"/>
    <col min="2" max="2" width="16.5703125" bestFit="1" customWidth="1"/>
    <col min="3" max="3" width="15.140625" bestFit="1" customWidth="1"/>
    <col min="4" max="4" width="25.5703125" bestFit="1" customWidth="1"/>
    <col min="5" max="5" width="23" bestFit="1" customWidth="1"/>
    <col min="6" max="6" width="11.28515625" bestFit="1" customWidth="1"/>
    <col min="8" max="8" width="15.5703125" bestFit="1" customWidth="1"/>
    <col min="9" max="9" width="18.140625" bestFit="1" customWidth="1"/>
    <col min="11" max="11" width="17.28515625" bestFit="1" customWidth="1"/>
    <col min="12" max="12" width="24" bestFit="1" customWidth="1"/>
  </cols>
  <sheetData>
    <row r="5" spans="1:13" x14ac:dyDescent="0.25">
      <c r="A5" s="44" t="s">
        <v>157</v>
      </c>
      <c r="B5" t="s">
        <v>158</v>
      </c>
      <c r="C5" t="s">
        <v>159</v>
      </c>
      <c r="D5" t="s">
        <v>160</v>
      </c>
      <c r="E5" s="7" t="s">
        <v>161</v>
      </c>
      <c r="F5" t="s">
        <v>162</v>
      </c>
      <c r="G5" t="s">
        <v>163</v>
      </c>
      <c r="H5" t="s">
        <v>164</v>
      </c>
      <c r="I5" s="45" t="s">
        <v>165</v>
      </c>
    </row>
    <row r="6" spans="1:13" x14ac:dyDescent="0.25">
      <c r="A6" s="44">
        <v>40588</v>
      </c>
      <c r="B6" t="s">
        <v>166</v>
      </c>
      <c r="C6" t="s">
        <v>167</v>
      </c>
      <c r="D6" t="s">
        <v>168</v>
      </c>
      <c r="E6" s="7">
        <v>5100</v>
      </c>
      <c r="F6" t="s">
        <v>169</v>
      </c>
      <c r="G6" t="s">
        <v>170</v>
      </c>
      <c r="H6" t="s">
        <v>171</v>
      </c>
      <c r="I6" s="45">
        <v>40604</v>
      </c>
    </row>
    <row r="7" spans="1:13" x14ac:dyDescent="0.25">
      <c r="A7" s="44">
        <v>40603</v>
      </c>
      <c r="B7" t="s">
        <v>172</v>
      </c>
      <c r="C7" t="s">
        <v>173</v>
      </c>
      <c r="D7" t="s">
        <v>174</v>
      </c>
      <c r="E7" s="7">
        <v>179</v>
      </c>
      <c r="F7" t="s">
        <v>169</v>
      </c>
      <c r="G7" t="s">
        <v>170</v>
      </c>
      <c r="H7" t="s">
        <v>175</v>
      </c>
      <c r="I7" s="45">
        <v>40633</v>
      </c>
    </row>
    <row r="8" spans="1:13" x14ac:dyDescent="0.25">
      <c r="A8" s="44">
        <v>40604</v>
      </c>
      <c r="B8" t="s">
        <v>176</v>
      </c>
      <c r="C8" t="s">
        <v>177</v>
      </c>
      <c r="D8" t="s">
        <v>178</v>
      </c>
      <c r="E8" s="7">
        <v>478</v>
      </c>
      <c r="F8" t="s">
        <v>169</v>
      </c>
      <c r="G8" t="s">
        <v>170</v>
      </c>
      <c r="H8" t="s">
        <v>179</v>
      </c>
      <c r="I8" s="45">
        <v>40634</v>
      </c>
    </row>
    <row r="9" spans="1:13" x14ac:dyDescent="0.25">
      <c r="A9" s="44">
        <v>40607</v>
      </c>
      <c r="B9" t="s">
        <v>180</v>
      </c>
      <c r="C9" t="s">
        <v>181</v>
      </c>
      <c r="D9" t="s">
        <v>182</v>
      </c>
      <c r="E9" s="7">
        <v>340</v>
      </c>
      <c r="F9" t="s">
        <v>169</v>
      </c>
      <c r="G9" t="s">
        <v>170</v>
      </c>
      <c r="H9" t="s">
        <v>183</v>
      </c>
      <c r="I9" s="45">
        <v>40607</v>
      </c>
    </row>
    <row r="10" spans="1:13" x14ac:dyDescent="0.25">
      <c r="A10" s="44">
        <v>40617</v>
      </c>
      <c r="B10" t="s">
        <v>184</v>
      </c>
      <c r="C10" t="s">
        <v>185</v>
      </c>
      <c r="D10" t="s">
        <v>186</v>
      </c>
      <c r="E10" s="7">
        <v>50</v>
      </c>
      <c r="F10" t="s">
        <v>169</v>
      </c>
      <c r="G10" t="s">
        <v>170</v>
      </c>
      <c r="H10" t="s">
        <v>187</v>
      </c>
      <c r="I10" s="45">
        <v>40617</v>
      </c>
      <c r="K10" s="10" t="s">
        <v>158</v>
      </c>
      <c r="L10" s="10" t="s">
        <v>160</v>
      </c>
      <c r="M10" s="10" t="s">
        <v>188</v>
      </c>
    </row>
    <row r="11" spans="1:13" x14ac:dyDescent="0.25">
      <c r="A11" s="44">
        <v>40617</v>
      </c>
      <c r="B11" t="s">
        <v>184</v>
      </c>
      <c r="C11" t="s">
        <v>185</v>
      </c>
      <c r="D11" t="s">
        <v>186</v>
      </c>
      <c r="E11" s="7">
        <v>35</v>
      </c>
      <c r="F11" t="s">
        <v>169</v>
      </c>
      <c r="G11" t="s">
        <v>189</v>
      </c>
      <c r="H11" t="s">
        <v>187</v>
      </c>
      <c r="I11" s="45">
        <v>40617</v>
      </c>
      <c r="K11" t="s">
        <v>184</v>
      </c>
      <c r="L11" t="s">
        <v>186</v>
      </c>
      <c r="M11">
        <f>SUMIFS(Table339[Tax Inclusuve Amount],Table339[Supplier],Table4[[#This Row],[Column1]],Table339[Description],Table4[[#This Row],[Column2]])</f>
        <v>315</v>
      </c>
    </row>
    <row r="12" spans="1:13" x14ac:dyDescent="0.25">
      <c r="A12" s="44">
        <v>40617</v>
      </c>
      <c r="B12" t="s">
        <v>190</v>
      </c>
      <c r="C12" t="s">
        <v>191</v>
      </c>
      <c r="D12" t="s">
        <v>192</v>
      </c>
      <c r="E12" s="7">
        <v>1000</v>
      </c>
      <c r="F12" t="s">
        <v>169</v>
      </c>
      <c r="G12" t="s">
        <v>170</v>
      </c>
      <c r="H12" t="s">
        <v>193</v>
      </c>
      <c r="I12" s="45">
        <v>40635</v>
      </c>
      <c r="K12" t="s">
        <v>194</v>
      </c>
      <c r="L12" t="s">
        <v>195</v>
      </c>
      <c r="M12">
        <f>SUMIFS(Table339[Tax Inclusuve Amount],Table339[Supplier],Table4[[#This Row],[Column1]],Table339[Description],Table4[[#This Row],[Column2]])</f>
        <v>563</v>
      </c>
    </row>
    <row r="13" spans="1:13" x14ac:dyDescent="0.25">
      <c r="A13" s="44">
        <v>40617</v>
      </c>
      <c r="B13" t="s">
        <v>196</v>
      </c>
      <c r="C13" t="s">
        <v>197</v>
      </c>
      <c r="D13" t="s">
        <v>198</v>
      </c>
      <c r="E13" s="7">
        <v>90</v>
      </c>
      <c r="F13" t="s">
        <v>169</v>
      </c>
      <c r="G13" t="s">
        <v>199</v>
      </c>
      <c r="H13" t="s">
        <v>200</v>
      </c>
      <c r="I13" s="45">
        <v>40617</v>
      </c>
      <c r="K13" t="s">
        <v>180</v>
      </c>
      <c r="L13" t="s">
        <v>182</v>
      </c>
      <c r="M13">
        <f>SUMIFS(Table339[Tax Inclusuve Amount],Table339[Supplier],Table4[[#This Row],[Column1]],Table339[Description],Table4[[#This Row],[Column2]])</f>
        <v>1020</v>
      </c>
    </row>
    <row r="14" spans="1:13" x14ac:dyDescent="0.25">
      <c r="A14" s="44">
        <v>40620</v>
      </c>
      <c r="B14" t="s">
        <v>201</v>
      </c>
      <c r="C14" t="s">
        <v>202</v>
      </c>
      <c r="D14" t="s">
        <v>203</v>
      </c>
      <c r="E14" s="7">
        <v>200</v>
      </c>
      <c r="F14" t="s">
        <v>169</v>
      </c>
      <c r="G14" t="s">
        <v>170</v>
      </c>
      <c r="H14" t="s">
        <v>204</v>
      </c>
      <c r="I14" s="45">
        <v>40620</v>
      </c>
      <c r="K14" t="s">
        <v>205</v>
      </c>
      <c r="L14" t="s">
        <v>206</v>
      </c>
      <c r="M14">
        <f>SUMIFS(Table339[Tax Inclusuve Amount],Table339[Supplier],Table4[[#This Row],[Column1]],Table339[Description],Table4[[#This Row],[Column2]])</f>
        <v>0</v>
      </c>
    </row>
    <row r="15" spans="1:13" x14ac:dyDescent="0.25">
      <c r="A15" s="44">
        <v>40622</v>
      </c>
      <c r="B15" t="s">
        <v>205</v>
      </c>
      <c r="C15" t="s">
        <v>207</v>
      </c>
      <c r="D15" t="s">
        <v>206</v>
      </c>
      <c r="E15" s="7">
        <v>-15000</v>
      </c>
      <c r="F15" t="s">
        <v>208</v>
      </c>
      <c r="G15" t="s">
        <v>189</v>
      </c>
      <c r="H15" t="s">
        <v>209</v>
      </c>
      <c r="I15" s="45">
        <v>40622</v>
      </c>
      <c r="K15" t="s">
        <v>210</v>
      </c>
      <c r="L15" t="s">
        <v>211</v>
      </c>
      <c r="M15">
        <f>SUMIFS(Table339[Tax Inclusuve Amount],Table339[Supplier],Table4[[#This Row],[Column1]],Table339[Description],Table4[[#This Row],[Column2]])</f>
        <v>3000</v>
      </c>
    </row>
    <row r="16" spans="1:13" x14ac:dyDescent="0.25">
      <c r="A16" s="44">
        <v>40622</v>
      </c>
      <c r="B16" t="s">
        <v>205</v>
      </c>
      <c r="C16" t="s">
        <v>207</v>
      </c>
      <c r="D16" t="s">
        <v>206</v>
      </c>
      <c r="E16" s="7">
        <v>15000</v>
      </c>
      <c r="F16" t="s">
        <v>208</v>
      </c>
      <c r="G16" t="s">
        <v>170</v>
      </c>
      <c r="H16" t="s">
        <v>209</v>
      </c>
      <c r="I16" s="45">
        <v>40622</v>
      </c>
      <c r="K16" t="s">
        <v>212</v>
      </c>
      <c r="L16" t="s">
        <v>213</v>
      </c>
      <c r="M16">
        <f>SUMIFS(Table339[Tax Inclusuve Amount],Table339[Supplier],Table4[[#This Row],[Column1]],Table339[Description],Table4[[#This Row],[Column2]])</f>
        <v>41</v>
      </c>
    </row>
    <row r="17" spans="1:13" x14ac:dyDescent="0.25">
      <c r="A17" s="44">
        <v>40628</v>
      </c>
      <c r="B17" t="s">
        <v>205</v>
      </c>
      <c r="C17" t="s">
        <v>214</v>
      </c>
      <c r="D17" t="s">
        <v>215</v>
      </c>
      <c r="E17" s="7">
        <v>13000</v>
      </c>
      <c r="F17" t="s">
        <v>208</v>
      </c>
      <c r="G17" t="s">
        <v>189</v>
      </c>
      <c r="H17" t="s">
        <v>216</v>
      </c>
      <c r="I17" s="45">
        <v>40628</v>
      </c>
      <c r="K17" t="s">
        <v>217</v>
      </c>
      <c r="L17" t="s">
        <v>218</v>
      </c>
      <c r="M17">
        <f>SUMIFS(Table339[Tax Inclusuve Amount],Table339[Supplier],Table4[[#This Row],[Column1]],Table339[Description],Table4[[#This Row],[Column2]])</f>
        <v>660</v>
      </c>
    </row>
    <row r="18" spans="1:13" x14ac:dyDescent="0.25">
      <c r="A18" s="44">
        <v>40628</v>
      </c>
      <c r="B18" t="s">
        <v>217</v>
      </c>
      <c r="C18" t="s">
        <v>181</v>
      </c>
      <c r="D18" t="s">
        <v>218</v>
      </c>
      <c r="E18" s="7">
        <v>220</v>
      </c>
      <c r="F18" t="s">
        <v>208</v>
      </c>
      <c r="G18" t="s">
        <v>170</v>
      </c>
      <c r="H18" t="s">
        <v>219</v>
      </c>
      <c r="I18" s="45">
        <v>40628</v>
      </c>
      <c r="K18" t="s">
        <v>190</v>
      </c>
      <c r="L18" t="s">
        <v>192</v>
      </c>
      <c r="M18">
        <f>SUMIFS(Table339[Tax Inclusuve Amount],Table339[Supplier],Table4[[#This Row],[Column1]],Table339[Description],Table4[[#This Row],[Column2]])</f>
        <v>3000</v>
      </c>
    </row>
    <row r="19" spans="1:13" x14ac:dyDescent="0.25">
      <c r="A19" s="44">
        <v>40628</v>
      </c>
      <c r="B19" t="s">
        <v>217</v>
      </c>
      <c r="C19" t="s">
        <v>181</v>
      </c>
      <c r="D19" t="s">
        <v>220</v>
      </c>
      <c r="E19" s="7">
        <v>100</v>
      </c>
      <c r="F19" t="s">
        <v>208</v>
      </c>
      <c r="G19" t="s">
        <v>170</v>
      </c>
      <c r="H19" t="s">
        <v>221</v>
      </c>
      <c r="I19" s="45">
        <v>40628</v>
      </c>
      <c r="K19" t="s">
        <v>222</v>
      </c>
      <c r="L19" t="s">
        <v>223</v>
      </c>
      <c r="M19">
        <f>SUMIFS(Table339[Tax Inclusuve Amount],Table339[Supplier],Table4[[#This Row],[Column1]],Table339[Description],Table4[[#This Row],[Column2]])</f>
        <v>1300</v>
      </c>
    </row>
    <row r="20" spans="1:13" x14ac:dyDescent="0.25">
      <c r="A20" s="44">
        <v>40628</v>
      </c>
      <c r="B20" t="s">
        <v>224</v>
      </c>
      <c r="C20" t="s">
        <v>181</v>
      </c>
      <c r="D20" t="s">
        <v>225</v>
      </c>
      <c r="E20" s="7">
        <v>6400</v>
      </c>
      <c r="F20" t="s">
        <v>169</v>
      </c>
      <c r="G20" t="s">
        <v>170</v>
      </c>
      <c r="H20" t="s">
        <v>226</v>
      </c>
      <c r="I20" s="45">
        <v>40628</v>
      </c>
      <c r="K20" t="s">
        <v>196</v>
      </c>
      <c r="L20" t="s">
        <v>198</v>
      </c>
      <c r="M20">
        <f>SUMIFS(Table339[Tax Inclusuve Amount],Table339[Supplier],Table4[[#This Row],[Column1]],Table339[Description],Table4[[#This Row],[Column2]])</f>
        <v>177</v>
      </c>
    </row>
    <row r="21" spans="1:13" x14ac:dyDescent="0.25">
      <c r="A21" s="44">
        <v>40633</v>
      </c>
      <c r="B21" t="s">
        <v>205</v>
      </c>
      <c r="C21" t="s">
        <v>185</v>
      </c>
      <c r="D21" t="s">
        <v>227</v>
      </c>
      <c r="E21" s="7">
        <v>100</v>
      </c>
      <c r="F21" t="s">
        <v>208</v>
      </c>
      <c r="G21" t="s">
        <v>170</v>
      </c>
      <c r="H21" t="s">
        <v>209</v>
      </c>
      <c r="I21" s="45">
        <v>40603</v>
      </c>
      <c r="K21" t="s">
        <v>228</v>
      </c>
      <c r="L21" t="s">
        <v>174</v>
      </c>
      <c r="M21">
        <f>SUMIFS(Table339[Tax Inclusuve Amount],Table339[Supplier],Table4[[#This Row],[Column1]],Table339[Description],Table4[[#This Row],[Column2]])</f>
        <v>0</v>
      </c>
    </row>
    <row r="22" spans="1:13" x14ac:dyDescent="0.25">
      <c r="A22" s="44">
        <v>40633</v>
      </c>
      <c r="B22" t="s">
        <v>205</v>
      </c>
      <c r="C22" t="s">
        <v>185</v>
      </c>
      <c r="D22" t="s">
        <v>227</v>
      </c>
      <c r="E22" s="7">
        <v>-100</v>
      </c>
      <c r="F22" t="s">
        <v>208</v>
      </c>
      <c r="G22" t="s">
        <v>199</v>
      </c>
      <c r="H22" t="s">
        <v>209</v>
      </c>
      <c r="I22" s="45">
        <v>40633</v>
      </c>
      <c r="K22" t="s">
        <v>176</v>
      </c>
      <c r="L22" t="s">
        <v>178</v>
      </c>
      <c r="M22">
        <f>SUMIFS(Table339[Tax Inclusuve Amount],Table339[Supplier],Table4[[#This Row],[Column1]],Table339[Description],Table4[[#This Row],[Column2]])</f>
        <v>478</v>
      </c>
    </row>
    <row r="23" spans="1:13" x14ac:dyDescent="0.25">
      <c r="A23" s="44">
        <v>40634</v>
      </c>
      <c r="B23" t="s">
        <v>172</v>
      </c>
      <c r="C23" t="s">
        <v>229</v>
      </c>
      <c r="D23" t="s">
        <v>174</v>
      </c>
      <c r="E23" s="7">
        <v>179</v>
      </c>
      <c r="F23" t="s">
        <v>169</v>
      </c>
      <c r="G23" t="s">
        <v>170</v>
      </c>
      <c r="H23" t="s">
        <v>175</v>
      </c>
      <c r="I23" s="45">
        <v>40664</v>
      </c>
      <c r="K23" t="s">
        <v>230</v>
      </c>
      <c r="L23" t="s">
        <v>225</v>
      </c>
      <c r="M23">
        <f>SUMIFS(Table339[Tax Inclusuve Amount],Table339[Supplier],Table4[[#This Row],[Column1]],Table339[Description],Table4[[#This Row],[Column2]])</f>
        <v>12800</v>
      </c>
    </row>
    <row r="24" spans="1:13" x14ac:dyDescent="0.25">
      <c r="A24" s="44">
        <v>40638</v>
      </c>
      <c r="B24" t="s">
        <v>180</v>
      </c>
      <c r="C24" t="s">
        <v>181</v>
      </c>
      <c r="D24" t="s">
        <v>182</v>
      </c>
      <c r="E24" s="7">
        <v>340</v>
      </c>
      <c r="F24" t="s">
        <v>169</v>
      </c>
      <c r="G24" t="s">
        <v>170</v>
      </c>
      <c r="H24" t="s">
        <v>183</v>
      </c>
      <c r="I24" s="45">
        <v>40638</v>
      </c>
      <c r="K24" t="s">
        <v>201</v>
      </c>
      <c r="L24" t="s">
        <v>203</v>
      </c>
      <c r="M24">
        <f>SUMIFS(Table339[Tax Inclusuve Amount],Table339[Supplier],Table4[[#This Row],[Column1]],Table339[Description],Table4[[#This Row],[Column2]])</f>
        <v>200</v>
      </c>
    </row>
    <row r="25" spans="1:13" x14ac:dyDescent="0.25">
      <c r="A25" s="44">
        <v>40645</v>
      </c>
      <c r="B25" t="s">
        <v>196</v>
      </c>
      <c r="C25" t="s">
        <v>197</v>
      </c>
      <c r="D25" t="s">
        <v>198</v>
      </c>
      <c r="E25" s="7">
        <v>87</v>
      </c>
      <c r="F25" t="s">
        <v>169</v>
      </c>
      <c r="G25" t="s">
        <v>199</v>
      </c>
      <c r="H25" t="s">
        <v>200</v>
      </c>
      <c r="I25" s="45">
        <v>40645</v>
      </c>
      <c r="K25" t="s">
        <v>231</v>
      </c>
      <c r="L25" t="s">
        <v>232</v>
      </c>
      <c r="M25">
        <f>SUMIFS(Table339[Tax Inclusuve Amount],Table339[Supplier],Table4[[#This Row],[Column1]],Table339[Description],Table4[[#This Row],[Column2]])</f>
        <v>220</v>
      </c>
    </row>
    <row r="26" spans="1:13" x14ac:dyDescent="0.25">
      <c r="A26" s="44">
        <v>40648</v>
      </c>
      <c r="B26" t="s">
        <v>184</v>
      </c>
      <c r="C26" t="s">
        <v>185</v>
      </c>
      <c r="D26" t="s">
        <v>186</v>
      </c>
      <c r="E26" s="7">
        <v>80</v>
      </c>
      <c r="F26" t="s">
        <v>169</v>
      </c>
      <c r="G26" t="s">
        <v>170</v>
      </c>
      <c r="H26" t="s">
        <v>187</v>
      </c>
      <c r="I26" s="45">
        <v>40648</v>
      </c>
      <c r="K26" t="s">
        <v>233</v>
      </c>
      <c r="L26" t="s">
        <v>234</v>
      </c>
      <c r="M26">
        <f>SUMIFS(Table339[Tax Inclusuve Amount],Table339[Supplier],Table4[[#This Row],[Column1]],Table339[Description],Table4[[#This Row],[Column2]])</f>
        <v>982</v>
      </c>
    </row>
    <row r="27" spans="1:13" x14ac:dyDescent="0.25">
      <c r="A27" s="44">
        <v>40648</v>
      </c>
      <c r="B27" t="s">
        <v>184</v>
      </c>
      <c r="C27" t="s">
        <v>185</v>
      </c>
      <c r="D27" t="s">
        <v>186</v>
      </c>
      <c r="E27" s="7">
        <v>35</v>
      </c>
      <c r="F27" t="s">
        <v>169</v>
      </c>
      <c r="G27" t="s">
        <v>189</v>
      </c>
      <c r="H27" t="s">
        <v>187</v>
      </c>
      <c r="I27" s="45">
        <v>40648</v>
      </c>
      <c r="K27" t="s">
        <v>166</v>
      </c>
      <c r="L27" t="s">
        <v>168</v>
      </c>
      <c r="M27">
        <f>SUMIFS(Table339[Tax Inclusuve Amount],Table339[Supplier],Table4[[#This Row],[Column1]],Table339[Description],Table4[[#This Row],[Column2]])</f>
        <v>5100</v>
      </c>
    </row>
    <row r="28" spans="1:13" x14ac:dyDescent="0.25">
      <c r="A28" s="44">
        <v>40648</v>
      </c>
      <c r="B28" t="s">
        <v>190</v>
      </c>
      <c r="C28" t="s">
        <v>191</v>
      </c>
      <c r="D28" t="s">
        <v>192</v>
      </c>
      <c r="E28" s="7">
        <v>1000</v>
      </c>
      <c r="F28" t="s">
        <v>169</v>
      </c>
      <c r="G28" t="s">
        <v>170</v>
      </c>
      <c r="H28" t="s">
        <v>193</v>
      </c>
      <c r="I28" s="45">
        <v>40666</v>
      </c>
    </row>
    <row r="29" spans="1:13" x14ac:dyDescent="0.25">
      <c r="A29" s="44">
        <v>40653</v>
      </c>
      <c r="B29" t="s">
        <v>205</v>
      </c>
      <c r="C29" t="s">
        <v>207</v>
      </c>
      <c r="D29" t="s">
        <v>206</v>
      </c>
      <c r="E29" s="7">
        <v>-20000</v>
      </c>
      <c r="F29" t="s">
        <v>208</v>
      </c>
      <c r="G29" t="s">
        <v>189</v>
      </c>
      <c r="H29" t="s">
        <v>209</v>
      </c>
      <c r="I29" s="45">
        <v>40653</v>
      </c>
    </row>
    <row r="30" spans="1:13" x14ac:dyDescent="0.25">
      <c r="A30" s="44">
        <v>40653</v>
      </c>
      <c r="B30" t="s">
        <v>205</v>
      </c>
      <c r="C30" t="s">
        <v>207</v>
      </c>
      <c r="D30" t="s">
        <v>206</v>
      </c>
      <c r="E30" s="7">
        <v>20000</v>
      </c>
      <c r="F30" t="s">
        <v>208</v>
      </c>
      <c r="G30" t="s">
        <v>170</v>
      </c>
      <c r="H30" t="s">
        <v>209</v>
      </c>
      <c r="I30" s="45">
        <v>40653</v>
      </c>
    </row>
    <row r="31" spans="1:13" x14ac:dyDescent="0.25">
      <c r="A31" s="44">
        <v>40658</v>
      </c>
      <c r="B31" t="s">
        <v>222</v>
      </c>
      <c r="C31" t="s">
        <v>235</v>
      </c>
      <c r="D31" t="s">
        <v>223</v>
      </c>
      <c r="E31" s="7">
        <v>1300</v>
      </c>
      <c r="F31" t="s">
        <v>208</v>
      </c>
      <c r="G31" t="s">
        <v>170</v>
      </c>
      <c r="H31" t="s">
        <v>236</v>
      </c>
      <c r="I31" s="45">
        <v>40658</v>
      </c>
    </row>
    <row r="32" spans="1:13" x14ac:dyDescent="0.25">
      <c r="A32" s="44">
        <v>40659</v>
      </c>
      <c r="B32" t="s">
        <v>205</v>
      </c>
      <c r="C32" t="s">
        <v>214</v>
      </c>
      <c r="D32" t="s">
        <v>215</v>
      </c>
      <c r="E32" s="7">
        <v>20000</v>
      </c>
      <c r="F32" t="s">
        <v>208</v>
      </c>
      <c r="G32" t="s">
        <v>189</v>
      </c>
      <c r="H32" t="s">
        <v>216</v>
      </c>
      <c r="I32" s="45" t="s">
        <v>237</v>
      </c>
    </row>
    <row r="33" spans="1:9" x14ac:dyDescent="0.25">
      <c r="A33" s="44">
        <v>40659</v>
      </c>
      <c r="B33" t="s">
        <v>210</v>
      </c>
      <c r="C33" t="s">
        <v>191</v>
      </c>
      <c r="D33" t="s">
        <v>211</v>
      </c>
      <c r="E33" s="7">
        <v>3000</v>
      </c>
      <c r="F33" t="s">
        <v>169</v>
      </c>
      <c r="G33" t="s">
        <v>170</v>
      </c>
      <c r="H33" t="s">
        <v>238</v>
      </c>
      <c r="I33" s="45">
        <v>40689</v>
      </c>
    </row>
    <row r="34" spans="1:9" x14ac:dyDescent="0.25">
      <c r="A34" s="44">
        <v>40659</v>
      </c>
      <c r="B34" t="s">
        <v>217</v>
      </c>
      <c r="C34" t="s">
        <v>181</v>
      </c>
      <c r="D34" t="s">
        <v>218</v>
      </c>
      <c r="E34" s="7">
        <v>220</v>
      </c>
      <c r="F34" t="s">
        <v>208</v>
      </c>
      <c r="G34" t="s">
        <v>170</v>
      </c>
      <c r="H34" t="s">
        <v>219</v>
      </c>
      <c r="I34" s="45">
        <v>40659</v>
      </c>
    </row>
    <row r="35" spans="1:9" x14ac:dyDescent="0.25">
      <c r="A35" s="44">
        <v>40659</v>
      </c>
      <c r="B35" t="s">
        <v>217</v>
      </c>
      <c r="C35" t="s">
        <v>181</v>
      </c>
      <c r="D35" t="s">
        <v>220</v>
      </c>
      <c r="E35" s="7">
        <v>100</v>
      </c>
      <c r="F35" t="s">
        <v>208</v>
      </c>
      <c r="G35" t="s">
        <v>170</v>
      </c>
      <c r="H35" t="s">
        <v>221</v>
      </c>
      <c r="I35" s="45">
        <v>40659</v>
      </c>
    </row>
    <row r="36" spans="1:9" x14ac:dyDescent="0.25">
      <c r="A36" s="44">
        <v>40659</v>
      </c>
      <c r="B36" t="s">
        <v>224</v>
      </c>
      <c r="C36" t="s">
        <v>181</v>
      </c>
      <c r="D36" t="s">
        <v>225</v>
      </c>
      <c r="E36" s="7">
        <v>6400</v>
      </c>
      <c r="F36" t="s">
        <v>169</v>
      </c>
      <c r="G36" t="s">
        <v>170</v>
      </c>
      <c r="H36" t="s">
        <v>226</v>
      </c>
      <c r="I36" s="45">
        <v>40659</v>
      </c>
    </row>
    <row r="37" spans="1:9" x14ac:dyDescent="0.25">
      <c r="A37" s="44">
        <v>40662</v>
      </c>
      <c r="B37" t="s">
        <v>212</v>
      </c>
      <c r="C37" t="s">
        <v>239</v>
      </c>
      <c r="D37" t="s">
        <v>213</v>
      </c>
      <c r="E37" s="7">
        <v>41</v>
      </c>
      <c r="F37" t="s">
        <v>169</v>
      </c>
      <c r="G37" t="s">
        <v>199</v>
      </c>
      <c r="H37" t="s">
        <v>240</v>
      </c>
      <c r="I37" s="45">
        <v>40692</v>
      </c>
    </row>
    <row r="38" spans="1:9" x14ac:dyDescent="0.25">
      <c r="A38" s="44">
        <v>40663</v>
      </c>
      <c r="B38" t="s">
        <v>205</v>
      </c>
      <c r="C38" t="s">
        <v>185</v>
      </c>
      <c r="D38" t="s">
        <v>227</v>
      </c>
      <c r="E38" s="7">
        <v>100</v>
      </c>
      <c r="F38" t="s">
        <v>208</v>
      </c>
      <c r="G38" t="s">
        <v>170</v>
      </c>
      <c r="H38" t="s">
        <v>209</v>
      </c>
      <c r="I38" s="45">
        <v>40663</v>
      </c>
    </row>
    <row r="39" spans="1:9" x14ac:dyDescent="0.25">
      <c r="A39" s="44">
        <v>40663</v>
      </c>
      <c r="B39" t="s">
        <v>205</v>
      </c>
      <c r="C39" t="s">
        <v>185</v>
      </c>
      <c r="D39" t="s">
        <v>227</v>
      </c>
      <c r="E39" s="7">
        <v>-100</v>
      </c>
      <c r="F39" t="s">
        <v>208</v>
      </c>
      <c r="G39" t="s">
        <v>199</v>
      </c>
      <c r="H39" t="s">
        <v>209</v>
      </c>
      <c r="I39" s="45">
        <v>40663</v>
      </c>
    </row>
    <row r="40" spans="1:9" x14ac:dyDescent="0.25">
      <c r="A40" s="44">
        <v>40664</v>
      </c>
      <c r="B40" t="s">
        <v>172</v>
      </c>
      <c r="C40" t="s">
        <v>241</v>
      </c>
      <c r="D40" t="s">
        <v>174</v>
      </c>
      <c r="E40" s="7">
        <v>179</v>
      </c>
      <c r="F40" t="s">
        <v>169</v>
      </c>
      <c r="G40" t="s">
        <v>170</v>
      </c>
      <c r="H40" t="s">
        <v>175</v>
      </c>
      <c r="I40" s="45">
        <v>40694</v>
      </c>
    </row>
    <row r="41" spans="1:9" x14ac:dyDescent="0.25">
      <c r="A41" s="44">
        <v>40664</v>
      </c>
      <c r="B41" t="s">
        <v>231</v>
      </c>
      <c r="C41" t="s">
        <v>191</v>
      </c>
      <c r="D41" t="s">
        <v>232</v>
      </c>
      <c r="E41" s="7">
        <v>220</v>
      </c>
      <c r="F41" t="s">
        <v>169</v>
      </c>
      <c r="G41" t="s">
        <v>170</v>
      </c>
      <c r="H41" t="s">
        <v>242</v>
      </c>
      <c r="I41" s="45">
        <v>40694</v>
      </c>
    </row>
    <row r="42" spans="1:9" x14ac:dyDescent="0.25">
      <c r="A42" s="44">
        <v>40668</v>
      </c>
      <c r="B42" t="s">
        <v>180</v>
      </c>
      <c r="C42" t="s">
        <v>181</v>
      </c>
      <c r="D42" t="s">
        <v>182</v>
      </c>
      <c r="E42" s="7">
        <v>340</v>
      </c>
      <c r="F42" t="s">
        <v>169</v>
      </c>
      <c r="G42" t="s">
        <v>170</v>
      </c>
      <c r="H42" t="s">
        <v>183</v>
      </c>
      <c r="I42" s="45">
        <v>40668</v>
      </c>
    </row>
    <row r="43" spans="1:9" x14ac:dyDescent="0.25">
      <c r="A43" s="44">
        <v>40670</v>
      </c>
      <c r="B43" t="s">
        <v>194</v>
      </c>
      <c r="C43" t="s">
        <v>243</v>
      </c>
      <c r="D43" t="s">
        <v>195</v>
      </c>
      <c r="E43" s="7">
        <v>563</v>
      </c>
      <c r="F43" t="s">
        <v>169</v>
      </c>
      <c r="G43" t="s">
        <v>170</v>
      </c>
      <c r="H43" t="s">
        <v>204</v>
      </c>
      <c r="I43" s="45">
        <v>40670</v>
      </c>
    </row>
    <row r="44" spans="1:9" x14ac:dyDescent="0.25">
      <c r="A44" s="44">
        <v>40670</v>
      </c>
      <c r="B44" t="s">
        <v>233</v>
      </c>
      <c r="C44" t="s">
        <v>191</v>
      </c>
      <c r="D44" t="s">
        <v>234</v>
      </c>
      <c r="E44" s="7">
        <v>982</v>
      </c>
      <c r="F44" t="s">
        <v>169</v>
      </c>
      <c r="G44" t="s">
        <v>170</v>
      </c>
      <c r="H44" t="s">
        <v>244</v>
      </c>
      <c r="I44" s="45">
        <v>40700</v>
      </c>
    </row>
    <row r="45" spans="1:9" x14ac:dyDescent="0.25">
      <c r="A45" s="44">
        <v>40678</v>
      </c>
      <c r="B45" t="s">
        <v>184</v>
      </c>
      <c r="C45" t="s">
        <v>185</v>
      </c>
      <c r="D45" t="s">
        <v>186</v>
      </c>
      <c r="E45" s="7">
        <v>80</v>
      </c>
      <c r="F45" t="s">
        <v>169</v>
      </c>
      <c r="G45" t="s">
        <v>170</v>
      </c>
      <c r="H45" t="s">
        <v>187</v>
      </c>
      <c r="I45" s="45">
        <v>40678</v>
      </c>
    </row>
    <row r="46" spans="1:9" x14ac:dyDescent="0.25">
      <c r="A46" s="44">
        <v>40678</v>
      </c>
      <c r="B46" t="s">
        <v>184</v>
      </c>
      <c r="C46" t="s">
        <v>185</v>
      </c>
      <c r="D46" t="s">
        <v>186</v>
      </c>
      <c r="E46" s="7">
        <v>35</v>
      </c>
      <c r="F46" t="s">
        <v>169</v>
      </c>
      <c r="G46" t="s">
        <v>189</v>
      </c>
      <c r="H46" t="s">
        <v>187</v>
      </c>
      <c r="I46" s="45">
        <v>40678</v>
      </c>
    </row>
    <row r="47" spans="1:9" x14ac:dyDescent="0.25">
      <c r="A47" s="44">
        <v>40678</v>
      </c>
      <c r="B47" t="s">
        <v>190</v>
      </c>
      <c r="C47" t="s">
        <v>191</v>
      </c>
      <c r="D47" t="s">
        <v>192</v>
      </c>
      <c r="E47" s="7">
        <v>1000</v>
      </c>
      <c r="F47" t="s">
        <v>169</v>
      </c>
      <c r="G47" t="s">
        <v>170</v>
      </c>
      <c r="H47" t="s">
        <v>193</v>
      </c>
      <c r="I47" s="45">
        <v>40696</v>
      </c>
    </row>
    <row r="48" spans="1:9" x14ac:dyDescent="0.25">
      <c r="A48" s="44">
        <v>40683</v>
      </c>
      <c r="B48" t="s">
        <v>205</v>
      </c>
      <c r="C48" t="s">
        <v>207</v>
      </c>
      <c r="D48" t="s">
        <v>206</v>
      </c>
      <c r="E48" s="7">
        <v>-20000</v>
      </c>
      <c r="F48" t="s">
        <v>208</v>
      </c>
      <c r="G48" t="s">
        <v>189</v>
      </c>
      <c r="H48" t="s">
        <v>209</v>
      </c>
      <c r="I48" s="45">
        <v>40683</v>
      </c>
    </row>
    <row r="49" spans="1:9" x14ac:dyDescent="0.25">
      <c r="A49" s="44">
        <v>40683</v>
      </c>
      <c r="B49" t="s">
        <v>205</v>
      </c>
      <c r="C49" t="s">
        <v>207</v>
      </c>
      <c r="D49" t="s">
        <v>206</v>
      </c>
      <c r="E49" s="7">
        <v>20000</v>
      </c>
      <c r="F49" t="s">
        <v>208</v>
      </c>
      <c r="G49" t="s">
        <v>170</v>
      </c>
      <c r="H49" t="s">
        <v>209</v>
      </c>
      <c r="I49" s="45">
        <v>40683</v>
      </c>
    </row>
    <row r="50" spans="1:9" x14ac:dyDescent="0.25">
      <c r="A50" s="44">
        <v>40689</v>
      </c>
      <c r="B50" t="s">
        <v>205</v>
      </c>
      <c r="C50" t="s">
        <v>214</v>
      </c>
      <c r="D50" t="s">
        <v>215</v>
      </c>
      <c r="E50" s="7">
        <v>20000</v>
      </c>
      <c r="F50" t="s">
        <v>208</v>
      </c>
      <c r="G50" t="s">
        <v>189</v>
      </c>
      <c r="H50" t="s">
        <v>216</v>
      </c>
      <c r="I50" s="45">
        <v>40689</v>
      </c>
    </row>
    <row r="51" spans="1:9" x14ac:dyDescent="0.25">
      <c r="A51" s="44">
        <v>40689</v>
      </c>
      <c r="B51" t="s">
        <v>217</v>
      </c>
      <c r="C51" t="s">
        <v>181</v>
      </c>
      <c r="D51" t="s">
        <v>218</v>
      </c>
      <c r="E51" s="7">
        <v>220</v>
      </c>
      <c r="F51" t="s">
        <v>208</v>
      </c>
      <c r="G51" t="s">
        <v>170</v>
      </c>
      <c r="H51" t="s">
        <v>219</v>
      </c>
      <c r="I51" s="45">
        <v>40689</v>
      </c>
    </row>
    <row r="52" spans="1:9" x14ac:dyDescent="0.25">
      <c r="A52" s="44">
        <v>40689</v>
      </c>
      <c r="B52" t="s">
        <v>217</v>
      </c>
      <c r="C52" t="s">
        <v>181</v>
      </c>
      <c r="D52" t="s">
        <v>220</v>
      </c>
      <c r="E52" s="7">
        <v>100</v>
      </c>
      <c r="F52" t="s">
        <v>208</v>
      </c>
      <c r="G52" t="s">
        <v>170</v>
      </c>
      <c r="H52" t="s">
        <v>221</v>
      </c>
      <c r="I52" s="45">
        <v>40689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32A5-1C36-4A08-9FE3-99B39F5D8C00}">
  <dimension ref="A5:L23"/>
  <sheetViews>
    <sheetView showGridLines="0" workbookViewId="0">
      <selection activeCell="D23" sqref="D23"/>
    </sheetView>
  </sheetViews>
  <sheetFormatPr defaultRowHeight="15" x14ac:dyDescent="0.25"/>
  <cols>
    <col min="2" max="2" width="16.7109375" bestFit="1" customWidth="1"/>
    <col min="3" max="3" width="46.28515625" bestFit="1" customWidth="1"/>
    <col min="4" max="4" width="11.140625" bestFit="1" customWidth="1"/>
    <col min="5" max="5" width="12.140625" bestFit="1" customWidth="1"/>
    <col min="6" max="6" width="9.42578125" bestFit="1" customWidth="1"/>
    <col min="7" max="7" width="10" bestFit="1" customWidth="1"/>
    <col min="8" max="8" width="12" bestFit="1" customWidth="1"/>
    <col min="9" max="9" width="14.7109375" bestFit="1" customWidth="1"/>
    <col min="10" max="10" width="12.140625" bestFit="1" customWidth="1"/>
    <col min="11" max="11" width="12.28515625" bestFit="1" customWidth="1"/>
    <col min="12" max="12" width="12.7109375" bestFit="1" customWidth="1"/>
  </cols>
  <sheetData>
    <row r="5" spans="1:12" x14ac:dyDescent="0.25">
      <c r="A5" s="13"/>
      <c r="B5" s="14" t="s">
        <v>98</v>
      </c>
      <c r="C5" s="15" t="s">
        <v>99</v>
      </c>
      <c r="D5" s="15" t="s">
        <v>100</v>
      </c>
      <c r="E5" s="15" t="s">
        <v>101</v>
      </c>
      <c r="F5" s="15" t="s">
        <v>102</v>
      </c>
      <c r="G5" s="15" t="s">
        <v>103</v>
      </c>
      <c r="H5" s="15" t="s">
        <v>104</v>
      </c>
      <c r="I5" s="15" t="s">
        <v>105</v>
      </c>
      <c r="J5" s="15" t="s">
        <v>106</v>
      </c>
      <c r="K5" s="15" t="s">
        <v>107</v>
      </c>
      <c r="L5" s="16" t="s">
        <v>108</v>
      </c>
    </row>
    <row r="6" spans="1:12" x14ac:dyDescent="0.25">
      <c r="A6" s="13"/>
      <c r="B6" s="17" t="s">
        <v>109</v>
      </c>
      <c r="C6" s="18" t="s">
        <v>110</v>
      </c>
      <c r="D6" s="18" t="s">
        <v>111</v>
      </c>
      <c r="E6" s="18" t="s">
        <v>112</v>
      </c>
      <c r="F6" s="18" t="s">
        <v>113</v>
      </c>
      <c r="G6" s="18" t="s">
        <v>114</v>
      </c>
      <c r="H6" s="18" t="s">
        <v>115</v>
      </c>
      <c r="I6" s="18" t="s">
        <v>116</v>
      </c>
      <c r="J6" s="18" t="s">
        <v>117</v>
      </c>
      <c r="K6" s="18" t="s">
        <v>118</v>
      </c>
      <c r="L6" s="19" t="s">
        <v>119</v>
      </c>
    </row>
    <row r="7" spans="1:12" x14ac:dyDescent="0.25">
      <c r="A7" s="13"/>
      <c r="B7" s="17" t="s">
        <v>120</v>
      </c>
      <c r="C7" s="18" t="s">
        <v>121</v>
      </c>
      <c r="D7" s="18" t="s">
        <v>122</v>
      </c>
      <c r="E7" s="18" t="s">
        <v>123</v>
      </c>
      <c r="F7" s="18" t="s">
        <v>124</v>
      </c>
      <c r="G7" s="18" t="s">
        <v>121</v>
      </c>
      <c r="H7" s="18" t="s">
        <v>122</v>
      </c>
      <c r="I7" s="18" t="s">
        <v>123</v>
      </c>
      <c r="J7" s="18" t="s">
        <v>124</v>
      </c>
      <c r="K7" s="18" t="s">
        <v>121</v>
      </c>
      <c r="L7" s="19" t="s">
        <v>122</v>
      </c>
    </row>
    <row r="8" spans="1:12" x14ac:dyDescent="0.25">
      <c r="A8" s="13"/>
      <c r="B8" s="17" t="s">
        <v>125</v>
      </c>
      <c r="C8" s="18">
        <v>50000</v>
      </c>
      <c r="D8" s="18">
        <v>55000</v>
      </c>
      <c r="E8" s="18">
        <v>60000</v>
      </c>
      <c r="F8" s="18">
        <v>65000</v>
      </c>
      <c r="G8" s="18">
        <v>70000</v>
      </c>
      <c r="H8" s="18">
        <v>75000</v>
      </c>
      <c r="I8" s="18">
        <v>80000</v>
      </c>
      <c r="J8" s="18">
        <v>85000</v>
      </c>
      <c r="K8" s="18">
        <v>90000</v>
      </c>
      <c r="L8" s="19">
        <v>95000</v>
      </c>
    </row>
    <row r="9" spans="1:12" x14ac:dyDescent="0.25">
      <c r="A9" s="13"/>
      <c r="B9" s="17" t="s">
        <v>126</v>
      </c>
      <c r="C9" s="18">
        <v>2000</v>
      </c>
      <c r="D9" s="18">
        <v>2500</v>
      </c>
      <c r="E9" s="18">
        <v>3000</v>
      </c>
      <c r="F9" s="18">
        <v>3500</v>
      </c>
      <c r="G9" s="18">
        <v>4000</v>
      </c>
      <c r="H9" s="18">
        <v>4500</v>
      </c>
      <c r="I9" s="18">
        <v>5000</v>
      </c>
      <c r="J9" s="18">
        <v>5500</v>
      </c>
      <c r="K9" s="18">
        <v>6000</v>
      </c>
      <c r="L9" s="19">
        <v>6500</v>
      </c>
    </row>
    <row r="10" spans="1:12" x14ac:dyDescent="0.25">
      <c r="A10" s="13"/>
      <c r="B10" s="20" t="s">
        <v>127</v>
      </c>
      <c r="C10" s="21">
        <v>52000</v>
      </c>
      <c r="D10" s="21">
        <v>57500</v>
      </c>
      <c r="E10" s="21">
        <v>63000</v>
      </c>
      <c r="F10" s="21">
        <v>685000</v>
      </c>
      <c r="G10" s="21">
        <v>74000</v>
      </c>
      <c r="H10" s="21">
        <v>79500</v>
      </c>
      <c r="I10" s="21">
        <v>85000</v>
      </c>
      <c r="J10" s="21">
        <v>90500</v>
      </c>
      <c r="K10" s="21">
        <v>96000</v>
      </c>
      <c r="L10" s="22">
        <v>101500</v>
      </c>
    </row>
    <row r="11" spans="1:12" x14ac:dyDescent="0.25">
      <c r="A11" s="23"/>
      <c r="B11" s="2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B12" s="24" t="s">
        <v>29</v>
      </c>
      <c r="C12" s="25" t="s">
        <v>30</v>
      </c>
      <c r="D12" s="13" t="s">
        <v>128</v>
      </c>
      <c r="H12" s="13"/>
      <c r="I12" s="13"/>
      <c r="J12" s="13"/>
      <c r="K12" s="13"/>
      <c r="L12" s="13"/>
    </row>
    <row r="13" spans="1:12" x14ac:dyDescent="0.25">
      <c r="B13" s="26">
        <v>1</v>
      </c>
      <c r="C13" s="27" t="s">
        <v>129</v>
      </c>
      <c r="D13" s="28"/>
      <c r="H13" s="13"/>
      <c r="I13" s="13"/>
      <c r="J13" s="13"/>
      <c r="K13" s="13"/>
      <c r="L13" s="13"/>
    </row>
    <row r="14" spans="1:12" x14ac:dyDescent="0.25">
      <c r="B14" s="24"/>
      <c r="C14" s="24"/>
      <c r="D14" s="25"/>
      <c r="H14" s="13"/>
      <c r="I14" s="13"/>
      <c r="J14" s="13"/>
      <c r="K14" s="13"/>
      <c r="L14" s="13"/>
    </row>
    <row r="15" spans="1:12" x14ac:dyDescent="0.25">
      <c r="B15" s="24"/>
      <c r="C15" s="13" t="s">
        <v>130</v>
      </c>
      <c r="D15" s="29" t="str">
        <f>HLOOKUP(D5,B5:L10,3,0)</f>
        <v>Marketing</v>
      </c>
      <c r="H15" s="13"/>
      <c r="I15" s="13"/>
      <c r="J15" s="13"/>
      <c r="K15" s="13"/>
      <c r="L15" s="13"/>
    </row>
    <row r="16" spans="1:12" x14ac:dyDescent="0.25">
      <c r="B16" s="24"/>
      <c r="C16" s="24"/>
      <c r="D16" s="13"/>
      <c r="H16" s="13"/>
      <c r="I16" s="13"/>
      <c r="J16" s="13"/>
      <c r="K16" s="13"/>
      <c r="L16" s="13"/>
    </row>
    <row r="17" spans="2:12" x14ac:dyDescent="0.25">
      <c r="B17" s="24">
        <v>2</v>
      </c>
      <c r="C17" s="25" t="s">
        <v>131</v>
      </c>
      <c r="D17" s="13"/>
      <c r="H17" s="13"/>
      <c r="I17" s="13"/>
      <c r="J17" s="13"/>
      <c r="K17" s="13"/>
      <c r="L17" s="13"/>
    </row>
    <row r="18" spans="2:12" x14ac:dyDescent="0.25">
      <c r="B18" s="24"/>
      <c r="C18" s="24"/>
      <c r="D18" s="25"/>
      <c r="H18" s="13"/>
      <c r="I18" s="13"/>
      <c r="J18" s="13"/>
      <c r="K18" s="13"/>
      <c r="L18" s="13"/>
    </row>
    <row r="19" spans="2:12" x14ac:dyDescent="0.25">
      <c r="B19" s="24"/>
      <c r="C19" s="13" t="s">
        <v>130</v>
      </c>
      <c r="D19" s="30">
        <f>HLOOKUP(G5,B5:G10,4,0)</f>
        <v>70000</v>
      </c>
      <c r="H19" s="13"/>
      <c r="I19" s="13"/>
      <c r="J19" s="13"/>
      <c r="K19" s="13"/>
      <c r="L19" s="13"/>
    </row>
    <row r="20" spans="2:12" x14ac:dyDescent="0.25">
      <c r="B20" s="24"/>
      <c r="C20" s="24"/>
      <c r="D20" s="13"/>
      <c r="H20" s="13"/>
      <c r="I20" s="13"/>
      <c r="J20" s="13"/>
      <c r="K20" s="13"/>
      <c r="L20" s="13"/>
    </row>
    <row r="21" spans="2:12" x14ac:dyDescent="0.25">
      <c r="B21" s="24"/>
      <c r="C21" s="24"/>
      <c r="D21" s="13"/>
      <c r="H21" s="13"/>
      <c r="I21" s="13"/>
      <c r="J21" s="13"/>
      <c r="K21" s="13"/>
      <c r="L21" s="13"/>
    </row>
    <row r="22" spans="2:12" x14ac:dyDescent="0.25">
      <c r="B22" s="24">
        <v>3</v>
      </c>
      <c r="C22" s="25" t="s">
        <v>132</v>
      </c>
      <c r="D22" s="25"/>
      <c r="H22" s="13"/>
      <c r="I22" s="13"/>
      <c r="J22" s="13"/>
      <c r="K22" s="13"/>
      <c r="L22" s="13"/>
    </row>
    <row r="23" spans="2:12" x14ac:dyDescent="0.25">
      <c r="B23" s="24"/>
      <c r="C23" s="24" t="s">
        <v>130</v>
      </c>
      <c r="D23" s="31">
        <f>HLOOKUP(I5,B5:I10,6,0)</f>
        <v>85000</v>
      </c>
    </row>
  </sheetData>
  <mergeCells count="1">
    <mergeCell ref="A11:B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365C-F042-4BB4-8DE4-C057B6503A5F}">
  <dimension ref="A5:F37"/>
  <sheetViews>
    <sheetView showGridLines="0" workbookViewId="0">
      <selection activeCell="G15" sqref="G15"/>
    </sheetView>
  </sheetViews>
  <sheetFormatPr defaultRowHeight="15" x14ac:dyDescent="0.25"/>
  <cols>
    <col min="2" max="2" width="14.42578125" bestFit="1" customWidth="1"/>
    <col min="3" max="3" width="44.85546875" bestFit="1" customWidth="1"/>
    <col min="4" max="4" width="14.28515625" bestFit="1" customWidth="1"/>
    <col min="5" max="5" width="8.5703125" bestFit="1" customWidth="1"/>
    <col min="6" max="6" width="6.7109375" bestFit="1" customWidth="1"/>
  </cols>
  <sheetData>
    <row r="5" spans="1:6" x14ac:dyDescent="0.25">
      <c r="A5" s="46"/>
      <c r="B5" s="47" t="s">
        <v>245</v>
      </c>
      <c r="C5" s="47"/>
      <c r="D5" s="47"/>
      <c r="E5" s="47"/>
      <c r="F5" s="48"/>
    </row>
    <row r="6" spans="1:6" x14ac:dyDescent="0.25">
      <c r="A6" s="47"/>
      <c r="B6" s="47"/>
      <c r="C6" s="48"/>
      <c r="D6" s="48"/>
      <c r="E6" s="48"/>
      <c r="F6" s="48"/>
    </row>
    <row r="7" spans="1:6" x14ac:dyDescent="0.25">
      <c r="A7" s="46"/>
      <c r="B7" s="49" t="s">
        <v>98</v>
      </c>
      <c r="C7" s="49" t="s">
        <v>82</v>
      </c>
      <c r="D7" s="49" t="s">
        <v>246</v>
      </c>
      <c r="E7" s="49" t="s">
        <v>125</v>
      </c>
      <c r="F7" s="50" t="s">
        <v>247</v>
      </c>
    </row>
    <row r="8" spans="1:6" x14ac:dyDescent="0.25">
      <c r="A8" s="46"/>
      <c r="B8" s="51">
        <v>56815</v>
      </c>
      <c r="C8" s="52" t="s">
        <v>248</v>
      </c>
      <c r="D8" s="52" t="s">
        <v>249</v>
      </c>
      <c r="E8" s="53">
        <v>13836</v>
      </c>
      <c r="F8" s="54">
        <v>25</v>
      </c>
    </row>
    <row r="9" spans="1:6" x14ac:dyDescent="0.25">
      <c r="A9" s="46"/>
      <c r="B9" s="51">
        <v>51186</v>
      </c>
      <c r="C9" s="52" t="s">
        <v>250</v>
      </c>
      <c r="D9" s="52" t="s">
        <v>251</v>
      </c>
      <c r="E9" s="53">
        <v>11771</v>
      </c>
      <c r="F9" s="54">
        <v>32</v>
      </c>
    </row>
    <row r="10" spans="1:6" x14ac:dyDescent="0.25">
      <c r="A10" s="46"/>
      <c r="B10" s="51">
        <v>51511</v>
      </c>
      <c r="C10" s="52" t="s">
        <v>252</v>
      </c>
      <c r="D10" s="52" t="s">
        <v>253</v>
      </c>
      <c r="E10" s="53">
        <v>13046</v>
      </c>
      <c r="F10" s="54">
        <v>35</v>
      </c>
    </row>
    <row r="11" spans="1:6" x14ac:dyDescent="0.25">
      <c r="A11" s="46"/>
      <c r="B11" s="51">
        <v>50890</v>
      </c>
      <c r="C11" s="52" t="s">
        <v>254</v>
      </c>
      <c r="D11" s="52" t="s">
        <v>255</v>
      </c>
      <c r="E11" s="53">
        <v>18276</v>
      </c>
      <c r="F11" s="54">
        <v>32</v>
      </c>
    </row>
    <row r="12" spans="1:6" x14ac:dyDescent="0.25">
      <c r="A12" s="46"/>
      <c r="B12" s="51">
        <v>53700</v>
      </c>
      <c r="C12" s="52" t="s">
        <v>256</v>
      </c>
      <c r="D12" s="52" t="s">
        <v>257</v>
      </c>
      <c r="E12" s="53">
        <v>19327</v>
      </c>
      <c r="F12" s="54">
        <v>26</v>
      </c>
    </row>
    <row r="13" spans="1:6" x14ac:dyDescent="0.25">
      <c r="A13" s="46"/>
      <c r="B13" s="51">
        <v>55879</v>
      </c>
      <c r="C13" s="52" t="s">
        <v>258</v>
      </c>
      <c r="D13" s="52" t="s">
        <v>259</v>
      </c>
      <c r="E13" s="53">
        <v>18996</v>
      </c>
      <c r="F13" s="54">
        <v>35</v>
      </c>
    </row>
    <row r="14" spans="1:6" x14ac:dyDescent="0.25">
      <c r="A14" s="46"/>
      <c r="B14" s="51">
        <v>59848</v>
      </c>
      <c r="C14" s="52" t="s">
        <v>260</v>
      </c>
      <c r="D14" s="52" t="s">
        <v>253</v>
      </c>
      <c r="E14" s="53">
        <v>10387</v>
      </c>
      <c r="F14" s="54">
        <v>25</v>
      </c>
    </row>
    <row r="15" spans="1:6" x14ac:dyDescent="0.25">
      <c r="A15" s="46"/>
      <c r="B15" s="51">
        <v>58369</v>
      </c>
      <c r="C15" s="52" t="s">
        <v>261</v>
      </c>
      <c r="D15" s="52" t="s">
        <v>259</v>
      </c>
      <c r="E15" s="53">
        <v>12566</v>
      </c>
      <c r="F15" s="54">
        <v>37</v>
      </c>
    </row>
    <row r="16" spans="1:6" x14ac:dyDescent="0.25">
      <c r="A16" s="46"/>
      <c r="B16" s="51">
        <v>50217</v>
      </c>
      <c r="C16" s="52" t="s">
        <v>262</v>
      </c>
      <c r="D16" s="52" t="s">
        <v>263</v>
      </c>
      <c r="E16" s="53">
        <v>16406</v>
      </c>
      <c r="F16" s="54">
        <v>42</v>
      </c>
    </row>
    <row r="17" spans="1:6" x14ac:dyDescent="0.25">
      <c r="A17" s="46"/>
      <c r="B17" s="51">
        <v>50695</v>
      </c>
      <c r="C17" s="52" t="s">
        <v>264</v>
      </c>
      <c r="D17" s="52" t="s">
        <v>255</v>
      </c>
      <c r="E17" s="53">
        <v>15784</v>
      </c>
      <c r="F17" s="54">
        <v>43</v>
      </c>
    </row>
    <row r="18" spans="1:6" x14ac:dyDescent="0.25">
      <c r="A18" s="46"/>
      <c r="B18" s="51">
        <v>59673</v>
      </c>
      <c r="C18" s="52" t="s">
        <v>265</v>
      </c>
      <c r="D18" s="52" t="s">
        <v>249</v>
      </c>
      <c r="E18" s="53">
        <v>10959</v>
      </c>
      <c r="F18" s="54">
        <v>30</v>
      </c>
    </row>
    <row r="19" spans="1:6" x14ac:dyDescent="0.25">
      <c r="A19" s="46"/>
      <c r="B19" s="55">
        <v>52130</v>
      </c>
      <c r="C19" s="56" t="s">
        <v>266</v>
      </c>
      <c r="D19" s="56" t="s">
        <v>267</v>
      </c>
      <c r="E19" s="57">
        <v>14562</v>
      </c>
      <c r="F19" s="58">
        <v>32</v>
      </c>
    </row>
    <row r="20" spans="1:6" x14ac:dyDescent="0.25">
      <c r="A20" s="47"/>
      <c r="B20" s="47"/>
      <c r="C20" s="48"/>
      <c r="D20" s="48"/>
      <c r="E20" s="48"/>
      <c r="F20" s="48"/>
    </row>
    <row r="21" spans="1:6" x14ac:dyDescent="0.25">
      <c r="B21" s="59" t="s">
        <v>29</v>
      </c>
      <c r="C21" s="48" t="s">
        <v>30</v>
      </c>
      <c r="D21" s="60" t="s">
        <v>128</v>
      </c>
      <c r="E21" s="60"/>
      <c r="F21" s="48"/>
    </row>
    <row r="22" spans="1:6" x14ac:dyDescent="0.25">
      <c r="B22" s="59">
        <v>1</v>
      </c>
      <c r="C22" s="48" t="s">
        <v>268</v>
      </c>
      <c r="D22" s="48" t="str">
        <f>VLOOKUP(B15,B7:F19,2,0)</f>
        <v>Thomas Davies</v>
      </c>
      <c r="E22" s="60"/>
      <c r="F22" s="48"/>
    </row>
    <row r="23" spans="1:6" x14ac:dyDescent="0.25">
      <c r="B23" s="46"/>
      <c r="C23" s="46"/>
      <c r="D23" s="48"/>
      <c r="E23" s="48"/>
      <c r="F23" s="48"/>
    </row>
    <row r="24" spans="1:6" x14ac:dyDescent="0.25">
      <c r="B24" s="59">
        <v>2</v>
      </c>
      <c r="C24" s="48" t="s">
        <v>269</v>
      </c>
      <c r="D24" s="48">
        <f>VLOOKUP("Estelle Cormack",C7:F19,4,0)</f>
        <v>30</v>
      </c>
      <c r="E24" s="48"/>
      <c r="F24" s="48"/>
    </row>
    <row r="25" spans="1:6" x14ac:dyDescent="0.25">
      <c r="B25" s="46"/>
      <c r="C25" s="46"/>
      <c r="D25" s="48"/>
      <c r="E25" s="48"/>
      <c r="F25" s="48"/>
    </row>
    <row r="26" spans="1:6" x14ac:dyDescent="0.25">
      <c r="B26" s="59">
        <v>3</v>
      </c>
      <c r="C26" s="48" t="s">
        <v>270</v>
      </c>
      <c r="D26" s="48"/>
      <c r="E26" s="48"/>
      <c r="F26" s="48"/>
    </row>
    <row r="27" spans="1:6" x14ac:dyDescent="0.25">
      <c r="B27" s="46"/>
      <c r="C27" s="46"/>
      <c r="D27" s="48"/>
      <c r="E27" s="48"/>
      <c r="F27" s="48"/>
    </row>
    <row r="28" spans="1:6" x14ac:dyDescent="0.25">
      <c r="B28" s="46"/>
      <c r="C28" s="46" t="s">
        <v>98</v>
      </c>
      <c r="D28" s="46" t="s">
        <v>246</v>
      </c>
      <c r="E28" s="48"/>
      <c r="F28" s="48"/>
    </row>
    <row r="29" spans="1:6" x14ac:dyDescent="0.25">
      <c r="B29" s="46"/>
      <c r="C29" s="61">
        <v>55879</v>
      </c>
      <c r="D29" s="48" t="str">
        <f>VLOOKUP(C29,B7:F19,3,0)</f>
        <v>Capetown</v>
      </c>
      <c r="E29" s="48"/>
      <c r="F29" s="48"/>
    </row>
    <row r="30" spans="1:6" x14ac:dyDescent="0.25">
      <c r="B30" s="46"/>
      <c r="C30" s="61">
        <v>50217</v>
      </c>
      <c r="D30" s="48" t="str">
        <f>VLOOKUP(C30,B8:F20,3,0)</f>
        <v>Warsaw</v>
      </c>
      <c r="E30" s="48"/>
      <c r="F30" s="48"/>
    </row>
    <row r="31" spans="1:6" x14ac:dyDescent="0.25">
      <c r="B31" s="46"/>
      <c r="C31" s="61">
        <v>50695</v>
      </c>
      <c r="D31" s="48" t="str">
        <f>VLOOKUP(C31,B9:F20,3,0)</f>
        <v>Cairo</v>
      </c>
      <c r="E31" s="48"/>
      <c r="F31" s="48"/>
    </row>
    <row r="32" spans="1:6" x14ac:dyDescent="0.25">
      <c r="B32" s="46"/>
      <c r="C32" s="46"/>
      <c r="D32" s="48"/>
      <c r="E32" s="48"/>
      <c r="F32" s="48"/>
    </row>
    <row r="33" spans="2:6" x14ac:dyDescent="0.25">
      <c r="B33" s="59">
        <v>4</v>
      </c>
      <c r="C33" s="48" t="s">
        <v>271</v>
      </c>
      <c r="D33" s="48"/>
      <c r="E33" s="48"/>
      <c r="F33" s="48"/>
    </row>
    <row r="34" spans="2:6" x14ac:dyDescent="0.25">
      <c r="B34" s="46"/>
      <c r="C34" s="46"/>
      <c r="D34" s="48"/>
      <c r="E34" s="48"/>
      <c r="F34" s="48"/>
    </row>
    <row r="35" spans="2:6" x14ac:dyDescent="0.25">
      <c r="B35" s="46"/>
      <c r="C35" s="46" t="s">
        <v>82</v>
      </c>
      <c r="D35" s="46" t="s">
        <v>125</v>
      </c>
      <c r="E35" s="48"/>
      <c r="F35" s="48"/>
    </row>
    <row r="36" spans="2:6" x14ac:dyDescent="0.25">
      <c r="B36" s="46"/>
      <c r="C36" s="48" t="s">
        <v>254</v>
      </c>
      <c r="D36" s="48">
        <f>VLOOKUP(C36,C7:F19,4,0)</f>
        <v>32</v>
      </c>
      <c r="E36" s="48"/>
      <c r="F36" s="48"/>
    </row>
    <row r="37" spans="2:6" x14ac:dyDescent="0.25">
      <c r="B37" s="46"/>
      <c r="C37" s="48" t="s">
        <v>265</v>
      </c>
      <c r="D37" s="48">
        <f>VLOOKUP(C37,C9:F20,4,0)</f>
        <v>30</v>
      </c>
      <c r="E37" s="48"/>
      <c r="F37" s="48"/>
    </row>
  </sheetData>
  <mergeCells count="3">
    <mergeCell ref="B5:E5"/>
    <mergeCell ref="A6:B6"/>
    <mergeCell ref="A20:B2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F223-B6CD-40A9-900E-7990C44872BF}">
  <dimension ref="A5:D14"/>
  <sheetViews>
    <sheetView showGridLines="0" workbookViewId="0">
      <selection activeCell="B11" sqref="B11"/>
    </sheetView>
  </sheetViews>
  <sheetFormatPr defaultRowHeight="15" x14ac:dyDescent="0.25"/>
  <cols>
    <col min="1" max="1" width="13.7109375" bestFit="1" customWidth="1"/>
    <col min="2" max="2" width="9" bestFit="1" customWidth="1"/>
    <col min="3" max="3" width="10.7109375" bestFit="1" customWidth="1"/>
    <col min="4" max="4" width="37.28515625" bestFit="1" customWidth="1"/>
  </cols>
  <sheetData>
    <row r="5" spans="1:4" x14ac:dyDescent="0.25">
      <c r="A5" t="s">
        <v>0</v>
      </c>
      <c r="B5" t="s">
        <v>1</v>
      </c>
      <c r="C5" t="s">
        <v>41</v>
      </c>
      <c r="D5" t="s">
        <v>154</v>
      </c>
    </row>
    <row r="6" spans="1:4" x14ac:dyDescent="0.25">
      <c r="A6" t="s">
        <v>28</v>
      </c>
      <c r="B6" t="s">
        <v>5</v>
      </c>
      <c r="C6">
        <v>49</v>
      </c>
      <c r="D6" t="b">
        <f>OR(B6="Water",C6&gt;60)</f>
        <v>0</v>
      </c>
    </row>
    <row r="7" spans="1:4" x14ac:dyDescent="0.25">
      <c r="A7" t="s">
        <v>31</v>
      </c>
      <c r="B7" t="s">
        <v>5</v>
      </c>
      <c r="C7">
        <v>63</v>
      </c>
      <c r="D7" t="b">
        <f t="shared" ref="D7:D14" si="0">OR(B7="Water",C7&gt;60)</f>
        <v>1</v>
      </c>
    </row>
    <row r="8" spans="1:4" x14ac:dyDescent="0.25">
      <c r="A8" t="s">
        <v>34</v>
      </c>
      <c r="B8" t="s">
        <v>5</v>
      </c>
      <c r="C8">
        <v>83</v>
      </c>
      <c r="D8" t="b">
        <f t="shared" si="0"/>
        <v>1</v>
      </c>
    </row>
    <row r="9" spans="1:4" x14ac:dyDescent="0.25">
      <c r="A9" t="s">
        <v>35</v>
      </c>
      <c r="B9" t="s">
        <v>9</v>
      </c>
      <c r="C9">
        <v>43</v>
      </c>
      <c r="D9" t="b">
        <f t="shared" si="0"/>
        <v>0</v>
      </c>
    </row>
    <row r="10" spans="1:4" x14ac:dyDescent="0.25">
      <c r="A10" t="s">
        <v>36</v>
      </c>
      <c r="B10" t="s">
        <v>9</v>
      </c>
      <c r="C10">
        <v>58</v>
      </c>
      <c r="D10" t="b">
        <f t="shared" si="0"/>
        <v>0</v>
      </c>
    </row>
    <row r="11" spans="1:4" x14ac:dyDescent="0.25">
      <c r="A11" t="s">
        <v>37</v>
      </c>
      <c r="B11" t="s">
        <v>9</v>
      </c>
      <c r="C11">
        <v>78</v>
      </c>
      <c r="D11" t="b">
        <f t="shared" si="0"/>
        <v>1</v>
      </c>
    </row>
    <row r="12" spans="1:4" x14ac:dyDescent="0.25">
      <c r="A12" t="s">
        <v>38</v>
      </c>
      <c r="B12" t="s">
        <v>13</v>
      </c>
      <c r="C12">
        <v>65</v>
      </c>
      <c r="D12" t="b">
        <f t="shared" si="0"/>
        <v>1</v>
      </c>
    </row>
    <row r="13" spans="1:4" x14ac:dyDescent="0.25">
      <c r="A13" t="s">
        <v>39</v>
      </c>
      <c r="B13" t="s">
        <v>13</v>
      </c>
      <c r="C13">
        <v>80</v>
      </c>
      <c r="D13" t="b">
        <f t="shared" si="0"/>
        <v>1</v>
      </c>
    </row>
    <row r="14" spans="1:4" x14ac:dyDescent="0.25">
      <c r="A14" t="s">
        <v>40</v>
      </c>
      <c r="B14" t="s">
        <v>13</v>
      </c>
      <c r="C14">
        <v>100</v>
      </c>
      <c r="D14" t="b">
        <f t="shared" si="0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1C37-838E-47CE-8223-0FA925FB76C8}">
  <dimension ref="A5:F11"/>
  <sheetViews>
    <sheetView showGridLines="0" workbookViewId="0">
      <selection activeCell="D20" sqref="D20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2" bestFit="1" customWidth="1"/>
    <col min="4" max="4" width="11" bestFit="1" customWidth="1"/>
    <col min="5" max="5" width="13.28515625" bestFit="1" customWidth="1"/>
    <col min="6" max="6" width="10.5703125" bestFit="1" customWidth="1"/>
  </cols>
  <sheetData>
    <row r="5" spans="1:6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</row>
    <row r="6" spans="1:6" x14ac:dyDescent="0.25">
      <c r="A6" t="s">
        <v>22</v>
      </c>
      <c r="B6">
        <v>10</v>
      </c>
      <c r="C6">
        <v>4</v>
      </c>
      <c r="D6">
        <v>1</v>
      </c>
      <c r="E6">
        <v>1</v>
      </c>
      <c r="F6">
        <f>AVERAGE(B6:E6)</f>
        <v>4</v>
      </c>
    </row>
    <row r="7" spans="1:6" x14ac:dyDescent="0.25">
      <c r="A7" t="s">
        <v>23</v>
      </c>
      <c r="B7">
        <v>12</v>
      </c>
      <c r="C7">
        <v>3</v>
      </c>
      <c r="D7">
        <v>0</v>
      </c>
      <c r="E7">
        <v>1</v>
      </c>
      <c r="F7">
        <f t="shared" ref="F7:F11" si="0">AVERAGE(B7:E7)</f>
        <v>4</v>
      </c>
    </row>
    <row r="8" spans="1:6" x14ac:dyDescent="0.25">
      <c r="A8" t="s">
        <v>24</v>
      </c>
      <c r="B8">
        <v>15</v>
      </c>
      <c r="C8">
        <v>1</v>
      </c>
      <c r="D8">
        <v>3</v>
      </c>
      <c r="E8">
        <v>1</v>
      </c>
      <c r="F8">
        <f t="shared" si="0"/>
        <v>5</v>
      </c>
    </row>
    <row r="9" spans="1:6" x14ac:dyDescent="0.25">
      <c r="A9" t="s">
        <v>25</v>
      </c>
      <c r="B9">
        <v>4</v>
      </c>
      <c r="C9">
        <v>2</v>
      </c>
      <c r="D9">
        <v>6</v>
      </c>
      <c r="E9">
        <v>0</v>
      </c>
      <c r="F9">
        <f t="shared" si="0"/>
        <v>3</v>
      </c>
    </row>
    <row r="10" spans="1:6" x14ac:dyDescent="0.25">
      <c r="A10" t="s">
        <v>26</v>
      </c>
      <c r="B10">
        <v>10</v>
      </c>
      <c r="C10">
        <v>4</v>
      </c>
      <c r="D10">
        <v>1</v>
      </c>
      <c r="E10">
        <v>1</v>
      </c>
      <c r="F10">
        <f t="shared" si="0"/>
        <v>4</v>
      </c>
    </row>
    <row r="11" spans="1:6" x14ac:dyDescent="0.25">
      <c r="A11" t="s">
        <v>27</v>
      </c>
      <c r="B11">
        <v>9</v>
      </c>
      <c r="C11">
        <v>2</v>
      </c>
      <c r="D11">
        <v>1</v>
      </c>
      <c r="E11">
        <v>0</v>
      </c>
      <c r="F11">
        <f t="shared" si="0"/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3835-1557-4C33-9B9A-A2111EE6FBC6}">
  <dimension ref="A5:F14"/>
  <sheetViews>
    <sheetView showGridLines="0" workbookViewId="0">
      <selection activeCell="E18" sqref="E18"/>
    </sheetView>
  </sheetViews>
  <sheetFormatPr defaultRowHeight="15" x14ac:dyDescent="0.25"/>
  <cols>
    <col min="1" max="1" width="13.7109375" bestFit="1" customWidth="1"/>
    <col min="2" max="2" width="9" bestFit="1" customWidth="1"/>
    <col min="5" max="5" width="11.140625" bestFit="1" customWidth="1"/>
    <col min="6" max="6" width="14.42578125" bestFit="1" customWidth="1"/>
  </cols>
  <sheetData>
    <row r="5" spans="1:6" x14ac:dyDescent="0.25">
      <c r="A5" t="s">
        <v>0</v>
      </c>
      <c r="B5" t="s">
        <v>1</v>
      </c>
      <c r="C5" t="s">
        <v>2</v>
      </c>
    </row>
    <row r="6" spans="1:6" x14ac:dyDescent="0.25">
      <c r="A6" t="s">
        <v>28</v>
      </c>
      <c r="B6" t="s">
        <v>5</v>
      </c>
      <c r="C6">
        <v>45</v>
      </c>
      <c r="E6" t="s">
        <v>29</v>
      </c>
      <c r="F6" t="s">
        <v>30</v>
      </c>
    </row>
    <row r="7" spans="1:6" x14ac:dyDescent="0.25">
      <c r="A7" t="s">
        <v>31</v>
      </c>
      <c r="B7" t="s">
        <v>5</v>
      </c>
      <c r="C7">
        <v>60</v>
      </c>
      <c r="E7" t="s">
        <v>32</v>
      </c>
      <c r="F7" t="s">
        <v>33</v>
      </c>
    </row>
    <row r="8" spans="1:6" x14ac:dyDescent="0.25">
      <c r="A8" t="s">
        <v>34</v>
      </c>
      <c r="B8" t="s">
        <v>5</v>
      </c>
      <c r="C8">
        <v>80</v>
      </c>
      <c r="E8" t="s">
        <v>5</v>
      </c>
      <c r="F8" s="7">
        <f>AVERAGEIF(Table14[Type 1],Table2[[#This Row],[Column1]],Table14[Speed])</f>
        <v>61.666666666666664</v>
      </c>
    </row>
    <row r="9" spans="1:6" x14ac:dyDescent="0.25">
      <c r="A9" t="s">
        <v>35</v>
      </c>
      <c r="B9" t="s">
        <v>9</v>
      </c>
      <c r="C9">
        <v>65</v>
      </c>
      <c r="E9" t="s">
        <v>9</v>
      </c>
      <c r="F9" s="7">
        <f>AVERAGEIF(Table14[Type 1],Table2[[#This Row],[Column1]],Table14[Speed])</f>
        <v>81.666666666666671</v>
      </c>
    </row>
    <row r="10" spans="1:6" x14ac:dyDescent="0.25">
      <c r="A10" t="s">
        <v>36</v>
      </c>
      <c r="B10" t="s">
        <v>9</v>
      </c>
      <c r="C10">
        <v>80</v>
      </c>
      <c r="E10" t="s">
        <v>13</v>
      </c>
      <c r="F10" s="7">
        <f>AVERAGEIF(Table14[Type 1],Table2[[#This Row],[Column1]],Table14[Speed])</f>
        <v>59.666666666666664</v>
      </c>
    </row>
    <row r="11" spans="1:6" x14ac:dyDescent="0.25">
      <c r="A11" t="s">
        <v>37</v>
      </c>
      <c r="B11" t="s">
        <v>9</v>
      </c>
      <c r="C11">
        <v>100</v>
      </c>
    </row>
    <row r="12" spans="1:6" x14ac:dyDescent="0.25">
      <c r="A12" t="s">
        <v>38</v>
      </c>
      <c r="B12" t="s">
        <v>13</v>
      </c>
      <c r="C12">
        <v>43</v>
      </c>
    </row>
    <row r="13" spans="1:6" x14ac:dyDescent="0.25">
      <c r="A13" t="s">
        <v>39</v>
      </c>
      <c r="B13" t="s">
        <v>13</v>
      </c>
      <c r="C13">
        <v>58</v>
      </c>
    </row>
    <row r="14" spans="1:6" x14ac:dyDescent="0.25">
      <c r="A14" t="s">
        <v>40</v>
      </c>
      <c r="B14" t="s">
        <v>13</v>
      </c>
      <c r="C14">
        <v>78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8E09-211A-4FC1-B14B-9D15D91527EB}">
  <dimension ref="A5:H17"/>
  <sheetViews>
    <sheetView showGridLines="0" workbookViewId="0">
      <selection activeCell="G20" sqref="G20"/>
    </sheetView>
  </sheetViews>
  <sheetFormatPr defaultRowHeight="15" x14ac:dyDescent="0.25"/>
  <cols>
    <col min="1" max="1" width="13.7109375" bestFit="1" customWidth="1"/>
    <col min="3" max="3" width="10.7109375" bestFit="1" customWidth="1"/>
    <col min="4" max="4" width="13.42578125" bestFit="1" customWidth="1"/>
    <col min="6" max="7" width="7.5703125" bestFit="1" customWidth="1"/>
    <col min="8" max="8" width="18.5703125" bestFit="1" customWidth="1"/>
  </cols>
  <sheetData>
    <row r="5" spans="1:8" x14ac:dyDescent="0.25">
      <c r="A5" t="s">
        <v>0</v>
      </c>
      <c r="B5" t="s">
        <v>1</v>
      </c>
      <c r="C5" t="s">
        <v>41</v>
      </c>
      <c r="D5" t="s">
        <v>42</v>
      </c>
      <c r="F5" t="s">
        <v>32</v>
      </c>
      <c r="G5" t="s">
        <v>43</v>
      </c>
      <c r="H5" t="s">
        <v>44</v>
      </c>
    </row>
    <row r="6" spans="1:8" x14ac:dyDescent="0.25">
      <c r="A6" t="s">
        <v>28</v>
      </c>
      <c r="B6" t="s">
        <v>5</v>
      </c>
      <c r="C6">
        <v>49</v>
      </c>
      <c r="D6">
        <v>1</v>
      </c>
      <c r="F6" t="s">
        <v>5</v>
      </c>
      <c r="G6">
        <v>1</v>
      </c>
      <c r="H6" s="7">
        <f>AVERAGEIFS(Table16[Defense],Table16[Type 1],Table27[[#This Row],[Type]],Table16[Generation],Table27[[#This Row],[Gen.]])</f>
        <v>65</v>
      </c>
    </row>
    <row r="7" spans="1:8" x14ac:dyDescent="0.25">
      <c r="A7" t="s">
        <v>31</v>
      </c>
      <c r="B7" t="s">
        <v>5</v>
      </c>
      <c r="C7">
        <v>63</v>
      </c>
      <c r="D7">
        <v>1</v>
      </c>
      <c r="F7" t="s">
        <v>9</v>
      </c>
      <c r="G7">
        <v>1</v>
      </c>
      <c r="H7" s="7">
        <f>AVERAGEIFS(Table16[Defense],Table16[Type 1],Table27[[#This Row],[Type]],Table16[Generation],Table27[[#This Row],[Gen.]])</f>
        <v>59.666666666666664</v>
      </c>
    </row>
    <row r="8" spans="1:8" x14ac:dyDescent="0.25">
      <c r="A8" t="s">
        <v>34</v>
      </c>
      <c r="B8" t="s">
        <v>5</v>
      </c>
      <c r="C8">
        <v>83</v>
      </c>
      <c r="D8">
        <v>1</v>
      </c>
      <c r="F8" t="s">
        <v>5</v>
      </c>
      <c r="G8">
        <v>2</v>
      </c>
      <c r="H8" s="7">
        <f>AVERAGEIFS(Table16[Defense],Table16[Type 1],Table27[[#This Row],[Type]],Table16[Generation],Table27[[#This Row],[Gen.]])</f>
        <v>81.666666666666671</v>
      </c>
    </row>
    <row r="9" spans="1:8" x14ac:dyDescent="0.25">
      <c r="A9" t="s">
        <v>35</v>
      </c>
      <c r="B9" t="s">
        <v>9</v>
      </c>
      <c r="C9">
        <v>43</v>
      </c>
      <c r="D9">
        <v>1</v>
      </c>
      <c r="F9" t="s">
        <v>9</v>
      </c>
      <c r="G9">
        <v>2</v>
      </c>
      <c r="H9" s="7">
        <f>AVERAGEIFS(Table16[Defense],Table16[Type 1],Table27[[#This Row],[Type]],Table16[Generation],Table27[[#This Row],[Gen.]])</f>
        <v>59.666666666666664</v>
      </c>
    </row>
    <row r="10" spans="1:8" x14ac:dyDescent="0.25">
      <c r="A10" t="s">
        <v>36</v>
      </c>
      <c r="B10" t="s">
        <v>9</v>
      </c>
      <c r="C10">
        <v>58</v>
      </c>
      <c r="D10">
        <v>1</v>
      </c>
    </row>
    <row r="11" spans="1:8" x14ac:dyDescent="0.25">
      <c r="A11" t="s">
        <v>37</v>
      </c>
      <c r="B11" t="s">
        <v>9</v>
      </c>
      <c r="C11">
        <v>78</v>
      </c>
      <c r="D11">
        <v>1</v>
      </c>
    </row>
    <row r="12" spans="1:8" x14ac:dyDescent="0.25">
      <c r="A12" t="s">
        <v>45</v>
      </c>
      <c r="B12" t="s">
        <v>5</v>
      </c>
      <c r="C12">
        <v>65</v>
      </c>
      <c r="D12">
        <v>2</v>
      </c>
    </row>
    <row r="13" spans="1:8" x14ac:dyDescent="0.25">
      <c r="A13" t="s">
        <v>46</v>
      </c>
      <c r="B13" t="s">
        <v>5</v>
      </c>
      <c r="C13">
        <v>80</v>
      </c>
      <c r="D13">
        <v>2</v>
      </c>
    </row>
    <row r="14" spans="1:8" x14ac:dyDescent="0.25">
      <c r="A14" t="s">
        <v>47</v>
      </c>
      <c r="B14" t="s">
        <v>5</v>
      </c>
      <c r="C14">
        <v>100</v>
      </c>
      <c r="D14">
        <v>2</v>
      </c>
    </row>
    <row r="15" spans="1:8" x14ac:dyDescent="0.25">
      <c r="A15" t="s">
        <v>48</v>
      </c>
      <c r="B15" t="s">
        <v>9</v>
      </c>
      <c r="C15">
        <v>43</v>
      </c>
      <c r="D15">
        <v>2</v>
      </c>
    </row>
    <row r="16" spans="1:8" x14ac:dyDescent="0.25">
      <c r="A16" t="s">
        <v>49</v>
      </c>
      <c r="B16" t="s">
        <v>9</v>
      </c>
      <c r="C16">
        <v>58</v>
      </c>
      <c r="D16">
        <v>2</v>
      </c>
    </row>
    <row r="17" spans="1:4" x14ac:dyDescent="0.25">
      <c r="A17" t="s">
        <v>50</v>
      </c>
      <c r="B17" t="s">
        <v>9</v>
      </c>
      <c r="C17">
        <v>78</v>
      </c>
      <c r="D17">
        <v>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781C-30D5-4F27-B0D7-248612FBBFD7}">
  <dimension ref="A5:D25"/>
  <sheetViews>
    <sheetView showGridLines="0" workbookViewId="0">
      <selection activeCell="F14" sqref="F14"/>
    </sheetView>
  </sheetViews>
  <sheetFormatPr defaultRowHeight="15" x14ac:dyDescent="0.25"/>
  <cols>
    <col min="1" max="1" width="13.7109375" bestFit="1" customWidth="1"/>
    <col min="2" max="2" width="9" bestFit="1" customWidth="1"/>
    <col min="3" max="3" width="12.28515625" bestFit="1" customWidth="1"/>
    <col min="4" max="4" width="39.140625" bestFit="1" customWidth="1"/>
  </cols>
  <sheetData>
    <row r="5" spans="1:4" x14ac:dyDescent="0.25">
      <c r="A5" t="s">
        <v>0</v>
      </c>
      <c r="B5" t="s">
        <v>1</v>
      </c>
      <c r="C5" t="s">
        <v>51</v>
      </c>
      <c r="D5" t="s">
        <v>79</v>
      </c>
    </row>
    <row r="6" spans="1:4" x14ac:dyDescent="0.25">
      <c r="A6" t="s">
        <v>52</v>
      </c>
      <c r="B6" t="s">
        <v>53</v>
      </c>
      <c r="C6">
        <v>305</v>
      </c>
      <c r="D6" t="str">
        <f t="shared" ref="D6:D25" si="0">CONCATENATE("The   total   stats   of",A6,"   are  ",C6,".")</f>
        <v>The   total   stats   of    Mankey   are  305.</v>
      </c>
    </row>
    <row r="7" spans="1:4" x14ac:dyDescent="0.25">
      <c r="A7" t="s">
        <v>54</v>
      </c>
      <c r="B7" t="s">
        <v>13</v>
      </c>
      <c r="C7">
        <v>510</v>
      </c>
      <c r="D7" t="str">
        <f>CONCATENATE("The   total   stats   of",A7,"   are  ",C7,".")</f>
        <v>The   total   stats   of    Poliwrath   are  510.</v>
      </c>
    </row>
    <row r="8" spans="1:4" x14ac:dyDescent="0.25">
      <c r="A8" t="s">
        <v>55</v>
      </c>
      <c r="B8" t="s">
        <v>5</v>
      </c>
      <c r="C8">
        <v>490</v>
      </c>
      <c r="D8" t="str">
        <f t="shared" si="0"/>
        <v>The   total   stats   of    Victreebel   are  490.</v>
      </c>
    </row>
    <row r="9" spans="1:4" x14ac:dyDescent="0.25">
      <c r="A9" t="s">
        <v>56</v>
      </c>
      <c r="B9" t="s">
        <v>13</v>
      </c>
      <c r="C9">
        <v>335</v>
      </c>
      <c r="D9" t="str">
        <f t="shared" si="0"/>
        <v>The   total   stats   of    Tentacool   are  335.</v>
      </c>
    </row>
    <row r="10" spans="1:4" x14ac:dyDescent="0.25">
      <c r="A10" t="s">
        <v>57</v>
      </c>
      <c r="B10" t="s">
        <v>58</v>
      </c>
      <c r="C10">
        <v>465</v>
      </c>
      <c r="D10" t="str">
        <f t="shared" si="0"/>
        <v>The   total   stats   of    Magneton   are  465.</v>
      </c>
    </row>
    <row r="11" spans="1:4" x14ac:dyDescent="0.25">
      <c r="A11" t="s">
        <v>59</v>
      </c>
      <c r="B11" t="s">
        <v>13</v>
      </c>
      <c r="C11">
        <v>475</v>
      </c>
      <c r="D11" t="str">
        <f t="shared" si="0"/>
        <v>The   total   stats   of    Dewgong   are  475.</v>
      </c>
    </row>
    <row r="12" spans="1:4" x14ac:dyDescent="0.25">
      <c r="A12" t="s">
        <v>60</v>
      </c>
      <c r="B12" t="s">
        <v>13</v>
      </c>
      <c r="C12">
        <v>525</v>
      </c>
      <c r="D12" t="str">
        <f t="shared" si="0"/>
        <v>The   total   stats   of    Cloyster   are  525.</v>
      </c>
    </row>
    <row r="13" spans="1:4" x14ac:dyDescent="0.25">
      <c r="A13" t="s">
        <v>61</v>
      </c>
      <c r="B13" t="s">
        <v>62</v>
      </c>
      <c r="C13">
        <v>385</v>
      </c>
      <c r="D13" t="str">
        <f t="shared" si="0"/>
        <v>The   total   stats   of    Onix   are  385.</v>
      </c>
    </row>
    <row r="14" spans="1:4" x14ac:dyDescent="0.25">
      <c r="A14" t="s">
        <v>63</v>
      </c>
      <c r="B14" t="s">
        <v>64</v>
      </c>
      <c r="C14">
        <v>420</v>
      </c>
      <c r="D14" t="str">
        <f t="shared" si="0"/>
        <v>The   total   stats   of    Dragonair   are  420.</v>
      </c>
    </row>
    <row r="15" spans="1:4" x14ac:dyDescent="0.25">
      <c r="A15" t="s">
        <v>65</v>
      </c>
      <c r="B15" t="s">
        <v>66</v>
      </c>
      <c r="C15">
        <v>349</v>
      </c>
      <c r="D15" t="str">
        <f t="shared" si="0"/>
        <v>The   total   stats   of    Pidgeotto   are  349.</v>
      </c>
    </row>
    <row r="16" spans="1:4" x14ac:dyDescent="0.25">
      <c r="A16" t="s">
        <v>67</v>
      </c>
      <c r="B16" t="s">
        <v>66</v>
      </c>
      <c r="C16">
        <v>253</v>
      </c>
      <c r="D16" t="str">
        <f t="shared" si="0"/>
        <v>The   total   stats   of    Rattata   are  253.</v>
      </c>
    </row>
    <row r="17" spans="1:4" x14ac:dyDescent="0.25">
      <c r="A17" t="s">
        <v>68</v>
      </c>
      <c r="B17" t="s">
        <v>69</v>
      </c>
      <c r="C17">
        <v>395</v>
      </c>
      <c r="D17" t="str">
        <f t="shared" si="0"/>
        <v>The   total   stats   of    Beedrill   are  395.</v>
      </c>
    </row>
    <row r="18" spans="1:4" x14ac:dyDescent="0.25">
      <c r="A18" t="s">
        <v>70</v>
      </c>
      <c r="B18" t="s">
        <v>66</v>
      </c>
      <c r="C18">
        <v>310</v>
      </c>
      <c r="D18" t="str">
        <f t="shared" si="0"/>
        <v>The   total   stats   of    Doduo   are  310.</v>
      </c>
    </row>
    <row r="19" spans="1:4" x14ac:dyDescent="0.25">
      <c r="A19" t="s">
        <v>71</v>
      </c>
      <c r="B19" t="s">
        <v>13</v>
      </c>
      <c r="C19">
        <v>475</v>
      </c>
      <c r="D19" t="str">
        <f t="shared" si="0"/>
        <v>The   total   stats   of    Kingler   are  475.</v>
      </c>
    </row>
    <row r="20" spans="1:4" x14ac:dyDescent="0.25">
      <c r="A20" t="s">
        <v>72</v>
      </c>
      <c r="B20" t="s">
        <v>73</v>
      </c>
      <c r="C20">
        <v>505</v>
      </c>
      <c r="D20" t="str">
        <f t="shared" si="0"/>
        <v>The   total   stats   of    Nidoqueen   are  505.</v>
      </c>
    </row>
    <row r="21" spans="1:4" x14ac:dyDescent="0.25">
      <c r="A21" t="s">
        <v>74</v>
      </c>
      <c r="B21" t="s">
        <v>53</v>
      </c>
      <c r="C21">
        <v>455</v>
      </c>
      <c r="D21" t="str">
        <f t="shared" si="0"/>
        <v>The   total   stats   of    Hitmonchan   are  455.</v>
      </c>
    </row>
    <row r="22" spans="1:4" x14ac:dyDescent="0.25">
      <c r="A22" t="s">
        <v>36</v>
      </c>
      <c r="B22" t="s">
        <v>9</v>
      </c>
      <c r="C22">
        <v>405</v>
      </c>
      <c r="D22" t="str">
        <f t="shared" si="0"/>
        <v>The   total   stats   of    Charmeleon   are  405.</v>
      </c>
    </row>
    <row r="23" spans="1:4" x14ac:dyDescent="0.25">
      <c r="A23" t="s">
        <v>75</v>
      </c>
      <c r="B23" t="s">
        <v>73</v>
      </c>
      <c r="C23">
        <v>438</v>
      </c>
      <c r="D23" t="str">
        <f t="shared" si="0"/>
        <v>The   total   stats   of    Arbok   are  438.</v>
      </c>
    </row>
    <row r="24" spans="1:4" x14ac:dyDescent="0.25">
      <c r="A24" t="s">
        <v>76</v>
      </c>
      <c r="B24" t="s">
        <v>77</v>
      </c>
      <c r="C24">
        <v>310</v>
      </c>
      <c r="D24" t="str">
        <f t="shared" si="0"/>
        <v>The   total   stats   of    Gastly   are  310.</v>
      </c>
    </row>
    <row r="25" spans="1:4" x14ac:dyDescent="0.25">
      <c r="A25" t="s">
        <v>78</v>
      </c>
      <c r="B25" t="s">
        <v>13</v>
      </c>
      <c r="C25">
        <v>200</v>
      </c>
      <c r="D25" t="str">
        <f t="shared" si="0"/>
        <v>The   total   stats   of    Magikarp   are  200.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49F3-1F04-4AEB-8BED-D8F1F1D99226}">
  <dimension ref="A5:G25"/>
  <sheetViews>
    <sheetView showGridLines="0" workbookViewId="0">
      <selection activeCell="F15" sqref="F15"/>
    </sheetView>
  </sheetViews>
  <sheetFormatPr defaultRowHeight="15" x14ac:dyDescent="0.25"/>
  <cols>
    <col min="1" max="1" width="13.7109375" bestFit="1" customWidth="1"/>
    <col min="2" max="3" width="9" bestFit="1" customWidth="1"/>
    <col min="4" max="4" width="12.28515625" bestFit="1" customWidth="1"/>
    <col min="6" max="6" width="12.85546875" bestFit="1" customWidth="1"/>
    <col min="7" max="7" width="9.7109375" bestFit="1" customWidth="1"/>
  </cols>
  <sheetData>
    <row r="5" spans="1:7" x14ac:dyDescent="0.25">
      <c r="A5" t="s">
        <v>0</v>
      </c>
      <c r="B5" t="s">
        <v>1</v>
      </c>
      <c r="C5" t="s">
        <v>80</v>
      </c>
      <c r="D5" t="s">
        <v>51</v>
      </c>
    </row>
    <row r="6" spans="1:7" x14ac:dyDescent="0.25">
      <c r="A6" t="s">
        <v>52</v>
      </c>
      <c r="B6" t="s">
        <v>53</v>
      </c>
      <c r="D6">
        <v>305</v>
      </c>
    </row>
    <row r="7" spans="1:7" x14ac:dyDescent="0.25">
      <c r="A7" t="s">
        <v>54</v>
      </c>
      <c r="B7" t="s">
        <v>13</v>
      </c>
      <c r="C7" t="s">
        <v>53</v>
      </c>
      <c r="D7">
        <v>510</v>
      </c>
    </row>
    <row r="8" spans="1:7" x14ac:dyDescent="0.25">
      <c r="A8" t="s">
        <v>55</v>
      </c>
      <c r="B8" t="s">
        <v>5</v>
      </c>
      <c r="C8" t="s">
        <v>73</v>
      </c>
      <c r="D8">
        <v>490</v>
      </c>
      <c r="F8" t="s">
        <v>87</v>
      </c>
      <c r="G8" t="s">
        <v>81</v>
      </c>
    </row>
    <row r="9" spans="1:7" x14ac:dyDescent="0.25">
      <c r="A9" t="s">
        <v>56</v>
      </c>
      <c r="B9" t="s">
        <v>13</v>
      </c>
      <c r="C9" t="s">
        <v>73</v>
      </c>
      <c r="D9">
        <v>335</v>
      </c>
      <c r="F9" s="9" t="s">
        <v>82</v>
      </c>
      <c r="G9">
        <f>COUNT(Table19[[#All],[    Name]])</f>
        <v>0</v>
      </c>
    </row>
    <row r="10" spans="1:7" x14ac:dyDescent="0.25">
      <c r="A10" t="s">
        <v>57</v>
      </c>
      <c r="B10" t="s">
        <v>58</v>
      </c>
      <c r="C10" t="s">
        <v>83</v>
      </c>
      <c r="D10">
        <v>465</v>
      </c>
      <c r="F10" t="str">
        <f>Table19[[#Headers],[Type 1]]</f>
        <v>Type 1</v>
      </c>
      <c r="G10">
        <f>COUNT(Table19[Type 1])</f>
        <v>0</v>
      </c>
    </row>
    <row r="11" spans="1:7" x14ac:dyDescent="0.25">
      <c r="A11" t="s">
        <v>59</v>
      </c>
      <c r="B11" t="s">
        <v>13</v>
      </c>
      <c r="C11" t="s">
        <v>84</v>
      </c>
      <c r="D11">
        <v>475</v>
      </c>
      <c r="F11" t="str">
        <f>Table19[[#Headers],[Type 2]]</f>
        <v>Type 2</v>
      </c>
      <c r="G11">
        <f>COUNT(Table19[Type 2])</f>
        <v>0</v>
      </c>
    </row>
    <row r="12" spans="1:7" x14ac:dyDescent="0.25">
      <c r="A12" t="s">
        <v>60</v>
      </c>
      <c r="B12" t="s">
        <v>13</v>
      </c>
      <c r="C12" t="s">
        <v>84</v>
      </c>
      <c r="D12">
        <v>525</v>
      </c>
      <c r="F12" t="str">
        <f>Table19[[#Headers],[Total stats]]</f>
        <v>Total stats</v>
      </c>
      <c r="G12">
        <f>COUNT(Table19[Total stats])</f>
        <v>20</v>
      </c>
    </row>
    <row r="13" spans="1:7" x14ac:dyDescent="0.25">
      <c r="A13" t="s">
        <v>61</v>
      </c>
      <c r="B13" t="s">
        <v>62</v>
      </c>
      <c r="C13" t="s">
        <v>85</v>
      </c>
      <c r="D13">
        <v>385</v>
      </c>
    </row>
    <row r="14" spans="1:7" x14ac:dyDescent="0.25">
      <c r="A14" t="s">
        <v>63</v>
      </c>
      <c r="B14" t="s">
        <v>64</v>
      </c>
      <c r="D14">
        <v>420</v>
      </c>
    </row>
    <row r="15" spans="1:7" x14ac:dyDescent="0.25">
      <c r="A15" t="s">
        <v>65</v>
      </c>
      <c r="B15" t="s">
        <v>66</v>
      </c>
      <c r="C15" t="s">
        <v>86</v>
      </c>
      <c r="D15">
        <v>349</v>
      </c>
    </row>
    <row r="16" spans="1:7" x14ac:dyDescent="0.25">
      <c r="A16" t="s">
        <v>67</v>
      </c>
      <c r="B16" t="s">
        <v>66</v>
      </c>
      <c r="D16">
        <v>253</v>
      </c>
    </row>
    <row r="17" spans="1:4" x14ac:dyDescent="0.25">
      <c r="A17" t="s">
        <v>68</v>
      </c>
      <c r="B17" t="s">
        <v>69</v>
      </c>
      <c r="C17" t="s">
        <v>73</v>
      </c>
      <c r="D17">
        <v>395</v>
      </c>
    </row>
    <row r="18" spans="1:4" x14ac:dyDescent="0.25">
      <c r="A18" t="s">
        <v>70</v>
      </c>
      <c r="B18" t="s">
        <v>66</v>
      </c>
      <c r="C18" t="s">
        <v>86</v>
      </c>
      <c r="D18">
        <v>310</v>
      </c>
    </row>
    <row r="19" spans="1:4" x14ac:dyDescent="0.25">
      <c r="A19" t="s">
        <v>71</v>
      </c>
      <c r="B19" t="s">
        <v>13</v>
      </c>
      <c r="D19">
        <v>475</v>
      </c>
    </row>
    <row r="20" spans="1:4" x14ac:dyDescent="0.25">
      <c r="A20" t="s">
        <v>72</v>
      </c>
      <c r="B20" t="s">
        <v>73</v>
      </c>
      <c r="C20" t="s">
        <v>85</v>
      </c>
      <c r="D20">
        <v>505</v>
      </c>
    </row>
    <row r="21" spans="1:4" x14ac:dyDescent="0.25">
      <c r="A21" t="s">
        <v>74</v>
      </c>
      <c r="B21" t="s">
        <v>53</v>
      </c>
      <c r="D21">
        <v>455</v>
      </c>
    </row>
    <row r="22" spans="1:4" x14ac:dyDescent="0.25">
      <c r="A22" t="s">
        <v>36</v>
      </c>
      <c r="B22" t="s">
        <v>9</v>
      </c>
      <c r="D22">
        <v>405</v>
      </c>
    </row>
    <row r="23" spans="1:4" x14ac:dyDescent="0.25">
      <c r="A23" t="s">
        <v>75</v>
      </c>
      <c r="B23" t="s">
        <v>73</v>
      </c>
      <c r="D23">
        <v>438</v>
      </c>
    </row>
    <row r="24" spans="1:4" x14ac:dyDescent="0.25">
      <c r="A24" t="s">
        <v>76</v>
      </c>
      <c r="B24" t="s">
        <v>77</v>
      </c>
      <c r="C24" t="s">
        <v>73</v>
      </c>
      <c r="D24">
        <v>310</v>
      </c>
    </row>
    <row r="25" spans="1:4" x14ac:dyDescent="0.25">
      <c r="A25" t="s">
        <v>78</v>
      </c>
      <c r="B25" t="s">
        <v>13</v>
      </c>
      <c r="D25">
        <v>200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3927-354F-406F-86CC-B553128E24A0}">
  <dimension ref="A5:G25"/>
  <sheetViews>
    <sheetView showGridLines="0" workbookViewId="0">
      <selection activeCell="F15" sqref="F15"/>
    </sheetView>
  </sheetViews>
  <sheetFormatPr defaultRowHeight="15" x14ac:dyDescent="0.25"/>
  <cols>
    <col min="1" max="1" width="13.7109375" bestFit="1" customWidth="1"/>
    <col min="2" max="3" width="9" bestFit="1" customWidth="1"/>
    <col min="4" max="4" width="12.28515625" bestFit="1" customWidth="1"/>
    <col min="6" max="6" width="11.5703125" bestFit="1" customWidth="1"/>
    <col min="7" max="7" width="11" bestFit="1" customWidth="1"/>
  </cols>
  <sheetData>
    <row r="5" spans="1:7" x14ac:dyDescent="0.25">
      <c r="A5" t="s">
        <v>0</v>
      </c>
      <c r="B5" t="s">
        <v>1</v>
      </c>
      <c r="C5" t="s">
        <v>80</v>
      </c>
      <c r="D5" t="s">
        <v>51</v>
      </c>
    </row>
    <row r="6" spans="1:7" x14ac:dyDescent="0.25">
      <c r="A6" t="s">
        <v>52</v>
      </c>
      <c r="B6" t="s">
        <v>53</v>
      </c>
      <c r="D6">
        <v>305</v>
      </c>
    </row>
    <row r="7" spans="1:7" x14ac:dyDescent="0.25">
      <c r="A7" t="s">
        <v>54</v>
      </c>
      <c r="B7" t="s">
        <v>13</v>
      </c>
      <c r="C7" t="s">
        <v>53</v>
      </c>
      <c r="D7">
        <v>510</v>
      </c>
    </row>
    <row r="8" spans="1:7" x14ac:dyDescent="0.25">
      <c r="A8" t="s">
        <v>55</v>
      </c>
      <c r="B8" t="s">
        <v>5</v>
      </c>
      <c r="C8" t="s">
        <v>73</v>
      </c>
      <c r="D8">
        <v>490</v>
      </c>
      <c r="F8" t="s">
        <v>89</v>
      </c>
      <c r="G8" t="s">
        <v>88</v>
      </c>
    </row>
    <row r="9" spans="1:7" x14ac:dyDescent="0.25">
      <c r="A9" t="s">
        <v>56</v>
      </c>
      <c r="B9" t="s">
        <v>13</v>
      </c>
      <c r="C9" t="s">
        <v>73</v>
      </c>
      <c r="D9">
        <v>335</v>
      </c>
      <c r="F9" t="s">
        <v>82</v>
      </c>
      <c r="G9">
        <f>COUNTA(Table111[[    Name]])</f>
        <v>20</v>
      </c>
    </row>
    <row r="10" spans="1:7" x14ac:dyDescent="0.25">
      <c r="A10" t="s">
        <v>57</v>
      </c>
      <c r="B10" t="s">
        <v>58</v>
      </c>
      <c r="C10" t="s">
        <v>83</v>
      </c>
      <c r="D10">
        <v>465</v>
      </c>
      <c r="F10" t="str">
        <f>Table111[[#Headers],[Type 1]]</f>
        <v>Type 1</v>
      </c>
      <c r="G10">
        <f>COUNTA(Table111[Type 1])</f>
        <v>20</v>
      </c>
    </row>
    <row r="11" spans="1:7" x14ac:dyDescent="0.25">
      <c r="A11" t="s">
        <v>59</v>
      </c>
      <c r="B11" t="s">
        <v>13</v>
      </c>
      <c r="C11" t="s">
        <v>84</v>
      </c>
      <c r="D11">
        <v>475</v>
      </c>
      <c r="F11" t="str">
        <f>Table111[[#Headers],[Type 2]]</f>
        <v>Type 2</v>
      </c>
      <c r="G11">
        <f>COUNTA(Table111[Type 2])</f>
        <v>12</v>
      </c>
    </row>
    <row r="12" spans="1:7" x14ac:dyDescent="0.25">
      <c r="A12" t="s">
        <v>60</v>
      </c>
      <c r="B12" t="s">
        <v>13</v>
      </c>
      <c r="C12" t="s">
        <v>84</v>
      </c>
      <c r="D12">
        <v>525</v>
      </c>
      <c r="F12" t="str">
        <f>Table111[[#Headers],[Total stats]]</f>
        <v>Total stats</v>
      </c>
      <c r="G12">
        <f>COUNTA(Table111[Total stats])</f>
        <v>20</v>
      </c>
    </row>
    <row r="13" spans="1:7" x14ac:dyDescent="0.25">
      <c r="A13" t="s">
        <v>61</v>
      </c>
      <c r="B13" t="s">
        <v>62</v>
      </c>
      <c r="C13" t="s">
        <v>85</v>
      </c>
      <c r="D13">
        <v>385</v>
      </c>
    </row>
    <row r="14" spans="1:7" x14ac:dyDescent="0.25">
      <c r="A14" t="s">
        <v>63</v>
      </c>
      <c r="B14" t="s">
        <v>64</v>
      </c>
      <c r="D14">
        <v>420</v>
      </c>
    </row>
    <row r="15" spans="1:7" x14ac:dyDescent="0.25">
      <c r="A15" t="s">
        <v>65</v>
      </c>
      <c r="B15" t="s">
        <v>66</v>
      </c>
      <c r="C15" t="s">
        <v>86</v>
      </c>
      <c r="D15">
        <v>349</v>
      </c>
    </row>
    <row r="16" spans="1:7" x14ac:dyDescent="0.25">
      <c r="A16" t="s">
        <v>67</v>
      </c>
      <c r="B16" t="s">
        <v>66</v>
      </c>
      <c r="D16">
        <v>253</v>
      </c>
    </row>
    <row r="17" spans="1:4" x14ac:dyDescent="0.25">
      <c r="A17" t="s">
        <v>68</v>
      </c>
      <c r="B17" t="s">
        <v>69</v>
      </c>
      <c r="C17" t="s">
        <v>73</v>
      </c>
      <c r="D17">
        <v>395</v>
      </c>
    </row>
    <row r="18" spans="1:4" x14ac:dyDescent="0.25">
      <c r="A18" t="s">
        <v>70</v>
      </c>
      <c r="B18" t="s">
        <v>66</v>
      </c>
      <c r="C18" t="s">
        <v>86</v>
      </c>
      <c r="D18">
        <v>310</v>
      </c>
    </row>
    <row r="19" spans="1:4" x14ac:dyDescent="0.25">
      <c r="A19" t="s">
        <v>71</v>
      </c>
      <c r="B19" t="s">
        <v>13</v>
      </c>
      <c r="D19">
        <v>475</v>
      </c>
    </row>
    <row r="20" spans="1:4" x14ac:dyDescent="0.25">
      <c r="A20" t="s">
        <v>72</v>
      </c>
      <c r="B20" t="s">
        <v>73</v>
      </c>
      <c r="C20" t="s">
        <v>85</v>
      </c>
      <c r="D20">
        <v>505</v>
      </c>
    </row>
    <row r="21" spans="1:4" x14ac:dyDescent="0.25">
      <c r="A21" t="s">
        <v>74</v>
      </c>
      <c r="B21" t="s">
        <v>53</v>
      </c>
      <c r="D21">
        <v>455</v>
      </c>
    </row>
    <row r="22" spans="1:4" x14ac:dyDescent="0.25">
      <c r="A22" t="s">
        <v>36</v>
      </c>
      <c r="B22" t="s">
        <v>9</v>
      </c>
      <c r="D22">
        <v>405</v>
      </c>
    </row>
    <row r="23" spans="1:4" x14ac:dyDescent="0.25">
      <c r="A23" t="s">
        <v>75</v>
      </c>
      <c r="B23" t="s">
        <v>73</v>
      </c>
      <c r="D23">
        <v>438</v>
      </c>
    </row>
    <row r="24" spans="1:4" x14ac:dyDescent="0.25">
      <c r="A24" t="s">
        <v>76</v>
      </c>
      <c r="B24" t="s">
        <v>77</v>
      </c>
      <c r="C24" t="s">
        <v>73</v>
      </c>
      <c r="D24">
        <v>310</v>
      </c>
    </row>
    <row r="25" spans="1:4" x14ac:dyDescent="0.25">
      <c r="A25" t="s">
        <v>78</v>
      </c>
      <c r="B25" t="s">
        <v>13</v>
      </c>
      <c r="D25">
        <v>200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7987-A667-42D5-824B-BCFA0950AD4B}">
  <dimension ref="A5:H25"/>
  <sheetViews>
    <sheetView showGridLines="0" workbookViewId="0">
      <selection activeCell="G15" sqref="G15"/>
    </sheetView>
  </sheetViews>
  <sheetFormatPr defaultRowHeight="15" x14ac:dyDescent="0.25"/>
  <cols>
    <col min="1" max="1" width="13.7109375" bestFit="1" customWidth="1"/>
    <col min="2" max="3" width="9" bestFit="1" customWidth="1"/>
    <col min="4" max="4" width="12.28515625" bestFit="1" customWidth="1"/>
    <col min="7" max="7" width="11.140625" bestFit="1" customWidth="1"/>
    <col min="8" max="8" width="15.7109375" bestFit="1" customWidth="1"/>
  </cols>
  <sheetData>
    <row r="5" spans="1:8" x14ac:dyDescent="0.25">
      <c r="A5" t="s">
        <v>0</v>
      </c>
      <c r="B5" t="s">
        <v>1</v>
      </c>
      <c r="C5" t="s">
        <v>80</v>
      </c>
      <c r="D5" t="s">
        <v>51</v>
      </c>
    </row>
    <row r="6" spans="1:8" x14ac:dyDescent="0.25">
      <c r="A6" t="s">
        <v>52</v>
      </c>
      <c r="B6" t="s">
        <v>53</v>
      </c>
      <c r="D6">
        <v>305</v>
      </c>
    </row>
    <row r="7" spans="1:8" x14ac:dyDescent="0.25">
      <c r="A7" t="s">
        <v>54</v>
      </c>
      <c r="B7" t="s">
        <v>13</v>
      </c>
      <c r="C7" t="s">
        <v>53</v>
      </c>
      <c r="D7">
        <v>510</v>
      </c>
      <c r="G7" t="s">
        <v>89</v>
      </c>
      <c r="H7" t="s">
        <v>90</v>
      </c>
    </row>
    <row r="8" spans="1:8" x14ac:dyDescent="0.25">
      <c r="A8" t="s">
        <v>55</v>
      </c>
      <c r="B8" t="s">
        <v>5</v>
      </c>
      <c r="C8" t="s">
        <v>73</v>
      </c>
      <c r="D8">
        <v>490</v>
      </c>
      <c r="G8" t="s">
        <v>82</v>
      </c>
      <c r="H8">
        <f>COUNTBLANK(Table113[[    Name]])</f>
        <v>0</v>
      </c>
    </row>
    <row r="9" spans="1:8" x14ac:dyDescent="0.25">
      <c r="A9" t="s">
        <v>56</v>
      </c>
      <c r="B9" t="s">
        <v>13</v>
      </c>
      <c r="C9" t="s">
        <v>73</v>
      </c>
      <c r="D9">
        <v>335</v>
      </c>
      <c r="G9" t="s">
        <v>1</v>
      </c>
      <c r="H9">
        <f>COUNTBLANK(Table113[Type 1])</f>
        <v>0</v>
      </c>
    </row>
    <row r="10" spans="1:8" x14ac:dyDescent="0.25">
      <c r="A10" t="s">
        <v>57</v>
      </c>
      <c r="B10" t="s">
        <v>58</v>
      </c>
      <c r="C10" t="s">
        <v>83</v>
      </c>
      <c r="D10">
        <v>465</v>
      </c>
      <c r="G10" t="s">
        <v>80</v>
      </c>
      <c r="H10">
        <f>COUNTBLANK(Table113[Type 2])</f>
        <v>8</v>
      </c>
    </row>
    <row r="11" spans="1:8" x14ac:dyDescent="0.25">
      <c r="A11" t="s">
        <v>59</v>
      </c>
      <c r="B11" t="s">
        <v>13</v>
      </c>
      <c r="C11" t="s">
        <v>84</v>
      </c>
      <c r="D11">
        <v>475</v>
      </c>
      <c r="G11" t="s">
        <v>91</v>
      </c>
      <c r="H11">
        <f>COUNTBLANK(Table113[Total stats])</f>
        <v>0</v>
      </c>
    </row>
    <row r="12" spans="1:8" x14ac:dyDescent="0.25">
      <c r="A12" t="s">
        <v>60</v>
      </c>
      <c r="B12" t="s">
        <v>13</v>
      </c>
      <c r="C12" t="s">
        <v>84</v>
      </c>
      <c r="D12">
        <v>525</v>
      </c>
    </row>
    <row r="13" spans="1:8" x14ac:dyDescent="0.25">
      <c r="A13" t="s">
        <v>61</v>
      </c>
      <c r="B13" t="s">
        <v>62</v>
      </c>
      <c r="C13" t="s">
        <v>85</v>
      </c>
      <c r="D13">
        <v>385</v>
      </c>
    </row>
    <row r="14" spans="1:8" x14ac:dyDescent="0.25">
      <c r="A14" t="s">
        <v>63</v>
      </c>
      <c r="B14" t="s">
        <v>64</v>
      </c>
      <c r="D14">
        <v>420</v>
      </c>
    </row>
    <row r="15" spans="1:8" x14ac:dyDescent="0.25">
      <c r="A15" t="s">
        <v>65</v>
      </c>
      <c r="B15" t="s">
        <v>66</v>
      </c>
      <c r="C15" t="s">
        <v>86</v>
      </c>
      <c r="D15">
        <v>349</v>
      </c>
    </row>
    <row r="16" spans="1:8" x14ac:dyDescent="0.25">
      <c r="A16" t="s">
        <v>67</v>
      </c>
      <c r="B16" t="s">
        <v>66</v>
      </c>
      <c r="D16">
        <v>253</v>
      </c>
    </row>
    <row r="17" spans="1:4" x14ac:dyDescent="0.25">
      <c r="A17" t="s">
        <v>68</v>
      </c>
      <c r="B17" t="s">
        <v>69</v>
      </c>
      <c r="C17" t="s">
        <v>73</v>
      </c>
      <c r="D17">
        <v>395</v>
      </c>
    </row>
    <row r="18" spans="1:4" x14ac:dyDescent="0.25">
      <c r="A18" t="s">
        <v>70</v>
      </c>
      <c r="B18" t="s">
        <v>66</v>
      </c>
      <c r="C18" t="s">
        <v>86</v>
      </c>
      <c r="D18">
        <v>310</v>
      </c>
    </row>
    <row r="19" spans="1:4" x14ac:dyDescent="0.25">
      <c r="A19" t="s">
        <v>71</v>
      </c>
      <c r="B19" t="s">
        <v>13</v>
      </c>
      <c r="D19">
        <v>475</v>
      </c>
    </row>
    <row r="20" spans="1:4" x14ac:dyDescent="0.25">
      <c r="A20" t="s">
        <v>72</v>
      </c>
      <c r="B20" t="s">
        <v>73</v>
      </c>
      <c r="C20" t="s">
        <v>85</v>
      </c>
      <c r="D20">
        <v>505</v>
      </c>
    </row>
    <row r="21" spans="1:4" x14ac:dyDescent="0.25">
      <c r="A21" t="s">
        <v>74</v>
      </c>
      <c r="B21" t="s">
        <v>53</v>
      </c>
      <c r="D21">
        <v>455</v>
      </c>
    </row>
    <row r="22" spans="1:4" x14ac:dyDescent="0.25">
      <c r="A22" t="s">
        <v>36</v>
      </c>
      <c r="B22" t="s">
        <v>9</v>
      </c>
      <c r="D22">
        <v>405</v>
      </c>
    </row>
    <row r="23" spans="1:4" x14ac:dyDescent="0.25">
      <c r="A23" t="s">
        <v>75</v>
      </c>
      <c r="B23" t="s">
        <v>73</v>
      </c>
      <c r="D23">
        <v>438</v>
      </c>
    </row>
    <row r="24" spans="1:4" x14ac:dyDescent="0.25">
      <c r="A24" t="s">
        <v>76</v>
      </c>
      <c r="B24" t="s">
        <v>77</v>
      </c>
      <c r="C24" t="s">
        <v>73</v>
      </c>
      <c r="D24">
        <v>310</v>
      </c>
    </row>
    <row r="25" spans="1:4" x14ac:dyDescent="0.25">
      <c r="A25" t="s">
        <v>78</v>
      </c>
      <c r="B25" t="s">
        <v>13</v>
      </c>
      <c r="D25">
        <v>200</v>
      </c>
    </row>
  </sheetData>
  <pageMargins left="0.7" right="0.7" top="0.75" bottom="0.75" header="0.3" footer="0.3"/>
  <ignoredErrors>
    <ignoredError sqref="H8:H11" calculatedColumn="1"/>
  </ignoredErrors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j F i e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j F i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Y n l n H l 1 + / 8 w A A A P 0 D A A A T A B w A R m 9 y b X V s Y X M v U 2 V j d G l v b j E u b S C i G A A o o B Q A A A A A A A A A A A A A A A A A A A A A A A A A A A D l k U G L w j A Q h e + F / o c h X l o o x R b Z P Y i n s I o X P b T i Q T z E O q 5 i O 5 E 0 B Z f S / 7 5 J 6 8 I u 6 0 m 9 i L k E 5 r 1 5 m S 9 T Y q Y P k i D p 7 m j o O q 5 T 7 o X C L a R i k 2 P 0 D i P I U b s O m J P I S m V o K h / n D P O Q V 0 o h 6 a V U x 4 2 U R 8 + v V z N R 4 I h d W t m 6 W X F J 2 n j W Q Z f Q Y 3 w v 6 N P G f 5 2 Q m a j W G 6 Z K U L m T q u A y r w q y Y u l 1 z w V 1 z W y r j W Y B a C O B x r N u A q i Z N U L 0 r z x B Q i U s k p G m p N 8 G o X U 2 j e 8 6 B 7 o 6 y m / 0 3 g 8 B e L H P X v E H 2 p n i / s 3 o c f 9 x 6 K 3 5 C l / 4 l 8 x W + X w x S 6 f j 5 J 6 t G + q 7 t v 4 0 6 N 9 Q S w E C L Q A U A A I A C A C M W J 5 Z A b + 6 L a Q A A A D 2 A A A A E g A A A A A A A A A A A A A A A A A A A A A A Q 2 9 u Z m l n L 1 B h Y 2 t h Z 2 U u e G 1 s U E s B A i 0 A F A A C A A g A j F i e W Q / K 6 a u k A A A A 6 Q A A A B M A A A A A A A A A A A A A A A A A 8 A A A A F t D b 2 5 0 Z W 5 0 X 1 R 5 c G V z X S 5 4 b W x Q S w E C L Q A U A A I A C A C M W J 5 Z x 5 d f v / M A A A D 9 A w A A E w A A A A A A A A A A A A A A A A D h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I Q A A A A A A A G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N j d k Y T F i L T A y Z D Y t N G V l M S 0 4 Y W Y 3 L T N i N G Q z M j Y x O T Q x N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T d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M w V D A w O j U 5 O j Q 5 L j M 0 N D c x N z N a I i A v P j x F b n R y e S B U e X B l P S J G a W x s Q 2 9 s d W 1 u V H l w Z X M i I F Z h b H V l P S J z Q m d Z R C I g L z 4 8 R W 5 0 c n k g V H l w Z T 0 i R m l s b E N v b H V t b k 5 h b W V z I i B W Y W x 1 Z T 0 i c 1 s m c X V v d D s g I C A g T m F t Z S Z x d W 9 0 O y w m c X V v d D t U e X B l I D E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v Q 2 h h b m d l Z C B U e X B l L n s g I C A g T m F t Z S w w f S Z x d W 9 0 O y w m c X V v d D t T Z W N 0 a W 9 u M S 9 U Y W J s Z T E 3 L 0 N o Y W 5 n Z W Q g V H l w Z S 5 7 V H l w Z S A x L D F 9 J n F 1 b 3 Q 7 L C Z x d W 9 0 O 1 N l Y 3 R p b 2 4 x L 1 R h Y m x l M T c v Q 2 h h b m d l Z C B U e X B l L n t H Z W 5 l c m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c v Q 2 h h b m d l Z C B U e X B l L n s g I C A g T m F t Z S w w f S Z x d W 9 0 O y w m c X V v d D t T Z W N 0 a W 9 u M S 9 U Y W J s Z T E 3 L 0 N o Y W 5 n Z W Q g V H l w Z S 5 7 V H l w Z S A x L D F 9 J n F 1 b 3 Q 7 L C Z x d W 9 0 O 1 N l Y 3 R p b 2 4 x L 1 R h Y m x l M T c v Q 2 h h b m d l Z C B U e X B l L n t H Z W 5 l c m F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J j O D k 3 N G U t Z D Q w Y y 0 0 Y z k x L T h k Z W M t O T h k N W E z N z R k Z j Q 0 I i A v P j x F b n R y e S B U e X B l P S J O Y X Z p Z 2 F 0 a W 9 u U 3 R l c E 5 h b W U i I F Z h b H V l P S J z T m F 2 a W d h d G l v b i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M w V D A w O j U 5 O j Q 5 L j M 0 N D c x N z N a I i A v P j x F b n R y e S B U e X B l P S J G a W x s Q 2 9 s d W 1 u V H l w Z X M i I F Z h b H V l P S J z Q m d Z R C I g L z 4 8 R W 5 0 c n k g V H l w Z T 0 i R m l s b E N v b H V t b k 5 h b W V z I i B W Y W x 1 Z T 0 i c 1 s m c X V v d D s g I C A g T m F t Z S Z x d W 9 0 O y w m c X V v d D t U e X B l I D E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y 9 D a G F u Z 2 V k I F R 5 c G U u e y A g I C B O Y W 1 l L D B 9 J n F 1 b 3 Q 7 L C Z x d W 9 0 O 1 N l Y 3 R p b 2 4 x L 1 R h Y m x l M T c v Q 2 h h b m d l Z C B U e X B l L n t U e X B l I D E s M X 0 m c X V v d D s s J n F 1 b 3 Q 7 U 2 V j d G l v b j E v V G F i b G U x N y 9 D a G F u Z 2 V k I F R 5 c G U u e 0 d l b m V y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N y 9 D a G F u Z 2 V k I F R 5 c G U u e y A g I C B O Y W 1 l L D B 9 J n F 1 b 3 Q 7 L C Z x d W 9 0 O 1 N l Y 3 R p b 2 4 x L 1 R h Y m x l M T c v Q 2 h h b m d l Z C B U e X B l L n t U e X B l I D E s M X 0 m c X V v d D s s J n F 1 b 3 Q 7 U 2 V j d G l v b j E v V G F i b G U x N y 9 D a G F u Z 2 V k I F R 5 c G U u e 0 d l b m V y Y X R p b 2 4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J h N D l i Z G I t Y T h i O C 0 0 M T N l L W J j Y z I t M W J h O W U 4 O D N k N z c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z B U M D U 6 M j Y 6 M T k u N j M 0 M z U 2 N 1 o i I C 8 + P E V u d H J 5 I F R 5 c G U 9 I k Z p b G x D b 2 x 1 b W 5 U e X B l c y I g V m F s d W U 9 I n N C Z 0 1 E I i A v P j x F b n R y e S B U e X B l P S J G a W x s Q 2 9 s d W 1 u T m F t Z X M i I F Z h b H V l P S J z W y Z x d W 9 0 O 1 R 5 c G U m c X V v d D s s J n F 1 b 3 Q 7 R 2 V u L i Z x d W 9 0 O y w m c X V v d D t D T 1 V O V E l G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v Q 2 h h b m d l Z C B U e X B l L n t U e X B l L D B 9 J n F 1 b 3 Q 7 L C Z x d W 9 0 O 1 N l Y 3 R p b 2 4 x L 1 R h Y m x l M j A v Q 2 h h b m d l Z C B U e X B l L n t H Z W 4 u L D F 9 J n F 1 b 3 Q 7 L C Z x d W 9 0 O 1 N l Y 3 R p b 2 4 x L 1 R h Y m x l M j A v Q 2 h h b m d l Z C B U e X B l L n t D T 1 V O V E l G U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w L 0 N o Y W 5 n Z W Q g V H l w Z S 5 7 V H l w Z S w w f S Z x d W 9 0 O y w m c X V v d D t T Z W N 0 a W 9 u M S 9 U Y W J s Z T I w L 0 N o Y W 5 n Z W Q g V H l w Z S 5 7 R 2 V u L i w x f S Z x d W 9 0 O y w m c X V v d D t T Z W N 0 a W 9 u M S 9 U Y W J s Z T I w L 0 N o Y W 5 n Z W Q g V H l w Z S 5 7 Q 0 9 V T l R J R l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m N k Z T N m Z i 0 3 Y j A 2 L T Q 0 N T I t Y j F l Z i 1 h O D Y y M z k 5 Y 2 N i Z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j B f M j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z M F Q w N T o y N j o x O S 4 2 M z Q z N T Y 3 W i I g L z 4 8 R W 5 0 c n k g V H l w Z T 0 i R m l s b E N v b H V t b l R 5 c G V z I i B W Y W x 1 Z T 0 i c 0 J n T U Q i I C 8 + P E V u d H J 5 I F R 5 c G U 9 I k Z p b G x D b 2 x 1 b W 5 O Y W 1 l c y I g V m F s d W U 9 I n N b J n F 1 b 3 Q 7 V H l w Z S Z x d W 9 0 O y w m c X V v d D t H Z W 4 u J n F 1 b 3 Q 7 L C Z x d W 9 0 O 0 N P V U 5 U S U Z T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v Q 2 h h b m d l Z C B U e X B l L n t U e X B l L D B 9 J n F 1 b 3 Q 7 L C Z x d W 9 0 O 1 N l Y 3 R p b 2 4 x L 1 R h Y m x l M j A v Q 2 h h b m d l Z C B U e X B l L n t H Z W 4 u L D F 9 J n F 1 b 3 Q 7 L C Z x d W 9 0 O 1 N l Y 3 R p b 2 4 x L 1 R h Y m x l M j A v Q 2 h h b m d l Z C B U e X B l L n t D T 1 V O V E l G U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w L 0 N o Y W 5 n Z W Q g V H l w Z S 5 7 V H l w Z S w w f S Z x d W 9 0 O y w m c X V v d D t T Z W N 0 a W 9 u M S 9 U Y W J s Z T I w L 0 N o Y W 5 n Z W Q g V H l w Z S 5 7 R 2 V u L i w x f S Z x d W 9 0 O y w m c X V v d D t T Z W N 0 a W 9 u M S 9 U Y W J s Z T I w L 0 N o Y W 5 n Z W Q g V H l w Z S 5 7 Q 0 9 V T l R J R l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D l U o I i s m 0 + E 2 u + S b x U 6 W A A A A A A C A A A A A A A Q Z g A A A A E A A C A A A A D z S D h 8 G 6 a E W v Z a e A G W w p B G o X p n J F Q 4 H 1 H q b b z 0 7 L m l v Q A A A A A O g A A A A A I A A C A A A A A e / x d E k X r d t r z K p 1 Q M d o K 1 E + z 4 d r m t 5 m J H z X s T D B C T 8 1 A A A A A W O t l I Y L A e a 2 U m H a G 1 G / g U C J / u B i 2 q b s l 0 h B 0 t I J O K e F O w w y u Q i p c m C T M S / 7 9 7 e y Z 9 T T k m y X 1 d S s W B O M 6 / R W 1 r v n W 2 e s 1 C V 9 P W b 9 P b + 7 F / t U A A A A C h q w Z 2 Y A y q L m o t k i J R y C c 4 2 i h x B a i u Y G e z O e 7 c m t 3 p t r + U c N P T c g F T w h 2 l 5 4 7 1 7 d 9 p 1 N x V s F I G S O Y f F Z b B a Q z + < / D a t a M a s h u p > 
</file>

<file path=customXml/itemProps1.xml><?xml version="1.0" encoding="utf-8"?>
<ds:datastoreItem xmlns:ds="http://schemas.openxmlformats.org/officeDocument/2006/customXml" ds:itemID="{171D11FD-61A1-4069-8C03-5CB1FE3EE1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AND</vt:lpstr>
      <vt:lpstr>OR</vt:lpstr>
      <vt:lpstr>AVERAGE</vt:lpstr>
      <vt:lpstr>AVERAGEIF</vt:lpstr>
      <vt:lpstr>AVERAGEIFS</vt:lpstr>
      <vt:lpstr>CONCATENATE</vt:lpstr>
      <vt:lpstr>COUNT</vt:lpstr>
      <vt:lpstr>COUNTA</vt:lpstr>
      <vt:lpstr>COUNTBLANK</vt:lpstr>
      <vt:lpstr>COUNTIF</vt:lpstr>
      <vt:lpstr>COUNTIFS</vt:lpstr>
      <vt:lpstr>IF</vt:lpstr>
      <vt:lpstr>MAX</vt:lpstr>
      <vt:lpstr>MIN</vt:lpstr>
      <vt:lpstr>SUM</vt:lpstr>
      <vt:lpstr>SUMIF</vt:lpstr>
      <vt:lpstr>SUMIFS</vt:lpstr>
      <vt:lpstr>HLOOKUP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 Kaushal</dc:creator>
  <cp:lastModifiedBy>Kava Kaushal</cp:lastModifiedBy>
  <dcterms:created xsi:type="dcterms:W3CDTF">2024-12-30T00:17:08Z</dcterms:created>
  <dcterms:modified xsi:type="dcterms:W3CDTF">2024-12-30T05:56:31Z</dcterms:modified>
</cp:coreProperties>
</file>